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_rels/.rels" ContentType="application/vnd.openxmlformats-package.relationship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 showHorizontalScroll="true" showVerticalScroll="true" showSheetTabs="true"/>
  </bookViews>
  <sheets>
    <sheet name="Stavební rozpočet" sheetId="1" r:id="rId1"/>
    <sheet name="Stavební rozpočet - součet" sheetId="2" r:id="rId2"/>
    <sheet name="Výkaz výměr" sheetId="3" r:id="rId3"/>
    <sheet name="Krycí list rozpočtu" sheetId="4" r:id="rId4"/>
    <sheet name="VORN" sheetId="5" r:id="rId5"/>
  </sheets>
  <definedNames>
    <definedName name="vorn_sum">VORN!$I$45</definedName>
  </definedNames>
  <calcPr refMode="A1"/>
</workbook>
</file>

<file path=xl/sharedStrings.xml><?xml version="1.0" encoding="utf-8"?>
<sst xmlns="http://schemas.openxmlformats.org/spreadsheetml/2006/main" count="1868" uniqueCount="1868">
  <si>
    <t>Slepý stavební rozpočet</t>
  </si>
  <si>
    <t>Název stavby:</t>
  </si>
  <si>
    <t>Stavební úpravy bytových domů, ul. Poděbradova 124, 125, 126 v Bohumíně</t>
  </si>
  <si>
    <t>Doba výstavby:</t>
  </si>
  <si>
    <t xml:space="preserve"> </t>
  </si>
  <si>
    <t>Objednatel:</t>
  </si>
  <si>
    <t>Město Bohumín, Masarykova 158, Bohumín</t>
  </si>
  <si>
    <t>Druh stavby:</t>
  </si>
  <si>
    <t>Poděbradova 124, 125, 126</t>
  </si>
  <si>
    <t>Začátek výstavby:</t>
  </si>
  <si>
    <t>01.05.2026</t>
  </si>
  <si>
    <t>Projektant:</t>
  </si>
  <si>
    <t>Energeting.cz</t>
  </si>
  <si>
    <t>Lokalita:</t>
  </si>
  <si>
    <t>Nový Bohumín</t>
  </si>
  <si>
    <t>Konec výstavby:</t>
  </si>
  <si>
    <t>Zhotovitel:</t>
  </si>
  <si>
    <t> </t>
  </si>
  <si>
    <t>JKSO:</t>
  </si>
  <si>
    <t>8031212</t>
  </si>
  <si>
    <t>Zpracováno dne:</t>
  </si>
  <si>
    <t>09.07.2025</t>
  </si>
  <si>
    <t>Zpracoval:</t>
  </si>
  <si>
    <t>Blažek</t>
  </si>
  <si>
    <t>Č</t>
  </si>
  <si>
    <t>Kód</t>
  </si>
  <si>
    <t>Zkrácený popis / Varianta</t>
  </si>
  <si>
    <t>MJ</t>
  </si>
  <si>
    <t>Množství</t>
  </si>
  <si>
    <t>Cena/MJ</t>
  </si>
  <si>
    <t>Náklady (Kč)</t>
  </si>
  <si>
    <t>Cenová</t>
  </si>
  <si>
    <t>ISWORK</t>
  </si>
  <si>
    <t>GROUPCODE</t>
  </si>
  <si>
    <t>VATTAX</t>
  </si>
  <si>
    <t>Rozměry</t>
  </si>
  <si>
    <t>(Kč)</t>
  </si>
  <si>
    <t>Dodávka</t>
  </si>
  <si>
    <t>Montáž</t>
  </si>
  <si>
    <t>Celkem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</si>
  <si>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</si>
  <si>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</si>
  <si>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</si>
  <si>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</si>
  <si>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</si>
  <si>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</si>
  <si>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</si>
  <si>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</si>
  <si>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</si>
  <si>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</si>
  <si>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</si>
  <si>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</si>
  <si>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</si>
  <si>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/>
  </si>
  <si>
    <t>Fasáda</t>
  </si>
  <si>
    <t>11</t>
  </si>
  <si>
    <t>Přípravné a přidružené práce</t>
  </si>
  <si>
    <t>01</t>
  </si>
  <si>
    <t>1</t>
  </si>
  <si>
    <t>113106121R00</t>
  </si>
  <si>
    <t>Rozebrání dlažeb z betonových dlaždic na sucho</t>
  </si>
  <si>
    <t>m2</t>
  </si>
  <si>
    <t>RTS II / 2025</t>
  </si>
  <si>
    <t>11_</t>
  </si>
  <si>
    <t>01_11_</t>
  </si>
  <si>
    <t>01_</t>
  </si>
  <si>
    <t>P</t>
  </si>
  <si>
    <t>2</t>
  </si>
  <si>
    <t>113106221R00</t>
  </si>
  <si>
    <t>Rozebrání dlažeb z drobných kostek v kam. těženém</t>
  </si>
  <si>
    <t>3</t>
  </si>
  <si>
    <t>113106231R00</t>
  </si>
  <si>
    <t>Rozebrání dlažeb ze zámkové dlažby v kamenivu</t>
  </si>
  <si>
    <t>4</t>
  </si>
  <si>
    <t>113107310R00</t>
  </si>
  <si>
    <t>Odstranění podkladu pl. 50 m2,kam.těžené tl.10 cm</t>
  </si>
  <si>
    <t>5</t>
  </si>
  <si>
    <t>113107315R00</t>
  </si>
  <si>
    <t>Odstranění podkladu pl. 50 m2,kam.těžené tl.15 cm</t>
  </si>
  <si>
    <t>17</t>
  </si>
  <si>
    <t>Konstrukce ze zemin</t>
  </si>
  <si>
    <t>6</t>
  </si>
  <si>
    <t>174101102R00</t>
  </si>
  <si>
    <t>Zásyp ruční se zhutněním</t>
  </si>
  <si>
    <t>m3</t>
  </si>
  <si>
    <t>17_</t>
  </si>
  <si>
    <t>01_17_</t>
  </si>
  <si>
    <t>18</t>
  </si>
  <si>
    <t>Povrchové úpravy terénu</t>
  </si>
  <si>
    <t>7</t>
  </si>
  <si>
    <t>180402111R00</t>
  </si>
  <si>
    <t>Založení trávníku parkového výsevem v rovině</t>
  </si>
  <si>
    <t>18_</t>
  </si>
  <si>
    <t>01_18_</t>
  </si>
  <si>
    <t>8</t>
  </si>
  <si>
    <t>00572410</t>
  </si>
  <si>
    <t>Směs travní parková II. mírná zátěž PROFI</t>
  </si>
  <si>
    <t>kg</t>
  </si>
  <si>
    <t>M</t>
  </si>
  <si>
    <t>56</t>
  </si>
  <si>
    <t>Podkladní vrstvy komunikací, letišť a ploch</t>
  </si>
  <si>
    <t>9</t>
  </si>
  <si>
    <t>564811113RT2</t>
  </si>
  <si>
    <t>Podklad ze štěrkodrti po zhutnění tloušťky 7 cm</t>
  </si>
  <si>
    <t>56_</t>
  </si>
  <si>
    <t>01_56_</t>
  </si>
  <si>
    <t>Varianta:</t>
  </si>
  <si>
    <t>štěrkodrť frakce 0-32 mm</t>
  </si>
  <si>
    <t>59</t>
  </si>
  <si>
    <t>Kryty pozemních komunikací, letišť a ploch dlážděných (předlažby)</t>
  </si>
  <si>
    <t>10</t>
  </si>
  <si>
    <t>591211111R00</t>
  </si>
  <si>
    <t>Kladení dlažby drobné kostky,lože z kamen.tl. 5 cm</t>
  </si>
  <si>
    <t>59_</t>
  </si>
  <si>
    <t>01_59_</t>
  </si>
  <si>
    <t>596215020R00</t>
  </si>
  <si>
    <t>Kladení zámkové dlažby tl. 6 cm do drtě tl. 3 cm</t>
  </si>
  <si>
    <t>12</t>
  </si>
  <si>
    <t>596811111R00</t>
  </si>
  <si>
    <t>Kladení dlaždic kom.pro pěší, lože z kameniva těž.</t>
  </si>
  <si>
    <t>13</t>
  </si>
  <si>
    <t>592453320</t>
  </si>
  <si>
    <t>Dlažba betonová 300 x 300 x 40 mm, přírodní</t>
  </si>
  <si>
    <t>14</t>
  </si>
  <si>
    <t>596291111R00</t>
  </si>
  <si>
    <t>Řezání dlažby tl. 60 mm</t>
  </si>
  <si>
    <t>m</t>
  </si>
  <si>
    <t>60</t>
  </si>
  <si>
    <t>Omítky ze suchých směsí</t>
  </si>
  <si>
    <t>15</t>
  </si>
  <si>
    <t>602021189R00</t>
  </si>
  <si>
    <t>Omítka tenkovrstvá na stěnách mozaiková pastovité konzistence s barevnými kamínky</t>
  </si>
  <si>
    <t>60_</t>
  </si>
  <si>
    <t>01_60_</t>
  </si>
  <si>
    <t>16</t>
  </si>
  <si>
    <t>602021187RW2</t>
  </si>
  <si>
    <t>Omítka tenkovrstvá na stěnách silikonová</t>
  </si>
  <si>
    <t>škrábaná, zrnitost 2,0 mm</t>
  </si>
  <si>
    <t>or. cena</t>
  </si>
  <si>
    <t>Příplatek za silikonovou dekorativní omítku pastovité konzistence, vhodné zejména ke kreativnímu ztvárnění fasád, K4</t>
  </si>
  <si>
    <t>2025</t>
  </si>
  <si>
    <t>použitelná v exteriéru, µ=35-40, Permeabilita vody v kapalné fázi W3 dle EN 1062-1, K4</t>
  </si>
  <si>
    <t>602021191R00</t>
  </si>
  <si>
    <t>Podkladní nátěr stěn pod omítky</t>
  </si>
  <si>
    <t>Univerzální základní nátěr pod fasádní omítky, zrnitost 0,5 mm µ=150</t>
  </si>
  <si>
    <t>19</t>
  </si>
  <si>
    <t>Hydroizolační stěrka s hydraulickým pojivem, ručně</t>
  </si>
  <si>
    <t>61</t>
  </si>
  <si>
    <t>Úprava povrchů vnitřní</t>
  </si>
  <si>
    <t>20</t>
  </si>
  <si>
    <t>612409991RT2</t>
  </si>
  <si>
    <t>Začištění omítek kolem oken,dveří apod.</t>
  </si>
  <si>
    <t>61_</t>
  </si>
  <si>
    <t>01_61_</t>
  </si>
  <si>
    <t>s použitím suché maltové směsi</t>
  </si>
  <si>
    <t>21</t>
  </si>
  <si>
    <t>612425931R00</t>
  </si>
  <si>
    <t>Omítka vápenná vnitřního ostění - štuková</t>
  </si>
  <si>
    <t>22</t>
  </si>
  <si>
    <t>610991001R00</t>
  </si>
  <si>
    <t>Začišťovací okenní lišta pro vnitř.omítku tl. 6 mm</t>
  </si>
  <si>
    <t>62</t>
  </si>
  <si>
    <t>Úprava povrchů vnější</t>
  </si>
  <si>
    <t>23</t>
  </si>
  <si>
    <t>620991121R00</t>
  </si>
  <si>
    <t>Zakrývání výplní vnějších otvorů z lešení</t>
  </si>
  <si>
    <t>62_</t>
  </si>
  <si>
    <t>01_62_</t>
  </si>
  <si>
    <t>24</t>
  </si>
  <si>
    <t>622300131R00</t>
  </si>
  <si>
    <t>Vyrovnávací tmel tl. do 5 mm</t>
  </si>
  <si>
    <t>25</t>
  </si>
  <si>
    <t>622300176RT2</t>
  </si>
  <si>
    <t>Osazení montážní desky PVC do zateplení</t>
  </si>
  <si>
    <t>kus</t>
  </si>
  <si>
    <t>včetně dodávky desky 120x120x200 mm</t>
  </si>
  <si>
    <t>26</t>
  </si>
  <si>
    <t>622311041R00</t>
  </si>
  <si>
    <t>Zaklád.sada ETICS,zaklád.+okapní profil PVC</t>
  </si>
  <si>
    <t>27</t>
  </si>
  <si>
    <t>622311111R00</t>
  </si>
  <si>
    <t>Dilatační průběžný profil, zateplovací systém</t>
  </si>
  <si>
    <t>28</t>
  </si>
  <si>
    <t>622311113R00</t>
  </si>
  <si>
    <t>Dilatační rohový V profil, zateplovací systém</t>
  </si>
  <si>
    <t>29</t>
  </si>
  <si>
    <t>622311134RT3</t>
  </si>
  <si>
    <t>Zateplovací systém, fasáda, EPS F, tl. 140 mm</t>
  </si>
  <si>
    <t>omítka silikonová škrábaná, zrnitost 2,0 mm, lepidlo zrnitost 0,6 mm, µ&lt;18</t>
  </si>
  <si>
    <t>30</t>
  </si>
  <si>
    <t>Příplatek za silikonovou dekorativní omítku pastovité konzistence, vhodné zejména ke kreativnímu ztvárnění fasád, K1</t>
  </si>
  <si>
    <t>použitelná v exteriéru, µ=35-40, Permeabilita vody v kapalné fázi W3 dle EN 1062-1, K1</t>
  </si>
  <si>
    <t>31</t>
  </si>
  <si>
    <t>32</t>
  </si>
  <si>
    <t>622311153RT3</t>
  </si>
  <si>
    <t>Zateplovací systém, ostění, EPS F, tl. 30 mm</t>
  </si>
  <si>
    <t>33</t>
  </si>
  <si>
    <t>34</t>
  </si>
  <si>
    <t>35</t>
  </si>
  <si>
    <t>622311524RU1</t>
  </si>
  <si>
    <t>Zateplovací systém, sokl, XPS, tl. 140 mm</t>
  </si>
  <si>
    <t>s mozaikovou omítkou 5,5 kg/m2</t>
  </si>
  <si>
    <t>36</t>
  </si>
  <si>
    <t>622311524RV1</t>
  </si>
  <si>
    <t>zakončený stěrkou s výztužnou tkaninou</t>
  </si>
  <si>
    <t>37</t>
  </si>
  <si>
    <t>622311520RU1</t>
  </si>
  <si>
    <t>Zateplovací systém, sokl, XPS tl. 60 mm</t>
  </si>
  <si>
    <t>38</t>
  </si>
  <si>
    <t>622311520RV1</t>
  </si>
  <si>
    <t>39</t>
  </si>
  <si>
    <t>622311553RU1</t>
  </si>
  <si>
    <t>Zateplovací systém, ostění, XPS tl. 30 mm</t>
  </si>
  <si>
    <t>40</t>
  </si>
  <si>
    <t>622311563R00</t>
  </si>
  <si>
    <t>Zateplovací systém, parapet, XPS tl. 30 mm</t>
  </si>
  <si>
    <t>41</t>
  </si>
  <si>
    <t>622311834RT3</t>
  </si>
  <si>
    <t>Zateplovací systém, fasáda, minerální desky PV, tl. 140 mm</t>
  </si>
  <si>
    <t>42</t>
  </si>
  <si>
    <t>43</t>
  </si>
  <si>
    <t>44</t>
  </si>
  <si>
    <t>622311834RV1</t>
  </si>
  <si>
    <t>45</t>
  </si>
  <si>
    <t>622391881R00</t>
  </si>
  <si>
    <t>Příplatek za lepení izolantu bitumenovým lepidlem</t>
  </si>
  <si>
    <t>46</t>
  </si>
  <si>
    <t>622392913RT3</t>
  </si>
  <si>
    <t>Šambrána z EPS tl. do 30 mm, výzt.stěrka, omítka</t>
  </si>
  <si>
    <t>šířky 150 mm</t>
  </si>
  <si>
    <t>47</t>
  </si>
  <si>
    <t>622392913RT5</t>
  </si>
  <si>
    <t>šířky 200 mm</t>
  </si>
  <si>
    <t>48</t>
  </si>
  <si>
    <t>49</t>
  </si>
  <si>
    <t>Vstupní portály z EPS tl. do 140 mm, výzt.stěrka, omítka</t>
  </si>
  <si>
    <t>50</t>
  </si>
  <si>
    <t>622471319RU4</t>
  </si>
  <si>
    <t>Nátěr nebo nástřik stěn vnějších, složitost 5</t>
  </si>
  <si>
    <t>Vysoce paropropustný silikonový nátěr. Vysoce vodoodpudivý, odolný vůči znečistění, použitelný v exteriéru. Faktor difuzního odporu µ=80-120, Permeabilita vody v kapalné fázi W3 dle EN 1062-1</t>
  </si>
  <si>
    <t>51</t>
  </si>
  <si>
    <t>622481211RT2</t>
  </si>
  <si>
    <t>Montáž výztužné sítě (perlinky) do stěrky - vnější stěny</t>
  </si>
  <si>
    <t>včetně výztužné sítě a stěrkového tmelu</t>
  </si>
  <si>
    <t>52</t>
  </si>
  <si>
    <t>622481291R00</t>
  </si>
  <si>
    <t>Montáž výztužné lišty rohové a dilatační</t>
  </si>
  <si>
    <t>53</t>
  </si>
  <si>
    <t>58556671.A</t>
  </si>
  <si>
    <t>lepicí a stěrkovací hmota, zrnitost 0,6mm,  µ&lt;18</t>
  </si>
  <si>
    <t>54</t>
  </si>
  <si>
    <t>55392740.A</t>
  </si>
  <si>
    <t>Lišta omítková rohová hliník LK AL, tkanina 150 x 100 mm</t>
  </si>
  <si>
    <t>55</t>
  </si>
  <si>
    <t>622481292R00</t>
  </si>
  <si>
    <t>Montáž výztužné lišty okenní a podparapetní</t>
  </si>
  <si>
    <t>57</t>
  </si>
  <si>
    <t>283502831</t>
  </si>
  <si>
    <t>VLTU-2H nadpražní lišta s přiznanou okapnicí</t>
  </si>
  <si>
    <t>58</t>
  </si>
  <si>
    <t>283502835</t>
  </si>
  <si>
    <t>Lišta omítková napojovací PVC LX-LPE FLEX podparapetní, tkanina 100 mm</t>
  </si>
  <si>
    <t>LIK0001IMVD</t>
  </si>
  <si>
    <t>LX-H lišta parapetní napojovací flexibilní s nepřiznanou okapnicí a tkaninou pro dilatující napojení omítky na ohýbaný parapet</t>
  </si>
  <si>
    <t>622713213R00</t>
  </si>
  <si>
    <t>Lepení dekorač.fasád.profilu, podstřešní římsy</t>
  </si>
  <si>
    <t>Profil dekorační fasádní podstřešní rozměr 250 x 250 mm, dl. 2 m</t>
  </si>
  <si>
    <t>622714212R00</t>
  </si>
  <si>
    <t>Lepení dekorač.fasád.profilu, římsy do 200x100 mm</t>
  </si>
  <si>
    <t>63</t>
  </si>
  <si>
    <t>Profil dekorační fasádní průběžný rozměr 150 x 150 mm, dl. 2 m</t>
  </si>
  <si>
    <t>64</t>
  </si>
  <si>
    <t>622714214R00</t>
  </si>
  <si>
    <t>Lepení dekorač.fasád.profilu, římsy do 200x300 mm</t>
  </si>
  <si>
    <t>65</t>
  </si>
  <si>
    <t>Profil dekorační fasádní průběžný rozměr 150 x 225 mm, dl. 2 m</t>
  </si>
  <si>
    <t>66</t>
  </si>
  <si>
    <t>Provedení nutu pomocí bosážního tkaninového profilu</t>
  </si>
  <si>
    <t>67</t>
  </si>
  <si>
    <t>Profil bosážní tkaninový typ I plošný dl. 2 m</t>
  </si>
  <si>
    <t>68</t>
  </si>
  <si>
    <t>Olepování ploch maskovací páskou</t>
  </si>
  <si>
    <t>69</t>
  </si>
  <si>
    <t>622904115R00</t>
  </si>
  <si>
    <t>Očištění fasád tlakovou vodou složitost 3 - 5</t>
  </si>
  <si>
    <t>70</t>
  </si>
  <si>
    <t>622903111R00</t>
  </si>
  <si>
    <t>Očištění zdí a valů před opravou, ručně</t>
  </si>
  <si>
    <t>711</t>
  </si>
  <si>
    <t>Izolace proti vodě</t>
  </si>
  <si>
    <t>71</t>
  </si>
  <si>
    <t>711112001R00</t>
  </si>
  <si>
    <t>Izolace proti vlhkosti svis. nátěr ALP, za studena</t>
  </si>
  <si>
    <t>711_</t>
  </si>
  <si>
    <t>01_711_</t>
  </si>
  <si>
    <t>72</t>
  </si>
  <si>
    <t>11163111</t>
  </si>
  <si>
    <t>Lak asfaltový izolační ALP/9</t>
  </si>
  <si>
    <t>73</t>
  </si>
  <si>
    <t>711132311R00</t>
  </si>
  <si>
    <t>Prov. izolace nopovou fólií svisle, vč.uchyc.prvků</t>
  </si>
  <si>
    <t>74</t>
  </si>
  <si>
    <t>711142559R00</t>
  </si>
  <si>
    <t>Izolace proti vlhkosti svislá pásy přitavením</t>
  </si>
  <si>
    <t>75</t>
  </si>
  <si>
    <t>62833159</t>
  </si>
  <si>
    <t>Hydroizolační pás z oxidovaného asfaltu s vložkou ze skleněné tkaniny a minerálním posypem, G 200 S40</t>
  </si>
  <si>
    <t>76</t>
  </si>
  <si>
    <t>711191272RT2</t>
  </si>
  <si>
    <t>Izolace proti zem.vlhkosti,ochran.textilie,svislá</t>
  </si>
  <si>
    <t>včetně dodávky textílie A PP/300, 300 g/m2</t>
  </si>
  <si>
    <t>77</t>
  </si>
  <si>
    <t>998711102R00</t>
  </si>
  <si>
    <t>Přesun hmot pro izolace proti vodě, výšky do 12 m</t>
  </si>
  <si>
    <t>t</t>
  </si>
  <si>
    <t>721</t>
  </si>
  <si>
    <t>Vnitřní kanalizace</t>
  </si>
  <si>
    <t>78</t>
  </si>
  <si>
    <t>Úprava polohy lapače střešních splavenin</t>
  </si>
  <si>
    <t>721_</t>
  </si>
  <si>
    <t>01_721_</t>
  </si>
  <si>
    <t>79</t>
  </si>
  <si>
    <t>721300942R00</t>
  </si>
  <si>
    <t>Pročistění lapačů střešních splavenin</t>
  </si>
  <si>
    <t>80</t>
  </si>
  <si>
    <t>998721101R00</t>
  </si>
  <si>
    <t>Přesun hmot pro vnitřní kanalizaci, výšky do 6 m</t>
  </si>
  <si>
    <t>728</t>
  </si>
  <si>
    <t>Vzduchotechnika</t>
  </si>
  <si>
    <t>81</t>
  </si>
  <si>
    <t>728114111R00</t>
  </si>
  <si>
    <t>Montáž potrubí plastového kruhového do d 100 mm</t>
  </si>
  <si>
    <t>728_</t>
  </si>
  <si>
    <t>01_728_</t>
  </si>
  <si>
    <t>82</t>
  </si>
  <si>
    <t>Potrubí plastové kulaté VP 100/500 KP</t>
  </si>
  <si>
    <t>83</t>
  </si>
  <si>
    <t>728214511R00</t>
  </si>
  <si>
    <t>Montáž spojky plastové kruhové do d 100 mm</t>
  </si>
  <si>
    <t>84</t>
  </si>
  <si>
    <t>429853240</t>
  </si>
  <si>
    <t>Spojka potrubí kruhová VP 100 KS</t>
  </si>
  <si>
    <t>85</t>
  </si>
  <si>
    <t>728314111R00</t>
  </si>
  <si>
    <t>Montáž protidešťové žaluzie čtyřhranné do 0,15 m2</t>
  </si>
  <si>
    <t>86</t>
  </si>
  <si>
    <t>Žaluzie protidešťová PDZM 355 x 355 mm RAL9010, se sítí proti hmyzu</t>
  </si>
  <si>
    <t>87</t>
  </si>
  <si>
    <t>728415111R00</t>
  </si>
  <si>
    <t>Montáž mřížky větrací nebo ventilační do 0,04 m2</t>
  </si>
  <si>
    <t>88</t>
  </si>
  <si>
    <t>429727810</t>
  </si>
  <si>
    <t>Mřížka kruhová PVC průměr 100 mm</t>
  </si>
  <si>
    <t>89</t>
  </si>
  <si>
    <t>728415811R00</t>
  </si>
  <si>
    <t>Demontáž mřížky větrací nebo ventilační do 0,04 m2</t>
  </si>
  <si>
    <t>90</t>
  </si>
  <si>
    <t>728415813R00</t>
  </si>
  <si>
    <t>Demontáž mřížky větrací nebo ventilační do 0,15 m2</t>
  </si>
  <si>
    <t>91</t>
  </si>
  <si>
    <t>998728101R00</t>
  </si>
  <si>
    <t>Přesun hmot pro vzduchotechniku, výšky do 6 m</t>
  </si>
  <si>
    <t>764</t>
  </si>
  <si>
    <t>Konstrukce klempířské</t>
  </si>
  <si>
    <t>92</t>
  </si>
  <si>
    <t>764410850R00</t>
  </si>
  <si>
    <t>Demontáž oplechování parapetů,rš od 100 do 330 mm</t>
  </si>
  <si>
    <t>764_</t>
  </si>
  <si>
    <t>01_764_</t>
  </si>
  <si>
    <t>93</t>
  </si>
  <si>
    <t>764908307R00</t>
  </si>
  <si>
    <t>Oplechování parapetů, rš 330 mm, trvale plastická stěrková lepící a těsnící hmota na bitumenovém základu</t>
  </si>
  <si>
    <t>94</t>
  </si>
  <si>
    <t>95</t>
  </si>
  <si>
    <t>764908308R00</t>
  </si>
  <si>
    <t>Oplechování parapetů, rš 400 mm, trvale plastická stěrková lepící a těsnící hmota na bitumenovém základu</t>
  </si>
  <si>
    <t>96</t>
  </si>
  <si>
    <t>97</t>
  </si>
  <si>
    <t>764908309R00</t>
  </si>
  <si>
    <t>Oplechování parapetů, rš 500 mm, trvale plastická stěrková lepící a těsnící hmota na bitumenovém základu</t>
  </si>
  <si>
    <t>98</t>
  </si>
  <si>
    <t>764454802R00</t>
  </si>
  <si>
    <t>Demontáž odpadních trub kruhových, D 120 mm</t>
  </si>
  <si>
    <t>99</t>
  </si>
  <si>
    <t>764908110R00</t>
  </si>
  <si>
    <t>Odpadní trouby kruhové SVOD, D 120 mm</t>
  </si>
  <si>
    <t>100</t>
  </si>
  <si>
    <t>764918961R00</t>
  </si>
  <si>
    <t>Z+M připoj.lišty z ocel.lak.plechu dilat.rš 120mm</t>
  </si>
  <si>
    <t>101</t>
  </si>
  <si>
    <t>Krycí lišta RŠ110 l = 2000 mm plech tl.0,5mm, Polyuretan 50µm</t>
  </si>
  <si>
    <t>102</t>
  </si>
  <si>
    <t>998764103R00</t>
  </si>
  <si>
    <t>Přesun hmot pro klempířské konstr., výšky do 24 m</t>
  </si>
  <si>
    <t>766</t>
  </si>
  <si>
    <t>Konstrukce truhlářské</t>
  </si>
  <si>
    <t>103</t>
  </si>
  <si>
    <t>766601121R00</t>
  </si>
  <si>
    <t>Montáž těsnění připoj. spáry, parapet, fólie,pásky</t>
  </si>
  <si>
    <t>766_</t>
  </si>
  <si>
    <t>01_766_</t>
  </si>
  <si>
    <t>104</t>
  </si>
  <si>
    <t>2835527912</t>
  </si>
  <si>
    <t>Fólie okenní paropropustná EXT-AP š = 70 mm, PP, třívrstvá, tl. 0,35 mm, dl. 50 m</t>
  </si>
  <si>
    <t>105</t>
  </si>
  <si>
    <t>106</t>
  </si>
  <si>
    <t>2835527982</t>
  </si>
  <si>
    <t>Fólie okenní parotěsná INT-ALU-AB š. 100 mm, PP+fólie, dvouvrstvá, tl. 0,15 mm, dl. 25 m</t>
  </si>
  <si>
    <t>107</t>
  </si>
  <si>
    <t>766601161R00</t>
  </si>
  <si>
    <t>Montáž těsnění připoj. spáry, další expanzní páska</t>
  </si>
  <si>
    <t>108</t>
  </si>
  <si>
    <t>28355224</t>
  </si>
  <si>
    <t>Páska těsnicí TP600, 5 - 10 x 20 mm šedá</t>
  </si>
  <si>
    <t>109</t>
  </si>
  <si>
    <t>766629301R00</t>
  </si>
  <si>
    <t>Montáž oken plastových plochy do 1,50 m2</t>
  </si>
  <si>
    <t>110</t>
  </si>
  <si>
    <t>Okno plastové se sklopným křídlem, 5 komor, 70 mm, oboustranně bílé, poz 1/T, 0,9x0,6, Uw=1,5 W/(m2K), zasklení čiré, dvojsklo</t>
  </si>
  <si>
    <t>ks</t>
  </si>
  <si>
    <t>111</t>
  </si>
  <si>
    <t>998766103R00</t>
  </si>
  <si>
    <t>Přesun hmot pro truhlářské konstr., výšky do 24 m</t>
  </si>
  <si>
    <t>767</t>
  </si>
  <si>
    <t>Konstrukce doplňkové stavební (zámečnické)</t>
  </si>
  <si>
    <t>112</t>
  </si>
  <si>
    <t>767999801R00</t>
  </si>
  <si>
    <t>Demontáž doplňků staveb o hmotnosti do 50 kg</t>
  </si>
  <si>
    <t>767_</t>
  </si>
  <si>
    <t>01_767_</t>
  </si>
  <si>
    <t>113</t>
  </si>
  <si>
    <t>767662110R00</t>
  </si>
  <si>
    <t>Montáž mříží pevných - šroubováním</t>
  </si>
  <si>
    <t>114</t>
  </si>
  <si>
    <t>1/Z ocelová mříž před sklepní okno, výplň tahokov 0,8*0,52</t>
  </si>
  <si>
    <t>115</t>
  </si>
  <si>
    <t>998767103R00</t>
  </si>
  <si>
    <t>Přesun hmot pro zámečnické konstr., výšky do 24 m</t>
  </si>
  <si>
    <t>783</t>
  </si>
  <si>
    <t>Nátěry</t>
  </si>
  <si>
    <t>116</t>
  </si>
  <si>
    <t>783903811R00</t>
  </si>
  <si>
    <t>Odmaštění chemickými rozpouštědly</t>
  </si>
  <si>
    <t>783_</t>
  </si>
  <si>
    <t>01_783_</t>
  </si>
  <si>
    <t>117</t>
  </si>
  <si>
    <t>783904811R00</t>
  </si>
  <si>
    <t>Odrezivění kovových konstrukcí</t>
  </si>
  <si>
    <t>118</t>
  </si>
  <si>
    <t>783271001R00</t>
  </si>
  <si>
    <t>Nátěr polyuretanový kovových konstr. 1+ 2x email</t>
  </si>
  <si>
    <t>Hodinové zúčtovací sazby (HZS)</t>
  </si>
  <si>
    <t>119</t>
  </si>
  <si>
    <t>900      R01</t>
  </si>
  <si>
    <t>HZS</t>
  </si>
  <si>
    <t>h</t>
  </si>
  <si>
    <t>90_</t>
  </si>
  <si>
    <t>01_90_</t>
  </si>
  <si>
    <t>stavební dělník v tarifní třídě 4</t>
  </si>
  <si>
    <t>120</t>
  </si>
  <si>
    <t>101901350120VD</t>
  </si>
  <si>
    <t>Vestavný hnízdní box pro rorýse, vnější rozměry (š x v x h) 42x18x16.1cm</t>
  </si>
  <si>
    <t>121</t>
  </si>
  <si>
    <t>AP6BNB</t>
  </si>
  <si>
    <t>Budka pro kavky a sovy Box AP-6, dřevobeton, vnější rozměry (š x v x h) 23,5x42x23cm, otvor 8,5cm</t>
  </si>
  <si>
    <t>122</t>
  </si>
  <si>
    <t>Dvířka revizní elektro do zdiva 300x450 mm, rozměr upřesnit na stavbě</t>
  </si>
  <si>
    <t>123</t>
  </si>
  <si>
    <t>Dvířka revizní elektro do zdiva 450x450 mm, rozměr upřesnit na stavbě</t>
  </si>
  <si>
    <t>124</t>
  </si>
  <si>
    <t>Dvířka revizní elektro do zdiva 450x600 mm, rozměr upřesnit na stavbě</t>
  </si>
  <si>
    <t>125</t>
  </si>
  <si>
    <t>14587214</t>
  </si>
  <si>
    <t>Profil dutý čtvercový svařovaný S235JRH 20 x 3,0 mm</t>
  </si>
  <si>
    <t>126</t>
  </si>
  <si>
    <t>13224600</t>
  </si>
  <si>
    <t>Tyč ocelová plochá S235JR, rozměr 30 x 5 mm</t>
  </si>
  <si>
    <t>Lešení a stavební výtahy</t>
  </si>
  <si>
    <t>127</t>
  </si>
  <si>
    <t>941941032R00</t>
  </si>
  <si>
    <t>Montáž lešení lehkého řadového s podlahami, š. do 1 m, výšky do 30 m</t>
  </si>
  <si>
    <t>94_</t>
  </si>
  <si>
    <t>01_94_</t>
  </si>
  <si>
    <t>128</t>
  </si>
  <si>
    <t>941941192R00</t>
  </si>
  <si>
    <t>Příplatek za použití lešení lehkého řadového s podlahami, š. do 1 m, výšky do 30 m</t>
  </si>
  <si>
    <t>129</t>
  </si>
  <si>
    <t>941941832R00</t>
  </si>
  <si>
    <t>Demontáž lešení lehkého řadového s podlahami, š. do 1 m, výšky do 30 m</t>
  </si>
  <si>
    <t>130</t>
  </si>
  <si>
    <t>941955003R00</t>
  </si>
  <si>
    <t>Lešení lehké pomocné, výška podlahy do 2,5 m</t>
  </si>
  <si>
    <t>131</t>
  </si>
  <si>
    <t>944944013R00</t>
  </si>
  <si>
    <t>Montáž ochr.sítě z umělých vláken - stínění do 70%</t>
  </si>
  <si>
    <t>132</t>
  </si>
  <si>
    <t>944944033R00</t>
  </si>
  <si>
    <t>Příplatek za každý měsíc použití sítí k pol. 4013</t>
  </si>
  <si>
    <t>133</t>
  </si>
  <si>
    <t>944944083R00</t>
  </si>
  <si>
    <t>Demontáž ochr.sítě z umělých vláken,stínění do 70%</t>
  </si>
  <si>
    <t>134</t>
  </si>
  <si>
    <t>944945013R00</t>
  </si>
  <si>
    <t>Montáž záchytné stříšky H 4,5 m, šířky nad 2 m</t>
  </si>
  <si>
    <t>135</t>
  </si>
  <si>
    <t>944945193R00</t>
  </si>
  <si>
    <t>Příplatek za každý měsíc použ.stříšky, k pol. 5013</t>
  </si>
  <si>
    <t>136</t>
  </si>
  <si>
    <t>944945813R00</t>
  </si>
  <si>
    <t>Demontáž záchytné stříšky H 4,5 m, šířky nad 2 m</t>
  </si>
  <si>
    <t>137</t>
  </si>
  <si>
    <t>944946111RT2</t>
  </si>
  <si>
    <t>Textílie ochranná před propadem suti z lešení- MTŽ</t>
  </si>
  <si>
    <t>včetně dodávky netkané polypropylenové textilie zpevněné mechanicky vpichováním</t>
  </si>
  <si>
    <t>138</t>
  </si>
  <si>
    <t>944946811R00</t>
  </si>
  <si>
    <t>Odstranění textilie z lešeňových podlah</t>
  </si>
  <si>
    <t>139</t>
  </si>
  <si>
    <t>948171119R00</t>
  </si>
  <si>
    <t>Příplatek-další měsíc použití konstr.H 20, dl.12 m</t>
  </si>
  <si>
    <t>140</t>
  </si>
  <si>
    <t>948171211R00</t>
  </si>
  <si>
    <t>Konstrukce z oc. nosníků H 20 m dl. 12 m - zřízení</t>
  </si>
  <si>
    <t>141</t>
  </si>
  <si>
    <t>948171212R00</t>
  </si>
  <si>
    <t>Konstrukce z oc. nosníků H 20 m dl. 12 m - odstr.</t>
  </si>
  <si>
    <t>142</t>
  </si>
  <si>
    <t>948171219R00</t>
  </si>
  <si>
    <t>Příplatek-další měsíc použití konstr.H 20, dl.26 m</t>
  </si>
  <si>
    <t>143</t>
  </si>
  <si>
    <t>948171221R00</t>
  </si>
  <si>
    <t>Konstrukce z oc. nosníků H 20 m dl. 26 m - zřízení</t>
  </si>
  <si>
    <t>144</t>
  </si>
  <si>
    <t>948171222R00</t>
  </si>
  <si>
    <t>Konstrukce z oc. nosníků H 20 m dl. 26 m - odstr.</t>
  </si>
  <si>
    <t>Různé dokončovací konstrukce a práce na pozemních stavbách</t>
  </si>
  <si>
    <t>145</t>
  </si>
  <si>
    <t>953981301R00</t>
  </si>
  <si>
    <t>Chemické kotvy, cihly, hl. 80 mm, M8, malta POLY</t>
  </si>
  <si>
    <t>95_</t>
  </si>
  <si>
    <t>01_95_</t>
  </si>
  <si>
    <t>146</t>
  </si>
  <si>
    <t>Kotevní šroub pro chem. kotvení M8x130</t>
  </si>
  <si>
    <t>147</t>
  </si>
  <si>
    <t>Krytka klobouková M18</t>
  </si>
  <si>
    <t>148</t>
  </si>
  <si>
    <t>953981302R00</t>
  </si>
  <si>
    <t>Chemické kotvy, cihly, hl. 90 mm, M10, malta POLY</t>
  </si>
  <si>
    <t>149</t>
  </si>
  <si>
    <t>Kotevní šroub pro chem. kotvení M10x170</t>
  </si>
  <si>
    <t>150</t>
  </si>
  <si>
    <t>Kotevní šroub pro chem. kotvení M10x250</t>
  </si>
  <si>
    <t>151</t>
  </si>
  <si>
    <t>Krytka klobouková M10</t>
  </si>
  <si>
    <t>Bourání konstrukcí</t>
  </si>
  <si>
    <t>152</t>
  </si>
  <si>
    <t>962031113R00</t>
  </si>
  <si>
    <t>Bourání přizdívky z cihel pálených plných tl. 65 mm</t>
  </si>
  <si>
    <t>96_</t>
  </si>
  <si>
    <t>01_96_</t>
  </si>
  <si>
    <t>153</t>
  </si>
  <si>
    <t>967032974R00</t>
  </si>
  <si>
    <t>Odsekání plošných fasádních prvků předsazených do 8 cm</t>
  </si>
  <si>
    <t>154</t>
  </si>
  <si>
    <t>968061112R00</t>
  </si>
  <si>
    <t>Vyvěšení dřevěných a plastových okenních křídel pl. do 1,5 m2</t>
  </si>
  <si>
    <t>155</t>
  </si>
  <si>
    <t>968062354R00</t>
  </si>
  <si>
    <t>Vybourání dřevěných rámů oken dvojitých pl. 1 m2</t>
  </si>
  <si>
    <t>Prorážení otvorů a ostatní bourací práce</t>
  </si>
  <si>
    <t>156</t>
  </si>
  <si>
    <t>978036121R00</t>
  </si>
  <si>
    <t>Otlučení omítek břízolitových v rozsahu 10 %</t>
  </si>
  <si>
    <t>97_</t>
  </si>
  <si>
    <t>01_97_</t>
  </si>
  <si>
    <t>157</t>
  </si>
  <si>
    <t>978041103R00</t>
  </si>
  <si>
    <t>Odstranění zateplovacího systému ostění, EPS F tl. 30 mm s omítkou</t>
  </si>
  <si>
    <t>158</t>
  </si>
  <si>
    <t>979054441R00</t>
  </si>
  <si>
    <t>Očištění vybour. dlaždic s výplní kamen. těženým</t>
  </si>
  <si>
    <t>H99</t>
  </si>
  <si>
    <t>Ostatní přesuny hmot</t>
  </si>
  <si>
    <t>159</t>
  </si>
  <si>
    <t>999281111R00</t>
  </si>
  <si>
    <t>Přesun hmot pro opravy a údržbu do výšky 25 m</t>
  </si>
  <si>
    <t>H99_</t>
  </si>
  <si>
    <t>01_H99_</t>
  </si>
  <si>
    <t>M22</t>
  </si>
  <si>
    <t>Montáže sdělovací a zabezpečovací techniky</t>
  </si>
  <si>
    <t>160</t>
  </si>
  <si>
    <t>222323322R00</t>
  </si>
  <si>
    <t>Tlačítkové tablo s klávesnicí a čtečkou do zdi</t>
  </si>
  <si>
    <t>M22_</t>
  </si>
  <si>
    <t>01_M22_</t>
  </si>
  <si>
    <t>161</t>
  </si>
  <si>
    <t>DMTZ Tlačítkové tablo s klávesnicí a čtečkou do zdi</t>
  </si>
  <si>
    <t>162</t>
  </si>
  <si>
    <t>1411VD</t>
  </si>
  <si>
    <t>Podružný materiál M21 M22</t>
  </si>
  <si>
    <t>%</t>
  </si>
  <si>
    <t>163</t>
  </si>
  <si>
    <t>1412VD</t>
  </si>
  <si>
    <t>Zednické výpomoci</t>
  </si>
  <si>
    <t>M65</t>
  </si>
  <si>
    <t>Elektroinstalace</t>
  </si>
  <si>
    <t>164</t>
  </si>
  <si>
    <t>650801153R00</t>
  </si>
  <si>
    <t>Demontáž svítidla nástěnného přisazeného</t>
  </si>
  <si>
    <t>M65_</t>
  </si>
  <si>
    <t>01_M65_</t>
  </si>
  <si>
    <t>165</t>
  </si>
  <si>
    <t>650101526R00</t>
  </si>
  <si>
    <t>Montáž LED svítidla stropního přisazeného s čidlem</t>
  </si>
  <si>
    <t>166</t>
  </si>
  <si>
    <t>167</t>
  </si>
  <si>
    <t>S</t>
  </si>
  <si>
    <t>Přesuny sutí</t>
  </si>
  <si>
    <t>168</t>
  </si>
  <si>
    <t>979990141R00</t>
  </si>
  <si>
    <t>Poplatek za uložení suti - polystyren s perlinkou, skupina odpadu 170604</t>
  </si>
  <si>
    <t>S_</t>
  </si>
  <si>
    <t>01_S_</t>
  </si>
  <si>
    <t>169</t>
  </si>
  <si>
    <t>979999973R00</t>
  </si>
  <si>
    <t>Poplatek za uložení, zemina a kamení, (skup.170504)</t>
  </si>
  <si>
    <t>170</t>
  </si>
  <si>
    <t>979999997R00</t>
  </si>
  <si>
    <t>Poplatek za recyklaci směsi suti betonu, cihel, tašek a keram.výrobků, kusovost do 1600 cm2 (170107)</t>
  </si>
  <si>
    <t>171</t>
  </si>
  <si>
    <t>979095312R00</t>
  </si>
  <si>
    <t>Naložení a složení suti</t>
  </si>
  <si>
    <t>172</t>
  </si>
  <si>
    <t>979093111R00</t>
  </si>
  <si>
    <t>Uložení suti na skládku bez zhutnění</t>
  </si>
  <si>
    <t>173</t>
  </si>
  <si>
    <t>979011111R00</t>
  </si>
  <si>
    <t>Svislá doprava suti a vybour. hmot za 2.NP a 1.PP</t>
  </si>
  <si>
    <t>174</t>
  </si>
  <si>
    <t>979011121R00</t>
  </si>
  <si>
    <t>Příplatek za každé další podlaží</t>
  </si>
  <si>
    <t>175</t>
  </si>
  <si>
    <t>979081111R00</t>
  </si>
  <si>
    <t>Odvoz suti a vybour. hmot na skládku do 1 km</t>
  </si>
  <si>
    <t>176</t>
  </si>
  <si>
    <t>979081121R00</t>
  </si>
  <si>
    <t>Příplatek k odvozu za každý další 1 km</t>
  </si>
  <si>
    <t>Strop pod půdou</t>
  </si>
  <si>
    <t>713</t>
  </si>
  <si>
    <t>Izolace tepelné</t>
  </si>
  <si>
    <t>02</t>
  </si>
  <si>
    <t>177</t>
  </si>
  <si>
    <t>713121121R00</t>
  </si>
  <si>
    <t>Montáž tepelné izolace podlah na sucho, dvouvrstvé</t>
  </si>
  <si>
    <t>713_</t>
  </si>
  <si>
    <t>02_713_</t>
  </si>
  <si>
    <t>02_</t>
  </si>
  <si>
    <t>178</t>
  </si>
  <si>
    <t>631508602</t>
  </si>
  <si>
    <t>Pás izolační MW tl. 100 mm, MW-EN13162-T3-MU1-AFr5, 0,035W/mK</t>
  </si>
  <si>
    <t>179</t>
  </si>
  <si>
    <t>713191100R00</t>
  </si>
  <si>
    <t>Položení separační fólie</t>
  </si>
  <si>
    <t>180</t>
  </si>
  <si>
    <t>28325084.A</t>
  </si>
  <si>
    <t>Fólie podstřešní paropropustná 135 g/m2, Sd=0,02 M</t>
  </si>
  <si>
    <t>181</t>
  </si>
  <si>
    <t>998713103R00</t>
  </si>
  <si>
    <t>Přesun hmot pro izolace tepelné, výšky do 24 m</t>
  </si>
  <si>
    <t>763</t>
  </si>
  <si>
    <t>Dřevostavby</t>
  </si>
  <si>
    <t>182</t>
  </si>
  <si>
    <t>763614231RW6</t>
  </si>
  <si>
    <t>Montáž podlahy z desek nad tl.18 mm, na sraz, šroubov.</t>
  </si>
  <si>
    <t>763_</t>
  </si>
  <si>
    <t>02_763_</t>
  </si>
  <si>
    <t>vč. dodávky desky OSB 3 tl. 22 mm</t>
  </si>
  <si>
    <t>183</t>
  </si>
  <si>
    <t>763752111R00</t>
  </si>
  <si>
    <t>Montáž podlah - rámů, polštářů, pl. do 50 cm2</t>
  </si>
  <si>
    <t>184</t>
  </si>
  <si>
    <t>60725016</t>
  </si>
  <si>
    <t>Deska dřevoštěpková OSB 3, nebroušená tl. 22 mm</t>
  </si>
  <si>
    <t>185</t>
  </si>
  <si>
    <t>998763101R00</t>
  </si>
  <si>
    <t>Přesun hmot pro dřevostavby, výšky do 12 m</t>
  </si>
  <si>
    <t>186</t>
  </si>
  <si>
    <t>952902110R00</t>
  </si>
  <si>
    <t>Zametání v místnostech, chodbách, na  schodišti a na půdách</t>
  </si>
  <si>
    <t>02_95_</t>
  </si>
  <si>
    <t>187</t>
  </si>
  <si>
    <t>979092111R00</t>
  </si>
  <si>
    <t>Vyklizení ulehlé suti z pl.do 15 m2/ hl. 2 m-ručně</t>
  </si>
  <si>
    <t>02_97_</t>
  </si>
  <si>
    <t>188</t>
  </si>
  <si>
    <t>02_S_</t>
  </si>
  <si>
    <t>189</t>
  </si>
  <si>
    <t>190</t>
  </si>
  <si>
    <t>979082111R00</t>
  </si>
  <si>
    <t>Vnitrostaveništní doprava suti do 10 m</t>
  </si>
  <si>
    <t>191</t>
  </si>
  <si>
    <t>979082121R00</t>
  </si>
  <si>
    <t>Příplatek k vnitrost. dopravě suti za dalších 5 m</t>
  </si>
  <si>
    <t>192</t>
  </si>
  <si>
    <t>979990107R00</t>
  </si>
  <si>
    <t>Poplatek za uložení suti - směs betonu, cihel, dřeva, skupina odpadu 170904</t>
  </si>
  <si>
    <t>Střecha</t>
  </si>
  <si>
    <t>03</t>
  </si>
  <si>
    <t>193</t>
  </si>
  <si>
    <t>Zateplovací systém, fasáda, minerální desky PV, tl. 30 mm</t>
  </si>
  <si>
    <t>03_62_</t>
  </si>
  <si>
    <t>03_</t>
  </si>
  <si>
    <t>se silikonovou dekorativní omítkou pastovité konzistence, vhodné zejména ke kreativnímu ztvárnění fasád, použitelná v exteriéru, µ=35-40, Permeabilita vody v kapalné fázi W3 dle EN 1062-1, K4, lepidlo zrnitost 0,6 mm, µ&lt;18,</t>
  </si>
  <si>
    <t>194</t>
  </si>
  <si>
    <t>hmota nátěrová, Vysoce paropropustný silikonový nátěr. Vysoce vodoodpudivý, odolný vůči znečistění, použitelný v exteriéru. Faktor difuzního odporu µ cca 80 - 120. Permeabilita vody v kapalné fázi W3 dle EN 1062-1</t>
  </si>
  <si>
    <t>195</t>
  </si>
  <si>
    <t>622904112R00</t>
  </si>
  <si>
    <t>Očištění fasád tlakovou vodou složitost 1 - 2</t>
  </si>
  <si>
    <t>Podlahy a podlahové konstrukce</t>
  </si>
  <si>
    <t>196</t>
  </si>
  <si>
    <t>632451022R00</t>
  </si>
  <si>
    <t>Vyrovnávací potěr MC 15, v pásu, tl. 30 mm</t>
  </si>
  <si>
    <t>63_</t>
  </si>
  <si>
    <t>03_63_</t>
  </si>
  <si>
    <t>197</t>
  </si>
  <si>
    <t>721171803R00</t>
  </si>
  <si>
    <t>Demontáž potrubí z PVC do D 75 mm</t>
  </si>
  <si>
    <t>03_721_</t>
  </si>
  <si>
    <t>198</t>
  </si>
  <si>
    <t>721171808R00</t>
  </si>
  <si>
    <t>Demontáž potrubí z PVC do D 114 mm</t>
  </si>
  <si>
    <t>199</t>
  </si>
  <si>
    <t>721176114R00</t>
  </si>
  <si>
    <t>Potrubí HT odpadní svislé, D 75 x 1,9 mm</t>
  </si>
  <si>
    <t>200</t>
  </si>
  <si>
    <t>721176115R00</t>
  </si>
  <si>
    <t>Potrubí HT odpadní svislé D 110 x 2,7 mm</t>
  </si>
  <si>
    <t>201</t>
  </si>
  <si>
    <t>998721103R00</t>
  </si>
  <si>
    <t>Přesun hmot pro vnitřní kanalizaci, výšky do 24 m</t>
  </si>
  <si>
    <t>762</t>
  </si>
  <si>
    <t>Konstrukce tesařské</t>
  </si>
  <si>
    <t>202</t>
  </si>
  <si>
    <t>762088116R00</t>
  </si>
  <si>
    <t>Zakrývání a odkrývání opravované střešní konstrukce provizorní plachtou 15 x 20 m po dobu 10-15 dnů</t>
  </si>
  <si>
    <t>762_</t>
  </si>
  <si>
    <t>03_762_</t>
  </si>
  <si>
    <t>203</t>
  </si>
  <si>
    <t>762331911R00</t>
  </si>
  <si>
    <t>Vyřezání části střešní vazby do 120 cm2,do dl.3 m</t>
  </si>
  <si>
    <t>204</t>
  </si>
  <si>
    <t>762331912R00</t>
  </si>
  <si>
    <t>Vyřezání části střešní vazby do 120 cm2,do dl.5 m</t>
  </si>
  <si>
    <t>205</t>
  </si>
  <si>
    <t>762331913R00</t>
  </si>
  <si>
    <t>Vyřezání části střešní vazby do 120 cm2,do dl.8 m</t>
  </si>
  <si>
    <t>206</t>
  </si>
  <si>
    <t>762331914R00</t>
  </si>
  <si>
    <t>Vyřezání části střešní vazby do 120 cm2,nad dl.8 m</t>
  </si>
  <si>
    <t>207</t>
  </si>
  <si>
    <t>762331921R00</t>
  </si>
  <si>
    <t>Vyřezání části střešní vazby do 224 cm2,do dl.3 m</t>
  </si>
  <si>
    <t>208</t>
  </si>
  <si>
    <t>762331923R00</t>
  </si>
  <si>
    <t>Vyřezání části střešní vazby do 224 cm2,do dl.8 m</t>
  </si>
  <si>
    <t>209</t>
  </si>
  <si>
    <t>762331924R00</t>
  </si>
  <si>
    <t>Vyřezání části střešní vazby do 224 cm2,nad dl.8 m</t>
  </si>
  <si>
    <t>210</t>
  </si>
  <si>
    <t>762331933R00</t>
  </si>
  <si>
    <t>Vyřezání části střešní vazby do 288 cm2,do dl.8 m</t>
  </si>
  <si>
    <t>211</t>
  </si>
  <si>
    <t>762331944R00</t>
  </si>
  <si>
    <t>Vyřezání části střešní vazby do 450 cm2,nad dl.8 m</t>
  </si>
  <si>
    <t>212</t>
  </si>
  <si>
    <t>762332931RV1</t>
  </si>
  <si>
    <t>Doplnění střešní vazby z hranolů do 120 cm2 vč.dod</t>
  </si>
  <si>
    <t>bez dodávky řeziva</t>
  </si>
  <si>
    <t>213</t>
  </si>
  <si>
    <t>60515229</t>
  </si>
  <si>
    <t>Hranol stavební SM do 140 x 140 mm, 1 - 4 m</t>
  </si>
  <si>
    <t>214</t>
  </si>
  <si>
    <t>60515231</t>
  </si>
  <si>
    <t>Hranol stavební SM do 140 x 140 mm, 6 - 10 m</t>
  </si>
  <si>
    <t>215</t>
  </si>
  <si>
    <t>762332932RV1</t>
  </si>
  <si>
    <t>Doplnění střešní vazby z hranolů do 224 cm2 vč.dod</t>
  </si>
  <si>
    <t>216</t>
  </si>
  <si>
    <t>217</t>
  </si>
  <si>
    <t>60515248</t>
  </si>
  <si>
    <t>Hranol stavební SM do 160 x 160 mm, 5 - 6 m</t>
  </si>
  <si>
    <t>218</t>
  </si>
  <si>
    <t>219</t>
  </si>
  <si>
    <t>762332933RV1</t>
  </si>
  <si>
    <t>Doplnění střešní vazby z hranolů do 288 cm2 vč.dod</t>
  </si>
  <si>
    <t>220</t>
  </si>
  <si>
    <t>60515280</t>
  </si>
  <si>
    <t>Hranol stavební SM do 200 x 200 mm, 5 - 6 m</t>
  </si>
  <si>
    <t>221</t>
  </si>
  <si>
    <t>762332935RV1</t>
  </si>
  <si>
    <t>Doplnění střešní vazby z hranolů do 600 cm2 vč.dod</t>
  </si>
  <si>
    <t>222</t>
  </si>
  <si>
    <t>60515286</t>
  </si>
  <si>
    <t>Hranol stavební SM nad 200 x 200 mm, nad 10 m</t>
  </si>
  <si>
    <t>223</t>
  </si>
  <si>
    <t>762341821R00</t>
  </si>
  <si>
    <t>Demontáž bednění střech rovných z fošen hrubých</t>
  </si>
  <si>
    <t>224</t>
  </si>
  <si>
    <t>762342203R00</t>
  </si>
  <si>
    <t>Montáž laťování střech, vzdálenost latí 22 - 36 cm</t>
  </si>
  <si>
    <t>225</t>
  </si>
  <si>
    <t>60510055</t>
  </si>
  <si>
    <t>Lať surová SM jakost I-II 40 x 60 mm, 4 m</t>
  </si>
  <si>
    <t>226</t>
  </si>
  <si>
    <t>762342206R00</t>
  </si>
  <si>
    <t>Montáž kontralatí na vruty, s těsnicí páskou</t>
  </si>
  <si>
    <t>227</t>
  </si>
  <si>
    <t>228</t>
  </si>
  <si>
    <t>998762103R00</t>
  </si>
  <si>
    <t>Přesun hmot pro tesařské konstrukce, výšky do 24 m</t>
  </si>
  <si>
    <t>229</t>
  </si>
  <si>
    <t>764311832R00</t>
  </si>
  <si>
    <t>Demontáž krytiny, tabule 2 x 1 m, nad 25 m2, do 45°</t>
  </si>
  <si>
    <t>03_764_</t>
  </si>
  <si>
    <t>230</t>
  </si>
  <si>
    <t>764322831R00</t>
  </si>
  <si>
    <t>Demontáž oplechování okapů, TK, rš 400 mm, do 45°</t>
  </si>
  <si>
    <t>231</t>
  </si>
  <si>
    <t>764339811R00</t>
  </si>
  <si>
    <t>Demontáž lemování komínů v ploše, šikmá střecha sklon do 45°</t>
  </si>
  <si>
    <t>232</t>
  </si>
  <si>
    <t>764345832R00</t>
  </si>
  <si>
    <t>Demontáž ventilačních nástavců D do 150 mm, do 45°</t>
  </si>
  <si>
    <t>233</t>
  </si>
  <si>
    <t>764348814R00</t>
  </si>
  <si>
    <t>Demontáž sněhového zachytače, sklon do 45°</t>
  </si>
  <si>
    <t>234</t>
  </si>
  <si>
    <t>764351837R00</t>
  </si>
  <si>
    <t>Demontáž háků, sklon do 45°</t>
  </si>
  <si>
    <t>235</t>
  </si>
  <si>
    <t>764352821R00</t>
  </si>
  <si>
    <t>Demontáž žlabů půlkruh. rovných, rš 500 mm, do 45°</t>
  </si>
  <si>
    <t>236</t>
  </si>
  <si>
    <t>764359811R00</t>
  </si>
  <si>
    <t>Demontáž kotlíku kónického, sklon do 45°</t>
  </si>
  <si>
    <t>237</t>
  </si>
  <si>
    <t>764361811R00</t>
  </si>
  <si>
    <t>Demontáž střešního okna, šikmá střecha sklon do 45°</t>
  </si>
  <si>
    <t>238</t>
  </si>
  <si>
    <t>764392851R00</t>
  </si>
  <si>
    <t>Demontáž úžlabí, rš 660 mm, sklon do 45°</t>
  </si>
  <si>
    <t>239</t>
  </si>
  <si>
    <t>764393831R00</t>
  </si>
  <si>
    <t>Demontáž hřebene střechy, rš do 400 mm, do 45°</t>
  </si>
  <si>
    <t>240</t>
  </si>
  <si>
    <t>764430810R00</t>
  </si>
  <si>
    <t>Demontáž oplechování zdí, rš do 250 mm</t>
  </si>
  <si>
    <t>241</t>
  </si>
  <si>
    <t>764430840R00</t>
  </si>
  <si>
    <t>Demontáž oplechování zdí,rš od 330 do 500 mm</t>
  </si>
  <si>
    <t>242</t>
  </si>
  <si>
    <t>764918102R00</t>
  </si>
  <si>
    <t>Zhotovení (výroba) a montáž krytiny hladké z ocel.lak.plechu nad 30°do 45</t>
  </si>
  <si>
    <t>243</t>
  </si>
  <si>
    <t>553453111</t>
  </si>
  <si>
    <t>Velkoformát. ocel. střešní krytina hl. se stojatou drážkou, stavební šířka 310 MM, se zástřihy a s prolisem, tl. 0,5mm, PÚ na bázi polyuretanu 50µm.</t>
  </si>
  <si>
    <t>244</t>
  </si>
  <si>
    <t>59244257</t>
  </si>
  <si>
    <t>Pás ochranný proti ptákům 5 m š.100 mm</t>
  </si>
  <si>
    <t>245</t>
  </si>
  <si>
    <t>764813830R00</t>
  </si>
  <si>
    <t>Lemování z lak.Pz, komínů na hl. krytině, v ploše</t>
  </si>
  <si>
    <t>246</t>
  </si>
  <si>
    <t>247</t>
  </si>
  <si>
    <t>Krycí lišta RŠ150 l = 2000 mm plech tl.0,5mm, Polyuretan 50µm</t>
  </si>
  <si>
    <t>248</t>
  </si>
  <si>
    <t>Oplechování hlavy komína</t>
  </si>
  <si>
    <t>249</t>
  </si>
  <si>
    <t>764919221R00</t>
  </si>
  <si>
    <t>M. oplech. okapů z lak. plechů na šikmé střeše</t>
  </si>
  <si>
    <t>250</t>
  </si>
  <si>
    <t>553453462</t>
  </si>
  <si>
    <t>Plech okapní pod fólií OPF 120/150, délka 2000 mm, Polyestersat 25</t>
  </si>
  <si>
    <t>251</t>
  </si>
  <si>
    <t>553453636</t>
  </si>
  <si>
    <t>Okapní plech OPR Polyuretan 50µm</t>
  </si>
  <si>
    <t>252</t>
  </si>
  <si>
    <t>Spojovací páska oboustranná s výztuhou SP-DS š.20 mm l=50m</t>
  </si>
  <si>
    <t>253</t>
  </si>
  <si>
    <t>764919401R00</t>
  </si>
  <si>
    <t>M.větracích prvků a komínků z lakovaného plechu</t>
  </si>
  <si>
    <t>254</t>
  </si>
  <si>
    <t>Komínek odvětrávací R-OKI</t>
  </si>
  <si>
    <t>255</t>
  </si>
  <si>
    <t>764919407R00</t>
  </si>
  <si>
    <t>M.sněhov.zachytávačů z lakovaného plechu do železa</t>
  </si>
  <si>
    <t>256</t>
  </si>
  <si>
    <t>Sněhový zachytávač SZT-CWL 2,4m</t>
  </si>
  <si>
    <t>257</t>
  </si>
  <si>
    <t>Držák sněhové zábrany DSZ-RF2TCWL</t>
  </si>
  <si>
    <t>258</t>
  </si>
  <si>
    <t>Gumové těsnění GT.DST2TCWL</t>
  </si>
  <si>
    <t>259</t>
  </si>
  <si>
    <t>spojovací materiál 5,5x20</t>
  </si>
  <si>
    <t>260</t>
  </si>
  <si>
    <t>764919408R00</t>
  </si>
  <si>
    <t>M.držáků hromosvodu</t>
  </si>
  <si>
    <t>261</t>
  </si>
  <si>
    <t>Hromosvodový držák pro vodič hromosvodu DHDK</t>
  </si>
  <si>
    <t>262</t>
  </si>
  <si>
    <t>764919513R00</t>
  </si>
  <si>
    <t>Montáž žlabů z lak.plech podokapní půlkruhové rš 400mm</t>
  </si>
  <si>
    <t>263</t>
  </si>
  <si>
    <t>Žlab okapový půlkruhový Z190, 4 m</t>
  </si>
  <si>
    <t>264</t>
  </si>
  <si>
    <t>Hák žlabový H190</t>
  </si>
  <si>
    <t>265</t>
  </si>
  <si>
    <t>Spojka žlabová SP190</t>
  </si>
  <si>
    <t>266</t>
  </si>
  <si>
    <t>Kout žlabový vnitřní ZKO190</t>
  </si>
  <si>
    <t>267</t>
  </si>
  <si>
    <t>764919597R00</t>
  </si>
  <si>
    <t>Montáž žlab.kotlíku.kónick.z lak.plechu, pro rš 400</t>
  </si>
  <si>
    <t>268</t>
  </si>
  <si>
    <t>Kotlík žlabový K190/120</t>
  </si>
  <si>
    <t>269</t>
  </si>
  <si>
    <t>764919601R00</t>
  </si>
  <si>
    <t>Montáž střešního okna</t>
  </si>
  <si>
    <t>270</t>
  </si>
  <si>
    <t>Výlezové okno 65 x 65 cm</t>
  </si>
  <si>
    <t>271</t>
  </si>
  <si>
    <t>553453610</t>
  </si>
  <si>
    <t>Spojovací plech SPR</t>
  </si>
  <si>
    <t>272</t>
  </si>
  <si>
    <t>764919922R00</t>
  </si>
  <si>
    <t>Montáž úžlabí z ocel. lak. plechu, rš nad 500 mm</t>
  </si>
  <si>
    <t>273</t>
  </si>
  <si>
    <t>553453606</t>
  </si>
  <si>
    <t>Úžlabí UR240 Polyuretan 50µm</t>
  </si>
  <si>
    <t>274</t>
  </si>
  <si>
    <t>764919931R00</t>
  </si>
  <si>
    <t>Montáž hřebene střechy z lakovaného plechu</t>
  </si>
  <si>
    <t>275</t>
  </si>
  <si>
    <t>553453620</t>
  </si>
  <si>
    <t>Držák hřebenáče perforovaný DHR aluzinek</t>
  </si>
  <si>
    <t>276</t>
  </si>
  <si>
    <t>553453310</t>
  </si>
  <si>
    <t>Hřebenáč ocelový rovný HRR, délka 2000 mm, Polyuretan 50µm</t>
  </si>
  <si>
    <t>277</t>
  </si>
  <si>
    <t>Pás větrací hřebene, nároží VPH l = 5 m</t>
  </si>
  <si>
    <t>278</t>
  </si>
  <si>
    <t>764928304R00</t>
  </si>
  <si>
    <t>Zhotovení (výroba) a montáž oplechování zdí z lakovaného plechu, rš 500 mm</t>
  </si>
  <si>
    <t>279</t>
  </si>
  <si>
    <t>Tabule ocelová TABS 1250x2000, tl. 0,5mm, Polyuretan 50µm</t>
  </si>
  <si>
    <t>280</t>
  </si>
  <si>
    <t>764929301R00</t>
  </si>
  <si>
    <t>Montáž oplechování zdí z lak. plechu, do rš 330 mm</t>
  </si>
  <si>
    <t>281</t>
  </si>
  <si>
    <t>553453596</t>
  </si>
  <si>
    <t>Oplechování ke zdi OZR120, délka 2000 mm, Polyuretan 50µm</t>
  </si>
  <si>
    <t>282</t>
  </si>
  <si>
    <t>765</t>
  </si>
  <si>
    <t>Krytina tvrdá</t>
  </si>
  <si>
    <t>283</t>
  </si>
  <si>
    <t>765799301R00</t>
  </si>
  <si>
    <t>Demontáž pojistné hydroizolace</t>
  </si>
  <si>
    <t>765_</t>
  </si>
  <si>
    <t>03_765_</t>
  </si>
  <si>
    <t>284</t>
  </si>
  <si>
    <t>765799311RK7</t>
  </si>
  <si>
    <t>Montáž fólie na krokve přibitím se slepením spojů</t>
  </si>
  <si>
    <t>podstřešní difúzní fólie, 135 g/m2, Sd=0,02 M</t>
  </si>
  <si>
    <t>285</t>
  </si>
  <si>
    <t>998765103R00</t>
  </si>
  <si>
    <t>Přesun hmot pro krytiny tvrdé, výšky do 24 m</t>
  </si>
  <si>
    <t>286</t>
  </si>
  <si>
    <t>766414141R00</t>
  </si>
  <si>
    <t>Obložení stěn pl. do 5 m2, deskami do 0,6 m2</t>
  </si>
  <si>
    <t>03_766_</t>
  </si>
  <si>
    <t>287</t>
  </si>
  <si>
    <t>Překližka foliovaná hladká bříza tl. 21 mm, F/F</t>
  </si>
  <si>
    <t>288</t>
  </si>
  <si>
    <t>289</t>
  </si>
  <si>
    <t>03_767_</t>
  </si>
  <si>
    <t>290</t>
  </si>
  <si>
    <t>291</t>
  </si>
  <si>
    <t>783780010RAC</t>
  </si>
  <si>
    <t>Impregnace tesařských konstrukcí</t>
  </si>
  <si>
    <t>03_783_</t>
  </si>
  <si>
    <t>dvojnásobná vysoce účinným univerzálním fungicidním a insekticidním přípravkem určeným pro dlouhodobou ochranu veškerého stavebního řeziva</t>
  </si>
  <si>
    <t>292</t>
  </si>
  <si>
    <t>03_95_</t>
  </si>
  <si>
    <t>293</t>
  </si>
  <si>
    <t>952901111R00</t>
  </si>
  <si>
    <t>Vyčištění budov o výšce podlaží do 4 m</t>
  </si>
  <si>
    <t>294</t>
  </si>
  <si>
    <t>962032641R00</t>
  </si>
  <si>
    <t>Bourání zdiva komínového z cihel na MC</t>
  </si>
  <si>
    <t>03_96_</t>
  </si>
  <si>
    <t>295</t>
  </si>
  <si>
    <t>963015111R00</t>
  </si>
  <si>
    <t>Demontáž prefabrikovaných krycích desek do 0,06 t</t>
  </si>
  <si>
    <t>296</t>
  </si>
  <si>
    <t>963015121R00</t>
  </si>
  <si>
    <t>Demontáž prefabrikovaných krycích desek do 0,09 t</t>
  </si>
  <si>
    <t>297</t>
  </si>
  <si>
    <t>963015141R00</t>
  </si>
  <si>
    <t>Demontáž prefabrikovaných krycích desek do 0,50 t</t>
  </si>
  <si>
    <t>298</t>
  </si>
  <si>
    <t>03_H99_</t>
  </si>
  <si>
    <t>299</t>
  </si>
  <si>
    <t>03_S_</t>
  </si>
  <si>
    <t>300</t>
  </si>
  <si>
    <t>301</t>
  </si>
  <si>
    <t>302</t>
  </si>
  <si>
    <t>303</t>
  </si>
  <si>
    <t>979990121R00</t>
  </si>
  <si>
    <t>Poplatek za uložení suti - asfaltové pásy, skupina odpadu 170302</t>
  </si>
  <si>
    <t>304</t>
  </si>
  <si>
    <t>979990161R00</t>
  </si>
  <si>
    <t>Poplatek za likvidaci (spalovna) - dřevo, skupina odpadu 170201</t>
  </si>
  <si>
    <t>305</t>
  </si>
  <si>
    <t>979990168R00</t>
  </si>
  <si>
    <t>Poplatek za uložení suti - sklo, skupina odpadu 170202</t>
  </si>
  <si>
    <t>306</t>
  </si>
  <si>
    <t>979990191R00</t>
  </si>
  <si>
    <t>Poplatek za uložení suti - plastové výrobky, skupina odpadu 170203</t>
  </si>
  <si>
    <t>307</t>
  </si>
  <si>
    <t>Hromosvod</t>
  </si>
  <si>
    <t>04</t>
  </si>
  <si>
    <t>308</t>
  </si>
  <si>
    <t>905      R01</t>
  </si>
  <si>
    <t>Hzs-revize provoz.souboru a st.obj.</t>
  </si>
  <si>
    <t>04_90_</t>
  </si>
  <si>
    <t>04_</t>
  </si>
  <si>
    <t>Revize</t>
  </si>
  <si>
    <t>309</t>
  </si>
  <si>
    <t>900      R23</t>
  </si>
  <si>
    <t>HZS - Demontáž hromosvodu, svodů</t>
  </si>
  <si>
    <t>elektromontér v tarifní třídě 6</t>
  </si>
  <si>
    <t>310</t>
  </si>
  <si>
    <t>HZS - vynášení suti do kontejneru</t>
  </si>
  <si>
    <t>M21</t>
  </si>
  <si>
    <t>Elektromontáže</t>
  </si>
  <si>
    <t>311</t>
  </si>
  <si>
    <t>210220002R00</t>
  </si>
  <si>
    <t>Vedení uzemňovací na povrchu FeZn D 10 mm</t>
  </si>
  <si>
    <t>M21_</t>
  </si>
  <si>
    <t>04_M21_</t>
  </si>
  <si>
    <t>312</t>
  </si>
  <si>
    <t>35444180</t>
  </si>
  <si>
    <t>Drát 8 AlMgSi T/4</t>
  </si>
  <si>
    <t>313</t>
  </si>
  <si>
    <t>210220101RU2</t>
  </si>
  <si>
    <t>Vodiče svodové FeZn D do 10,Al 10,Cu 8 +podpěry</t>
  </si>
  <si>
    <t>včetně dodávky drátu AlMgSi T/4 8 mm</t>
  </si>
  <si>
    <t>314</t>
  </si>
  <si>
    <t>210220211RT1</t>
  </si>
  <si>
    <t>Tyč jímací s upev. na stř.hřeben do 2 m, do dřeva</t>
  </si>
  <si>
    <t>včetně dodávky jímací tyče + 2 držáků</t>
  </si>
  <si>
    <t>315</t>
  </si>
  <si>
    <t>210220301RT1</t>
  </si>
  <si>
    <t>Svorka hromosvodová do 2 šroubů /SS, SZ, SO/</t>
  </si>
  <si>
    <t>včetně dodávky svorky SO</t>
  </si>
  <si>
    <t>316</t>
  </si>
  <si>
    <t>210220301RT2</t>
  </si>
  <si>
    <t>včetně dodávky svorky SS</t>
  </si>
  <si>
    <t>317</t>
  </si>
  <si>
    <t>210220301RT3</t>
  </si>
  <si>
    <t>včetně dodávky svorky SZ</t>
  </si>
  <si>
    <t>318</t>
  </si>
  <si>
    <t>210220302RT5</t>
  </si>
  <si>
    <t>Svorka hromosvodová nad 2 šrouby /ST, SJ, SR, atd/</t>
  </si>
  <si>
    <t>včetně dodávky svorky SJ 1 k jímací tyči</t>
  </si>
  <si>
    <t>319</t>
  </si>
  <si>
    <t>210220361RT1</t>
  </si>
  <si>
    <t>Zemnič tyčový, zaražení a připojení, do 2 m</t>
  </si>
  <si>
    <t>včetně dodávky tyče ZT 2,0   2000 mm</t>
  </si>
  <si>
    <t>320</t>
  </si>
  <si>
    <t>210220372RT1</t>
  </si>
  <si>
    <t>Úhelník ochranný nebo trubka s držáky do zdiva</t>
  </si>
  <si>
    <t>včetně ochran.úhelníku + 2 držáky do zdi</t>
  </si>
  <si>
    <t>321</t>
  </si>
  <si>
    <t>210220401RT1</t>
  </si>
  <si>
    <t>Označení svodu štítky, smaltované, umělá hmota</t>
  </si>
  <si>
    <t>včetně dodávky štítku</t>
  </si>
  <si>
    <t>322</t>
  </si>
  <si>
    <t>210220801R00</t>
  </si>
  <si>
    <t>Změření zemního odporu, vč. měřicího protokolu</t>
  </si>
  <si>
    <t>M46</t>
  </si>
  <si>
    <t>Zemní práce při montážích</t>
  </si>
  <si>
    <t>323</t>
  </si>
  <si>
    <t>460030011R00</t>
  </si>
  <si>
    <t>Sejmutí drnu</t>
  </si>
  <si>
    <t>M46_</t>
  </si>
  <si>
    <t>04_M46_</t>
  </si>
  <si>
    <t>324</t>
  </si>
  <si>
    <t>460200154R00</t>
  </si>
  <si>
    <t>Výkop kabelové rýhy 35/70 cm  hor.4</t>
  </si>
  <si>
    <t>325</t>
  </si>
  <si>
    <t>460570154R00</t>
  </si>
  <si>
    <t>Zához rýhy 35/70 cm, hornina třídy 4, se zhutněním</t>
  </si>
  <si>
    <t>326</t>
  </si>
  <si>
    <t>460620001R00</t>
  </si>
  <si>
    <t>Položení drnu</t>
  </si>
  <si>
    <t>Vedlejší a ostatní náklady</t>
  </si>
  <si>
    <t>VON</t>
  </si>
  <si>
    <t>327</t>
  </si>
  <si>
    <t>184807111R00</t>
  </si>
  <si>
    <t>Ochrana stromu bedněním - zřízení</t>
  </si>
  <si>
    <t>VON_18_</t>
  </si>
  <si>
    <t>VON_</t>
  </si>
  <si>
    <t>328</t>
  </si>
  <si>
    <t>184807112R00</t>
  </si>
  <si>
    <t>Ochrana stromu bedněním - odstranění</t>
  </si>
  <si>
    <t>VORN</t>
  </si>
  <si>
    <t>Vedlejší a ostatní rozpočtové náklady</t>
  </si>
  <si>
    <t>01VRN</t>
  </si>
  <si>
    <t>Průzkumy, geodetické a projektové práce</t>
  </si>
  <si>
    <t>329</t>
  </si>
  <si>
    <t>011002VRN</t>
  </si>
  <si>
    <t>Průzkumné práce, statické posouzení v průběhu realizace stavby</t>
  </si>
  <si>
    <t>Soubor</t>
  </si>
  <si>
    <t>01VRN_</t>
  </si>
  <si>
    <t>VON_01VRN_</t>
  </si>
  <si>
    <t>330</t>
  </si>
  <si>
    <t>012002VRN</t>
  </si>
  <si>
    <t>Vytyčení inženýrských sítí</t>
  </si>
  <si>
    <t>331</t>
  </si>
  <si>
    <t>013002VRN</t>
  </si>
  <si>
    <t>Dokumentace skutečného provedení stavby</t>
  </si>
  <si>
    <t>03VRN</t>
  </si>
  <si>
    <t>Zařízení staveniště</t>
  </si>
  <si>
    <t>332</t>
  </si>
  <si>
    <t>032002VRN</t>
  </si>
  <si>
    <t>Vybavení staveniště</t>
  </si>
  <si>
    <t>03VRN_</t>
  </si>
  <si>
    <t>VON_03VRN_</t>
  </si>
  <si>
    <t>333</t>
  </si>
  <si>
    <t>034002VRN</t>
  </si>
  <si>
    <t>Zabezpečení staveniště</t>
  </si>
  <si>
    <t>334</t>
  </si>
  <si>
    <t>035002VRN</t>
  </si>
  <si>
    <t>Pronájem zařízení a místa</t>
  </si>
  <si>
    <t>335</t>
  </si>
  <si>
    <t>039002VRN</t>
  </si>
  <si>
    <t>Odstranění zařízení staveniště</t>
  </si>
  <si>
    <t>04VRN</t>
  </si>
  <si>
    <t>Inženýrské činnosti</t>
  </si>
  <si>
    <t>336</t>
  </si>
  <si>
    <t>041002VRN</t>
  </si>
  <si>
    <t>Ornitologický dozor</t>
  </si>
  <si>
    <t>04VRN_</t>
  </si>
  <si>
    <t>VON_04VRN_</t>
  </si>
  <si>
    <t>337</t>
  </si>
  <si>
    <t>045002VRN</t>
  </si>
  <si>
    <t>Náklady na soutěž, kompletaci a koordinaci</t>
  </si>
  <si>
    <t>07VRN</t>
  </si>
  <si>
    <t>Provozní vlivy</t>
  </si>
  <si>
    <t>338</t>
  </si>
  <si>
    <t>072002VRN</t>
  </si>
  <si>
    <t>Silniční provoz - DIO, DIR a dopravní značení</t>
  </si>
  <si>
    <t>07VRN_</t>
  </si>
  <si>
    <t>VON_07VRN_</t>
  </si>
  <si>
    <t>Celkem:</t>
  </si>
  <si>
    <t>Poznámka:</t>
  </si>
  <si>
    <t>Slepý stavební rozpočet - rekapitulace</t>
  </si>
  <si>
    <t>Objekt</t>
  </si>
  <si>
    <t>Zkrácený popis</t>
  </si>
  <si>
    <t>Náklady (Kč) - dodávka</t>
  </si>
  <si>
    <t>Náklady (Kč) - Montáž</t>
  </si>
  <si>
    <t>Náklady (Kč) - celkem</t>
  </si>
  <si>
    <t>F</t>
  </si>
  <si>
    <t>T</t>
  </si>
  <si>
    <t>Výkaz výměr</t>
  </si>
  <si>
    <t>Potřebné množství</t>
  </si>
  <si>
    <t>(25,68+2,6)*0,3</t>
  </si>
  <si>
    <t>dlažba chodník</t>
  </si>
  <si>
    <t>(11,55+12,31+24,9-1,8+13,95-1,8+1,42)*0,6</t>
  </si>
  <si>
    <t>přídlažba chodník</t>
  </si>
  <si>
    <t>(23,72-2,6-1,8+24,9-1,8+23,9-1,8+15,9)*0,5</t>
  </si>
  <si>
    <t>0,15*(25,68+2,6)*0,3</t>
  </si>
  <si>
    <t>0,15*(11,55+12,31+24,9-1,8+13,95-1,8+1,42)*0,6</t>
  </si>
  <si>
    <t>0,15*(23,72-2,6-1,8+24,9-1,8+23,9-1,8+15,9)*0,5</t>
  </si>
  <si>
    <t>2,0*9,5</t>
  </si>
  <si>
    <t>ZS</t>
  </si>
  <si>
    <t>;1kg/25m2</t>
  </si>
  <si>
    <t>2,0*9,5/25</t>
  </si>
  <si>
    <t>10% nová dlažba, 90% využití původní dlažby</t>
  </si>
  <si>
    <t>(25,68+2,6)*0,3*0,1</t>
  </si>
  <si>
    <t>(11,55+12,31+24,9-1,8+13,95-1,8+1,42)*0,6*0,1</t>
  </si>
  <si>
    <t>(25,68+2,6)*1</t>
  </si>
  <si>
    <t>(11,55+12,31+24,9-1,8+13,95-1,8+1,42)*1</t>
  </si>
  <si>
    <t>(23,72-2,6-1,8+24,9-1,8+23,9-1,8+15,9)*1</t>
  </si>
  <si>
    <t>3*((2*0,55*3,73)+(2,8*1,125))</t>
  </si>
  <si>
    <t>vstupní portály</t>
  </si>
  <si>
    <t>3*(0,15*(3,73+1,125+2,8+1,125+3,73+3,73+2,8+3,73))</t>
  </si>
  <si>
    <t>(3,455+0,48)*(25,38+23,725+24,9+23,4+15,9)</t>
  </si>
  <si>
    <t>fasáda uliční 1NP</t>
  </si>
  <si>
    <t>-12*(2,0*1,4)</t>
  </si>
  <si>
    <t>okno 2,1/1,5</t>
  </si>
  <si>
    <t>-15*(1,25+1,4)</t>
  </si>
  <si>
    <t>okno 1,35/1,5</t>
  </si>
  <si>
    <t>-3*(1,55*1,775)</t>
  </si>
  <si>
    <t>vstupní dveře 1,65/3,075</t>
  </si>
  <si>
    <t>-3*(2,0*1,16)</t>
  </si>
  <si>
    <t>vstupy MW</t>
  </si>
  <si>
    <t>0,25*(25,4+72,1+15,85+1,57+51,37+11,7)</t>
  </si>
  <si>
    <t>římsa podstřešní</t>
  </si>
  <si>
    <t>(25,38+23,725+24,9+23,4+15,9-3*1,55+1,42+13,95+24,9+12,31+11,55-1,75-1,55-1,26)*0,4</t>
  </si>
  <si>
    <t>sokl</t>
  </si>
  <si>
    <t>32*(0,9+0,6+0,9+0,6)</t>
  </si>
  <si>
    <t>okno 1/T 0,9x0,6</t>
  </si>
  <si>
    <t>32*0,4*(0,9+0,6+0,9+0,6)</t>
  </si>
  <si>
    <t>32*(0,9*0,6)</t>
  </si>
  <si>
    <t>okno 0,9/0,6</t>
  </si>
  <si>
    <t>90*(2,1*1,5)</t>
  </si>
  <si>
    <t>127*(1,35*1,5)</t>
  </si>
  <si>
    <t>1*(1,12*1,5)</t>
  </si>
  <si>
    <t>okno 1,12/1,5</t>
  </si>
  <si>
    <t>4*(1,05*1,5)</t>
  </si>
  <si>
    <t>okno 1,05/1,5</t>
  </si>
  <si>
    <t>5*(0,6*0,9)</t>
  </si>
  <si>
    <t>okno 0,6/0,9</t>
  </si>
  <si>
    <t>5*(0,9*0,9)</t>
  </si>
  <si>
    <t>okno 0,9/0,9</t>
  </si>
  <si>
    <t>12*(1,5*1,2)</t>
  </si>
  <si>
    <t>okno 1,5/1,2</t>
  </si>
  <si>
    <t>3*(1,5*0,9)</t>
  </si>
  <si>
    <t>okno 1,5/0,9</t>
  </si>
  <si>
    <t>1*(1,36*2,6)</t>
  </si>
  <si>
    <t>vstupní dveře 1,36/2,6</t>
  </si>
  <si>
    <t>1*(1,65*2,6)</t>
  </si>
  <si>
    <t>vstupní dveře 1,65/2,6</t>
  </si>
  <si>
    <t>1*(1,85*2,6)</t>
  </si>
  <si>
    <t>vstupní dveře 1,85/2,6</t>
  </si>
  <si>
    <t>3*(0,45*0,6)</t>
  </si>
  <si>
    <t>EL</t>
  </si>
  <si>
    <t>1*(0,45*0,45)</t>
  </si>
  <si>
    <t>2*(0,3*0,45)</t>
  </si>
  <si>
    <t>3*((0,5*0,5)+0,3*(0,5+0,5+0,5+0,5))</t>
  </si>
  <si>
    <t>HUP</t>
  </si>
  <si>
    <t>3*(1,65*3,075)</t>
  </si>
  <si>
    <t>10% z celkové plochy</t>
  </si>
  <si>
    <t>((3,455+0,48)*(25,38+23,725+24,9+23,4+15,9))*0,1</t>
  </si>
  <si>
    <t>((15,225-3,455)*(25,23+23,59+24,9+23,25+15,75))*0,1</t>
  </si>
  <si>
    <t>fasáda uliční 2NP-5NP</t>
  </si>
  <si>
    <t>((3,1+0,48)*(11,55+12,31+24,9+13,95+1,42))*0,1</t>
  </si>
  <si>
    <t>fasáda dvorní 1NP</t>
  </si>
  <si>
    <t>((15,225-3,1)*(11,69+12,46+24,9+13,95+1,57))*0,1</t>
  </si>
  <si>
    <t>fasáda dvorní 2NP-5NP</t>
  </si>
  <si>
    <t>((5,37*9,6)+((19,225-15,225)*9,6/2))*0,1</t>
  </si>
  <si>
    <t>štít k Alešova 787</t>
  </si>
  <si>
    <t>((4,4*12,6)+((20,85-15,225)*12,6/2))*0,1</t>
  </si>
  <si>
    <t>štít k tř. Dr. E. Beneše 885</t>
  </si>
  <si>
    <t>((25,38+23,725-1,55+24,9-1,55+23,4-1,55+15,9)*0,95)*0,1</t>
  </si>
  <si>
    <t>((11,55+12,31-1,26+24,9-1,55+7,95)*0,95+(6,0-1,75+1,42)*1,1)*0,1</t>
  </si>
  <si>
    <t>osvětlení</t>
  </si>
  <si>
    <t>1*2</t>
  </si>
  <si>
    <t>tabule</t>
  </si>
  <si>
    <t>11,55+12,31-1,36+24,9-1,65+13,95-1,85+1,42</t>
  </si>
  <si>
    <t>fasáda 1np</t>
  </si>
  <si>
    <t>4*16,8</t>
  </si>
  <si>
    <t>6,5+4,3</t>
  </si>
  <si>
    <t>komín sousedního objektu</t>
  </si>
  <si>
    <t>-(3,455+0,48)*(1,5+1,5)</t>
  </si>
  <si>
    <t>1NP nároží MW</t>
  </si>
  <si>
    <t>-3*(2,0*1,66)</t>
  </si>
  <si>
    <t>(15,225-3,455)*(25,23+23,59+24,9+23,25+15,75)</t>
  </si>
  <si>
    <t>-48*(2,0*1,4)</t>
  </si>
  <si>
    <t>-72*(1,25+1,4)</t>
  </si>
  <si>
    <t>-(15,225-3,455)*(1,5+1,0)</t>
  </si>
  <si>
    <t>2NP-5NP nároží MW</t>
  </si>
  <si>
    <t>(3,1+0,48)*(11,55+12,31+24,9+13,95+1,42)</t>
  </si>
  <si>
    <t>(15,225-3,1)*(11,69+12,46+24,9+13,95+1,57)</t>
  </si>
  <si>
    <t>-30*(2,0*1,4)</t>
  </si>
  <si>
    <t>-40*(1,25+1,4)</t>
  </si>
  <si>
    <t>-1*(1,02*1,4)</t>
  </si>
  <si>
    <t>-4*(0,95*1,4)</t>
  </si>
  <si>
    <t>-5*(0,5*0,8)</t>
  </si>
  <si>
    <t>-5*(0,8*0,8)</t>
  </si>
  <si>
    <t>-12*(1,4*1,1)</t>
  </si>
  <si>
    <t>-3*(1,4*0,8)</t>
  </si>
  <si>
    <t>-1*(1,26*1,63)</t>
  </si>
  <si>
    <t>-1*(1,55*1,63)</t>
  </si>
  <si>
    <t>-1*(1,75*1,63)</t>
  </si>
  <si>
    <t>(5,37*9,6)+((19,225-15,225)*9,6/2)</t>
  </si>
  <si>
    <t>(4,4*12,6)+((20,85-15,225)*12,6/2)</t>
  </si>
  <si>
    <t>ostění, nádpraží</t>
  </si>
  <si>
    <t>90*(0,3*(1,5+2,1+1,5))</t>
  </si>
  <si>
    <t>127*(0,3*(1,5+1,35+1,5))</t>
  </si>
  <si>
    <t>1*(0,3*(1,5+1,12+1,5))</t>
  </si>
  <si>
    <t>4*(0,3*(1,5+1,05+1,5))</t>
  </si>
  <si>
    <t>5*(0,3*(0,9+0,6+0,9))</t>
  </si>
  <si>
    <t>5*(0,3*(0,9+0,9+0,9))</t>
  </si>
  <si>
    <t>12*(0,4*(1,2+1,5+1,2))</t>
  </si>
  <si>
    <t>3*(0,4*(0,9+1,5+0,9))</t>
  </si>
  <si>
    <t>3*(0,45*(2,305+1,65+2,305))</t>
  </si>
  <si>
    <t>1*(0,45*(1,68+1,36+1,68))</t>
  </si>
  <si>
    <t>1*(0,45*(1,68+1,65+1,68))</t>
  </si>
  <si>
    <t>1*(0,45*(1,68+1,85+1,68))</t>
  </si>
  <si>
    <t>6*(0,3*(13,15-4*1,2-1*0,9))</t>
  </si>
  <si>
    <t>uskočená fasáda ve schodišti - ostění</t>
  </si>
  <si>
    <t>1*(0,3*0,35)</t>
  </si>
  <si>
    <t>uskočená fasáda ve schodišti - nádpraží</t>
  </si>
  <si>
    <t>(25,38+23,725-1,55+24,9-1,55+23,4-1,55+15,9)*0,95</t>
  </si>
  <si>
    <t>-20*(0,8*0,5)</t>
  </si>
  <si>
    <t>(25,38+23,725-1,55+24,9-1,55+23,4-1,55+15,9)*0,3</t>
  </si>
  <si>
    <t>sokl pod terén</t>
  </si>
  <si>
    <t>(11,55+12,31-1,26+24,9-1,55+7,95)*0,95+(6,0-1,75+1,42)*1,1</t>
  </si>
  <si>
    <t>-12*(0,8*0,5)</t>
  </si>
  <si>
    <t>(11,55+12,31-1,26+24,9-1,55+7,95+6,0-1,75+1,42)*0,3</t>
  </si>
  <si>
    <t>32*(0,3*(0,6+0,9+0,6))</t>
  </si>
  <si>
    <t>3*(0,45*(0,77+0,77))</t>
  </si>
  <si>
    <t>1*(0,45*(0,92+0,92))</t>
  </si>
  <si>
    <t>32*(0,3*0,9)</t>
  </si>
  <si>
    <t>90*(0,3*2,1)</t>
  </si>
  <si>
    <t>127*(0,3*1,35)</t>
  </si>
  <si>
    <t>1*(0,3*1,12)</t>
  </si>
  <si>
    <t>4*(0,3*1,05)</t>
  </si>
  <si>
    <t>5*(0,3*0,6)</t>
  </si>
  <si>
    <t>5*(0,3*0,9)</t>
  </si>
  <si>
    <t>12*(0,4*1,5)</t>
  </si>
  <si>
    <t>3*(0,4*1,5)</t>
  </si>
  <si>
    <t>(3,455+0,48)*(1,5+1,5)</t>
  </si>
  <si>
    <t>1NP nároží</t>
  </si>
  <si>
    <t>(15,225-3,455)*(1,5+1,0)</t>
  </si>
  <si>
    <t>2NP-5NP nároží</t>
  </si>
  <si>
    <t>3*(2,0*1,66)</t>
  </si>
  <si>
    <t>vstupy</t>
  </si>
  <si>
    <t>(25,38+23,725-1,55+24,9-1,55+23,4-1,55+15,9)*1,1</t>
  </si>
  <si>
    <t>(11,55+12,31-1,26+24,9-1,55+7,95+6,0-1,75+1,42)*1,1</t>
  </si>
  <si>
    <t>96*(1,65+1,8+1,65+1,8)</t>
  </si>
  <si>
    <t>3*(1,25+1,5+1,25+1,5)</t>
  </si>
  <si>
    <t>zdobné prvky 5NP</t>
  </si>
  <si>
    <t>2*(0,65+1,5+0,65+1,5)</t>
  </si>
  <si>
    <t>2*(0,525+1,5+0,525+1,5)</t>
  </si>
  <si>
    <t>14*(1,55+1,5+1,55+1,5)</t>
  </si>
  <si>
    <t>3*(1,65+1,5+1,65+1,5)</t>
  </si>
  <si>
    <t>4*(0,825+1,5+0,825+1,5)</t>
  </si>
  <si>
    <t>96*(1,65+1,8+1,65+1,8)*0,19</t>
  </si>
  <si>
    <t>3*(1,25+1,5+1,25+1,5)*0,24</t>
  </si>
  <si>
    <t>2*(0,65+1,5+0,65+1,5)*0,24</t>
  </si>
  <si>
    <t>2*(0,525+1,5+0,525+1,5)*0,24</t>
  </si>
  <si>
    <t>14*(1,55+1,5+1,55+1,5)*0,24</t>
  </si>
  <si>
    <t>3*(1,65+1,5+1,65+1,5)*0,24</t>
  </si>
  <si>
    <t>4*(0,825+1,5+0,825+1,5)*0,24</t>
  </si>
  <si>
    <t>3*2,95</t>
  </si>
  <si>
    <t>1*2*3,8</t>
  </si>
  <si>
    <t>2*2*3,6</t>
  </si>
  <si>
    <t>(0,25+0,25)*(25,4+72,1+15,85+1,57+51,37+11,7)</t>
  </si>
  <si>
    <t>(0,15+0,15)*(19,8+5,3+23,6+24,7+23,3+4,1+11,4)</t>
  </si>
  <si>
    <t>římsa 4np</t>
  </si>
  <si>
    <t>(0,15+0,225)*(19,8+5,4+23,8+24,7+23,4+4,3+11,4)</t>
  </si>
  <si>
    <t>římsa 1np</t>
  </si>
  <si>
    <t>0,5*(25,4+72,1+15,85+1,57+51,37+11,7)</t>
  </si>
  <si>
    <t>5*(13,15-4*1,2-1*0,9)+1*13,15</t>
  </si>
  <si>
    <t>ustoupené schodiště rohová lišta</t>
  </si>
  <si>
    <t>50,4*0,6</t>
  </si>
  <si>
    <t>spotřeba 0,6kg/bm</t>
  </si>
  <si>
    <t>;ztratné 10%; 5,04</t>
  </si>
  <si>
    <t>25,4+72,1+15,85+1,57+51,37+11,7</t>
  </si>
  <si>
    <t>římsa podstřešní nádpražní profil</t>
  </si>
  <si>
    <t>0,35</t>
  </si>
  <si>
    <t>ustoupené schodiště nádpražní profil</t>
  </si>
  <si>
    <t>19,8+5,4+23,8+24,7+23,4+4,3+11,4</t>
  </si>
  <si>
    <t>římsa 1np parapetní profil</t>
  </si>
  <si>
    <t>1,5+1,5+1,8</t>
  </si>
  <si>
    <t>parapet uskočeného schodiště parapetní profil</t>
  </si>
  <si>
    <t>0,6+11,5+11,7+11,7+11,0+2,8+8,7</t>
  </si>
  <si>
    <t>19,8+5,3+23,6+24,7+23,3+4,1+11,4</t>
  </si>
  <si>
    <t>římsa 4np parapetní profil</t>
  </si>
  <si>
    <t>římsa 1np parapetní napojovací</t>
  </si>
  <si>
    <t>parapet uskočeného schodiště parapetní napojovací profil</t>
  </si>
  <si>
    <t>římsa 1np parapetní napojovací profil</t>
  </si>
  <si>
    <t>římsa 4np parapetní napojovací profil</t>
  </si>
  <si>
    <t>10,4+6,6+0,6+6,3</t>
  </si>
  <si>
    <t>atika sousedních objektů</t>
  </si>
  <si>
    <t>777,84*0,6</t>
  </si>
  <si>
    <t>;ztratné 10%; 17,834</t>
  </si>
  <si>
    <t>;ztratné 10%; 28,78</t>
  </si>
  <si>
    <t>;ztratné 10%; 31,17</t>
  </si>
  <si>
    <t>;ztratné 10%; 17,799</t>
  </si>
  <si>
    <t>;ztratné 10%; 11,22</t>
  </si>
  <si>
    <t>;ztratné 10%; 11,28</t>
  </si>
  <si>
    <t>4*(0,75+0,75+1,65+1,65+1,65+1,65+1,76+1,76)</t>
  </si>
  <si>
    <t>vodorovné nuty 2NP mezi okny</t>
  </si>
  <si>
    <t>;ztratné 10%; 4,648</t>
  </si>
  <si>
    <t>25,38+23,725+24,9+23,4+15,9-3*2,8</t>
  </si>
  <si>
    <t>vodorovné nuty 1NP/sokl</t>
  </si>
  <si>
    <t>4*(25,38-4*2,0-3*1,25-0,2)</t>
  </si>
  <si>
    <t>vodorovné nuty 1NP mezi okny</t>
  </si>
  <si>
    <t>4*(23,725+24,9+23,4-6*2,0-10*1,25-3*2,8-2*0,2)</t>
  </si>
  <si>
    <t>4*(15,9-2*2,0-2*1,25-0,2-0,15)</t>
  </si>
  <si>
    <t>3*2*(0,075+0,45+0,075+2,83+0,4+2,83+0,45+0,15+0,45+0,15+0,65+0,55+0,65+2*(0,1+0,15+0,65+0,15))</t>
  </si>
  <si>
    <t>3*(3,125+1,75+3,125)</t>
  </si>
  <si>
    <t>vstupní dveře</t>
  </si>
  <si>
    <t>(25,38+23,725+24,9+23,4+15,9-3*1,55+1,42+13,95+24,9+12,31+11,55-1,75-1,55-1,26)*0,25</t>
  </si>
  <si>
    <t>zdivo pod terénem</t>
  </si>
  <si>
    <t>(25,38+23,725+24,9+23,4+15,9-3*1,55+1,42+13,95+24,9+12,31+11,55-1,75-1,55-1,26)*0,6</t>
  </si>
  <si>
    <t>;svislá hydroizolace spotřeba 0,4kg/m2</t>
  </si>
  <si>
    <t>(25,38+23,725+24,9+23,4+15,9-3*1,55+1,42+13,95+24,9+12,31+11,55-1,75-1,55-1,26)*0,6*0,4</t>
  </si>
  <si>
    <t>(25,38+23,725+24,9+23,4+15,9-3*1,55+1,42+13,95+24,9+12,31+11,55-1,75-1,55-1,26)*0,5</t>
  </si>
  <si>
    <t>;ztratné 10%; 8,41125</t>
  </si>
  <si>
    <t>60*0,5</t>
  </si>
  <si>
    <t>;položka 2/K</t>
  </si>
  <si>
    <t>90*2,1</t>
  </si>
  <si>
    <t>31*1,35</t>
  </si>
  <si>
    <t>1*1,12</t>
  </si>
  <si>
    <t>4*1,05</t>
  </si>
  <si>
    <t>5*0,6</t>
  </si>
  <si>
    <t>5*0,9</t>
  </si>
  <si>
    <t>12*1,5</t>
  </si>
  <si>
    <t>3*1,5</t>
  </si>
  <si>
    <t>;položka 3/K</t>
  </si>
  <si>
    <t>96*1,35</t>
  </si>
  <si>
    <t>;oplechování říms 4/K</t>
  </si>
  <si>
    <t>parapet uskočeného schodiště</t>
  </si>
  <si>
    <t>;oplechování říms 5/K</t>
  </si>
  <si>
    <t>;položka 1/K</t>
  </si>
  <si>
    <t>12*0,9</t>
  </si>
  <si>
    <t>20*0,9</t>
  </si>
  <si>
    <t>9*15,7</t>
  </si>
  <si>
    <t>6*1,4+2*1,3+1,1</t>
  </si>
  <si>
    <t>(10,4+6,6+0,6+6,3)/2,0</t>
  </si>
  <si>
    <t>;ztratné 10%; 1,195</t>
  </si>
  <si>
    <t>;ztratné 10%; 42,457</t>
  </si>
  <si>
    <t>12*(0,9+0,6+0,9+0,6)</t>
  </si>
  <si>
    <t>20*(0,9+0,6+0,9+0,6)</t>
  </si>
  <si>
    <t>;ztratné 10%; 9,6</t>
  </si>
  <si>
    <t>12,6+16,9</t>
  </si>
  <si>
    <t>napojení střechy</t>
  </si>
  <si>
    <t>;ztratné 10%; 2,95</t>
  </si>
  <si>
    <t>1/T okno 0,9/0,6 sklopné</t>
  </si>
  <si>
    <t>(60+2)*0,5</t>
  </si>
  <si>
    <t>větrací mřížka</t>
  </si>
  <si>
    <t>127*3,0</t>
  </si>
  <si>
    <t>zahrádky</t>
  </si>
  <si>
    <t>4*10,0</t>
  </si>
  <si>
    <t>konzoly, výložníky apod</t>
  </si>
  <si>
    <t>32*6,0</t>
  </si>
  <si>
    <t>mříže sklepních oken</t>
  </si>
  <si>
    <t>3*20,0</t>
  </si>
  <si>
    <t>mříže oken 1,5/0,9</t>
  </si>
  <si>
    <t>32*(0,8*0,52)</t>
  </si>
  <si>
    <t>1/Z ocelová mříž před sklepní okno, výplň tahokov 0,7*0,52</t>
  </si>
  <si>
    <t>okno 1,5/0,9 mříže</t>
  </si>
  <si>
    <t>3*(1,5*0,9)*2</t>
  </si>
  <si>
    <t>127*(1,55*0,15)*2</t>
  </si>
  <si>
    <t>zahrádka</t>
  </si>
  <si>
    <t>6*2,0</t>
  </si>
  <si>
    <t>demontáž, montáž zámečnických prvků D1, M1 revizní dvířka</t>
  </si>
  <si>
    <t>2*2,0</t>
  </si>
  <si>
    <t>demontáž, montáž zámečnických prvků D1, M1 anténa</t>
  </si>
  <si>
    <t>3*4,0</t>
  </si>
  <si>
    <t>úprava mříží</t>
  </si>
  <si>
    <t>127*2,0</t>
  </si>
  <si>
    <t>úprava a zpětná montáž zahrádek M1</t>
  </si>
  <si>
    <t>11*1,0</t>
  </si>
  <si>
    <t>demontáž a zpětná montáž ostatních prvků D4, M4 or. tabulka</t>
  </si>
  <si>
    <t>(20+1)*1,0</t>
  </si>
  <si>
    <t>MTZ hnízdních budek</t>
  </si>
  <si>
    <t>úprava kotvení komínového nástavce sousedního objektu</t>
  </si>
  <si>
    <t>1,1kg/m [t]</t>
  </si>
  <si>
    <t>3*(1,5+0,9+1,5+0,9)*1,1/1000</t>
  </si>
  <si>
    <t>1,18kg/m</t>
  </si>
  <si>
    <t>3*(4*0,15)*1,18/1000</t>
  </si>
  <si>
    <t>18,0*(25,38+2*1,0+23,8+1,0+24,9+23,4+1,0+15,9+2*1,0)</t>
  </si>
  <si>
    <t>fasáda uliční</t>
  </si>
  <si>
    <t>18,0*(11,55+1,0+12,3+24,9+13,95+1,4)</t>
  </si>
  <si>
    <t>fasáda dvorní</t>
  </si>
  <si>
    <t>10,0*(12,6+2*1,0+9,5+2*1,0)</t>
  </si>
  <si>
    <t>štíty</t>
  </si>
  <si>
    <t>3*18,0*(25,38+2*1,0+23,8+1,0+24,9+23,4+1,0+15,9+2*1,0)</t>
  </si>
  <si>
    <t>3*18,0*(11,55+1,0+12,3+24,9+13,95+1,4)</t>
  </si>
  <si>
    <t>3*10,0*(12,6+2*1,0+9,5+2*1,0)</t>
  </si>
  <si>
    <t>3*(2,0*1,0)</t>
  </si>
  <si>
    <t>okno 1/T 0,9x0,6 - kotelna</t>
  </si>
  <si>
    <t>3*2,0</t>
  </si>
  <si>
    <t xml:space="preserve"> hlavní vstup</t>
  </si>
  <si>
    <t>3*3*2,0</t>
  </si>
  <si>
    <t>hlavní vstup</t>
  </si>
  <si>
    <t>3*2,0*3,5</t>
  </si>
  <si>
    <t>3*(11,3+11,3+3,0)*17,4/1000</t>
  </si>
  <si>
    <t>štíty 17,4kg/m</t>
  </si>
  <si>
    <t>(11,3+11,3+3,0)*17,4/1000</t>
  </si>
  <si>
    <t>3*(14,3+14,3+3,0)*17,4/1000</t>
  </si>
  <si>
    <t>(14,3+14,3+3,0)*17,4/1000</t>
  </si>
  <si>
    <t>127*4</t>
  </si>
  <si>
    <t>3*4</t>
  </si>
  <si>
    <t>32*4</t>
  </si>
  <si>
    <t>okno 0,9/0,6 mříže</t>
  </si>
  <si>
    <t>komínový nástavec</t>
  </si>
  <si>
    <t>ochranná přizdívka z CP</t>
  </si>
  <si>
    <t>0,15*(25,4+72,1+15,85+1,57+51,37+11,7)</t>
  </si>
  <si>
    <t>0,15*(19,8+5,3+23,6+24,7+23,3+4,1+11,4)</t>
  </si>
  <si>
    <t>0,15*(19,8+5,4+23,8+24,7+23,4+4,3+11,4)</t>
  </si>
  <si>
    <t>32*1</t>
  </si>
  <si>
    <t>96*(0,15*(1,65+1,8+1,65+1,8))</t>
  </si>
  <si>
    <t>3*(0,2*(1,25+1,5+1,25+1,5))</t>
  </si>
  <si>
    <t>2*(0,2*(0,65+1,5+0,65+1,5))</t>
  </si>
  <si>
    <t>2*(0,2*(0,525+1,5+0,525+1,5))</t>
  </si>
  <si>
    <t>14*(0,2*(1,55+1,5+1,55+1,5))</t>
  </si>
  <si>
    <t>3*(0,2*(1,65+1,5+1,65+1,5))</t>
  </si>
  <si>
    <t>4*(0,2*(0,825+1,5+0,825+1,5))</t>
  </si>
  <si>
    <t>3*84,31076</t>
  </si>
  <si>
    <t>10*84,31076</t>
  </si>
  <si>
    <t>11,4*(11,5+24,7)/2</t>
  </si>
  <si>
    <t>podlaha půdy 124</t>
  </si>
  <si>
    <t>13,2*(23,0-10,5-3,6)/2</t>
  </si>
  <si>
    <t>6,6*3,6+13,2*10,5</t>
  </si>
  <si>
    <t>13,2*(10,5+10,5)</t>
  </si>
  <si>
    <t>podlaha půdy 125</t>
  </si>
  <si>
    <t>6,6*3,6</t>
  </si>
  <si>
    <t>13,2*10,35</t>
  </si>
  <si>
    <t>podlaha půdy 126</t>
  </si>
  <si>
    <t>6,6*3,9</t>
  </si>
  <si>
    <t>15,0*8,4</t>
  </si>
  <si>
    <t>2*1016,76</t>
  </si>
  <si>
    <t>;ztratné 10%; 203,352</t>
  </si>
  <si>
    <t>1016,76</t>
  </si>
  <si>
    <t>;ztratné 10%; 101,676</t>
  </si>
  <si>
    <t>0,625*(3,2+3,2+1,9+4,1+0,7+1,8+2,0+3,1+3,2+3,1+4,1+2,3+1,6)</t>
  </si>
  <si>
    <t>pochozí lávky 124</t>
  </si>
  <si>
    <t>0,625*(2,5+3,5+0,9+2,0+4,8+1,0+2,8+0,9+0,9+3,2+1,6+3,0)</t>
  </si>
  <si>
    <t>0,625*(5,5+0,9+0,9+2,4+1,7+2,4)</t>
  </si>
  <si>
    <t>0,625*(1,6+3,2+2,2+4,6+3,2+5,5+0,9+0,9+5,0+1,6+2,8+2,3+5,0)</t>
  </si>
  <si>
    <t>pochozí lávky 125</t>
  </si>
  <si>
    <t>0,625*(1,5+2,4+2,4+2,4+2,4+1,7)</t>
  </si>
  <si>
    <t>0,625*(1,6+2,0+2,6+2,3+2,0+3,7+1,6+5,2+1,6+1,6+4,1+1,6+1,6)</t>
  </si>
  <si>
    <t>pochozí lávky 126</t>
  </si>
  <si>
    <t>0,625*(5,1+3,3+1,8+0,8+5,9)</t>
  </si>
  <si>
    <t>3*0,25*(3,2+3,2+1,9+4,1+0,7+1,8+2,0+3,1+3,2+3,1+4,1+2,3+1,6)</t>
  </si>
  <si>
    <t>3*0,25*(2,5+3,5+0,9+2,0+4,8+1,0+2,8+0,9+0,9+3,2+1,6+3,0)</t>
  </si>
  <si>
    <t>3*0,25*(5,5+0,9+0,9+2,4+1,7+2,4)</t>
  </si>
  <si>
    <t>3*0,25*(1,6+3,2+2,2+4,6+3,2+5,5+0,9+0,9+5,0+1,6+2,8+2,3+5,0)</t>
  </si>
  <si>
    <t>3*0,25*(1,5+2,4+2,4+2,4+2,4+1,7)</t>
  </si>
  <si>
    <t>3*0,25*(1,6+2,0+2,6+2,3+2,0+3,7+1,6+5,2+1,6+1,6+4,1+1,6+1,6)</t>
  </si>
  <si>
    <t>3*0,25*(5,1+3,3+1,8+0,8+5,9)</t>
  </si>
  <si>
    <t>3*0,25*(1,0+1,0+1,0)</t>
  </si>
  <si>
    <t>vstup na půdu</t>
  </si>
  <si>
    <t>3*1,0</t>
  </si>
  <si>
    <t>orientační množství odpadu a suti 1,0m3/vchod</t>
  </si>
  <si>
    <t>3,0*1,8</t>
  </si>
  <si>
    <t>10*5,4</t>
  </si>
  <si>
    <t>6*5,4</t>
  </si>
  <si>
    <t>1*((0,55+0,55+0,55+0,55)*1,54)</t>
  </si>
  <si>
    <t>komínové těleso 450/450</t>
  </si>
  <si>
    <t>1*((0,7+0,85+0,7+0,85)*1,43)</t>
  </si>
  <si>
    <t>komínové těleso 600/750</t>
  </si>
  <si>
    <t>1*((0,55+1,75+0,55+1,75)*0,57)</t>
  </si>
  <si>
    <t>komínové těleso 450/1650</t>
  </si>
  <si>
    <t>2*((0,55+1,75+0,55+1,75)*1,34)</t>
  </si>
  <si>
    <t>1*((0,85+2,35+0,85+2,35)*1,45)</t>
  </si>
  <si>
    <t>komínové těleso 750/2250</t>
  </si>
  <si>
    <t>1*((0,88+1,98+0,88+1,98)*1,26)</t>
  </si>
  <si>
    <t>komínové těleso 780/1880</t>
  </si>
  <si>
    <t>2*((1,325+4,0+1,325+4,0)*1,5)</t>
  </si>
  <si>
    <t>komínové těleso 1225/3900</t>
  </si>
  <si>
    <t>7*((0,55+1,75+0,55+1,75)*1,53)</t>
  </si>
  <si>
    <t>3*((0,55+1,75+0,55+1,75)*2,28)</t>
  </si>
  <si>
    <t>3*((0,55+1,75+0,55+1,75)*2,38)</t>
  </si>
  <si>
    <t>3*((0,55+1,75+0,55+1,75)*2,58)</t>
  </si>
  <si>
    <t>1*((0,55+2,2+0,55+2,2)*2,69)</t>
  </si>
  <si>
    <t>komínové těleso 450/2100</t>
  </si>
  <si>
    <t>2*((0,55+2,35+0,55+2,35)*2,8)</t>
  </si>
  <si>
    <t>komínové těleso 450/2250</t>
  </si>
  <si>
    <t>8*(0,3*(6,25+0,15))</t>
  </si>
  <si>
    <t>atika dilatace</t>
  </si>
  <si>
    <t>0,3*(12,6+0,3)</t>
  </si>
  <si>
    <t>atika štít</t>
  </si>
  <si>
    <t>0,3*(16,9+0,3)</t>
  </si>
  <si>
    <t>1*(0,6*0,75)</t>
  </si>
  <si>
    <t>12*(0,45*1,65)</t>
  </si>
  <si>
    <t>1*(0,45*2,1)</t>
  </si>
  <si>
    <t>2*(0,45*2,25)</t>
  </si>
  <si>
    <t>větrací potrubí</t>
  </si>
  <si>
    <t>9*1,0</t>
  </si>
  <si>
    <t>1,2*13</t>
  </si>
  <si>
    <t>položka k</t>
  </si>
  <si>
    <t>3,4*2</t>
  </si>
  <si>
    <t>položka h3</t>
  </si>
  <si>
    <t>7,1*2</t>
  </si>
  <si>
    <t>položka h2</t>
  </si>
  <si>
    <t>8,1*4</t>
  </si>
  <si>
    <t>položka h1</t>
  </si>
  <si>
    <t>2,4*5</t>
  </si>
  <si>
    <t>položka c</t>
  </si>
  <si>
    <t>2,7*3</t>
  </si>
  <si>
    <t>položka j</t>
  </si>
  <si>
    <t>6,0*3</t>
  </si>
  <si>
    <t>položka b</t>
  </si>
  <si>
    <t>6,2*1</t>
  </si>
  <si>
    <t>položka f3</t>
  </si>
  <si>
    <t>6,2*2</t>
  </si>
  <si>
    <t>položka g3</t>
  </si>
  <si>
    <t>7,0*3</t>
  </si>
  <si>
    <t>položka i1</t>
  </si>
  <si>
    <t>7,0*1</t>
  </si>
  <si>
    <t>položka i2</t>
  </si>
  <si>
    <t>9,2*3</t>
  </si>
  <si>
    <t>položka f1</t>
  </si>
  <si>
    <t>8,4*1</t>
  </si>
  <si>
    <t>položka f2</t>
  </si>
  <si>
    <t>9,2*10</t>
  </si>
  <si>
    <t>položka g1</t>
  </si>
  <si>
    <t>8,4*3</t>
  </si>
  <si>
    <t>položka g2</t>
  </si>
  <si>
    <t>položka d</t>
  </si>
  <si>
    <t>6,0*1</t>
  </si>
  <si>
    <t>položka e</t>
  </si>
  <si>
    <t>14,0*1</t>
  </si>
  <si>
    <t>položka a1</t>
  </si>
  <si>
    <t>12,2*1</t>
  </si>
  <si>
    <t>položka a2</t>
  </si>
  <si>
    <t>0,08*0,1*1,2*1,1*13</t>
  </si>
  <si>
    <t>0,06*0,12*3,4*1,1*2</t>
  </si>
  <si>
    <t>0,06*0,12*7,1*1,1*2</t>
  </si>
  <si>
    <t>0,06*0,12*8,1*1,1*4</t>
  </si>
  <si>
    <t>0,14*0,14*9,2*1,1*3</t>
  </si>
  <si>
    <t>0,14*0,14*8,4*1,1*1</t>
  </si>
  <si>
    <t>0,14*0,14*6,2*1,1*1</t>
  </si>
  <si>
    <t>0,1*0,14*9,2*1,1*10</t>
  </si>
  <si>
    <t>0,1*0,14*8,4*1,1*3</t>
  </si>
  <si>
    <t>0,1*0,14*6,2*1,1*2</t>
  </si>
  <si>
    <t>0,14*0,14*7,0*1,1*3</t>
  </si>
  <si>
    <t>0,14*0,14*7,0*1,1*1</t>
  </si>
  <si>
    <t>0,14*0,16*6,0*1,1*3</t>
  </si>
  <si>
    <t>0,14*0,14*2,4*1,1*5</t>
  </si>
  <si>
    <t>0,14*0,14*2,7*1,1*3</t>
  </si>
  <si>
    <t>0,14*0,18*6,0*1,1*3</t>
  </si>
  <si>
    <t>0,14*0,18*6,0*1,1*1</t>
  </si>
  <si>
    <t>0,2*0,24*14,0*1,1*1</t>
  </si>
  <si>
    <t>0,2*0,24*12,2*1,1*1</t>
  </si>
  <si>
    <t>243,67/;cos38,5°=;0,783</t>
  </si>
  <si>
    <t>m2/cos(alfa)</t>
  </si>
  <si>
    <t>1011,76/;cos35°=;0,819</t>
  </si>
  <si>
    <t>18,5*37*2</t>
  </si>
  <si>
    <t>položka l</t>
  </si>
  <si>
    <t>59,4*40*2</t>
  </si>
  <si>
    <t>6,3*28</t>
  </si>
  <si>
    <t>15,8*28</t>
  </si>
  <si>
    <t>;ztratné 10%; 673,98</t>
  </si>
  <si>
    <t>11*8,43+30*8,43</t>
  </si>
  <si>
    <t>31*9,15+101*9,15</t>
  </si>
  <si>
    <t>4*6,19+18*6,18</t>
  </si>
  <si>
    <t>;ztratné 10%; 168,943</t>
  </si>
  <si>
    <t>25,65+72,65+16,2+1,12+50,51+11,28</t>
  </si>
  <si>
    <t>18*0,33*(0,45+1,65+0,3+0,45+1,65+0,3)</t>
  </si>
  <si>
    <t>1,65x0,45</t>
  </si>
  <si>
    <t>1*0,33*(0,75+2,25+0,3+0,75+2,25+0,3)</t>
  </si>
  <si>
    <t>2,25x0,75</t>
  </si>
  <si>
    <t>1*0,33*(0,45+0,45+0,3+0,45+0,45+0,3)</t>
  </si>
  <si>
    <t>0,45x0,45</t>
  </si>
  <si>
    <t>1*0,33*(2,1+0,45+0,3+2,1+0,45+0,3)</t>
  </si>
  <si>
    <t>2,1x0,45</t>
  </si>
  <si>
    <t>2*0,33*(1,225+0,3+3,9+1,225+0,3+3,9)</t>
  </si>
  <si>
    <t>3,9x1,225</t>
  </si>
  <si>
    <t>2*0,33*(0,45+0,3+2,25+0,45+0,3+2,25)</t>
  </si>
  <si>
    <t>2,25x0,45</t>
  </si>
  <si>
    <t>1*0,33*(1,05+0,3+0,15+2,25+1,05+0,3+0,15+2,25)</t>
  </si>
  <si>
    <t>2,25x1,05</t>
  </si>
  <si>
    <t>1*0,33*(0,78+0,3+1,88+0,78+0,3+1,88)</t>
  </si>
  <si>
    <t>1,88x0,78</t>
  </si>
  <si>
    <t>29+79+17+1+55+13</t>
  </si>
  <si>
    <t>25,8+72,95+16,35+1,12+50,51+11,28</t>
  </si>
  <si>
    <t>10,93+8,17</t>
  </si>
  <si>
    <t>18,47+17,43+23,7+15,75+6,34+11,4+3,67+10,64</t>
  </si>
  <si>
    <t>8*6,25</t>
  </si>
  <si>
    <t>4*6,25</t>
  </si>
  <si>
    <t>1546,56071</t>
  </si>
  <si>
    <t>;ztratné 15%; 231,9841065</t>
  </si>
  <si>
    <t>142,52/2,0</t>
  </si>
  <si>
    <t>;ztratné 10%; 7,126</t>
  </si>
  <si>
    <t>18*((0,45+0,2)*(1,65+0,2))</t>
  </si>
  <si>
    <t>1*((0,75+0,2)*(2,25+0,2))</t>
  </si>
  <si>
    <t>1*((0,45+0,2)*(0,45+0,2))</t>
  </si>
  <si>
    <t>1*((2,1+0,2)*(0,45+0,2))</t>
  </si>
  <si>
    <t>2*((1,225+0,2)*(3,9+0,2))</t>
  </si>
  <si>
    <t>2*((0,45+0,2)*(2,25+0,2))</t>
  </si>
  <si>
    <t>1*((1,05+0,2)*(2,25+0,2))</t>
  </si>
  <si>
    <t>1*((0,78+0,2)*(1,88+0,2))</t>
  </si>
  <si>
    <t>(25,65+72,65+16,2+1,12+50,51+11,28)/1,95</t>
  </si>
  <si>
    <t>;ztratné 10%; 9,097949</t>
  </si>
  <si>
    <t>(25,65+72,65+16,2+1,12+50,51+11,28)/50</t>
  </si>
  <si>
    <t>;ztratné 10%; 0,35482</t>
  </si>
  <si>
    <t>25+27+25+16+2</t>
  </si>
  <si>
    <t>15+27+14+13+27</t>
  </si>
  <si>
    <t>2*(22+24+22+14+1)/2,4</t>
  </si>
  <si>
    <t>2*(13+24+12+11+24)/2,4</t>
  </si>
  <si>
    <t>140*3</t>
  </si>
  <si>
    <t>počet trubek x 3ks/trubku</t>
  </si>
  <si>
    <t>77+9+12+3*10+10+12</t>
  </si>
  <si>
    <t>(25,8+72,95+16,35+1,12+50,51+11,28)/4,0</t>
  </si>
  <si>
    <t>5+3+5+6+5+3+2</t>
  </si>
  <si>
    <t>3+6+2+2</t>
  </si>
  <si>
    <t>1+1</t>
  </si>
  <si>
    <t>16*2</t>
  </si>
  <si>
    <t>(10,93+8,17)/1,7</t>
  </si>
  <si>
    <t>;ztratné 10%; 1,123529</t>
  </si>
  <si>
    <t>(18,47+17,43+23,7+15,75+6,34+11,4+3,67+10,64)/0,6*2</t>
  </si>
  <si>
    <t>(18,47+17,43+23,7+15,75+6,34+11,4+3,67+10,64)/1,95</t>
  </si>
  <si>
    <t>;ztratné 10%; 5,507692</t>
  </si>
  <si>
    <t>(18,47+17,43+23,7+15,75+6,34+11,4+3,67+10,64)/5,0</t>
  </si>
  <si>
    <t>;ztratné 10%; 2,148</t>
  </si>
  <si>
    <t>(4*6,25)*0,5</t>
  </si>
  <si>
    <t>;ztratné 10%; 2,725</t>
  </si>
  <si>
    <t>(12,6+16,9)*0,5</t>
  </si>
  <si>
    <t>(8*6,25)/1,95</t>
  </si>
  <si>
    <t>(12,6+16,9)/1,95</t>
  </si>
  <si>
    <t>;ztratné 10%; 4,076924</t>
  </si>
  <si>
    <t>0,3*(12,6+16,9)</t>
  </si>
  <si>
    <t>atika</t>
  </si>
  <si>
    <t>;ztratné 10%; 0,885</t>
  </si>
  <si>
    <t>1*10,0</t>
  </si>
  <si>
    <t>anténa</t>
  </si>
  <si>
    <t>(0,08+0,1+0,08+0,1)*1,2*1,1*13</t>
  </si>
  <si>
    <t>(0,06+0,12+0,06+0,12)*3,4*1,1*2</t>
  </si>
  <si>
    <t>(0,06+0,12+0,06+0,12)*7,1*1,1*2</t>
  </si>
  <si>
    <t>(0,06+0,12+0,06+0,12)*8,1*1,1*4</t>
  </si>
  <si>
    <t>(0,14+0,14+0,14+0,14)*9,2*1,1*3</t>
  </si>
  <si>
    <t>(0,14+0,14+0,14+0,14)*8,4*1,1*1</t>
  </si>
  <si>
    <t>(0,14+0,14+0,14+0,14)*6,2*1,1*1</t>
  </si>
  <si>
    <t>(0,1+0,14+0,1+0,14)*9,2*1,1*10</t>
  </si>
  <si>
    <t>(0,1+0,14+0,1+0,14)*8,4*1,1*3</t>
  </si>
  <si>
    <t>(0,1+0,14+0,1+0,14)*6,2*1,1*2</t>
  </si>
  <si>
    <t>(0,14+0,14+0,14+0,14)*7,0*1,1*3</t>
  </si>
  <si>
    <t>(0,14+0,14+0,14+0,14)*7,0*1,1*1</t>
  </si>
  <si>
    <t>(0,14+0,16+0,14+0,16)*6,0*1,1*3</t>
  </si>
  <si>
    <t>(0,14+0,14+0,14+0,14)*2,4*1,1*5</t>
  </si>
  <si>
    <t>(0,14+0,14+0,14+0,14)*2,7*1,1*3</t>
  </si>
  <si>
    <t>(0,14+0,18+0,14+0,18)*6,0*1,1*3</t>
  </si>
  <si>
    <t>(0,14+0,18+0,14+0,18)*6,0*1,1*1</t>
  </si>
  <si>
    <t>(0,2+0,24+0,2+0,24)*14,0*1,1*1</t>
  </si>
  <si>
    <t>(0,2+0,24+0,2+0,24)*12,2*1,1*1</t>
  </si>
  <si>
    <t>(0,06+0,04+0,06+0,04)*18,5*37*2</t>
  </si>
  <si>
    <t>(0,06+0,04+0,06+0,04)*59,4*40*2</t>
  </si>
  <si>
    <t>(0,06+0,04+0,06+0,04)*6,3*28</t>
  </si>
  <si>
    <t>(0,06+0,04+0,06+0,04)*15,8*28</t>
  </si>
  <si>
    <t>(0,06+0,04+0,06+0,04)*11*8,43+30*8,43</t>
  </si>
  <si>
    <t>(0,06+0,04+0,06+0,04)*31*9,15+101*9,15</t>
  </si>
  <si>
    <t>(0,06+0,04+0,06+0,04)*4*6,19+18*6,18</t>
  </si>
  <si>
    <t>(0,08+0,1+0,08+0,1)*((1,2*126)-(1,2*13))</t>
  </si>
  <si>
    <t>položka k - stávající</t>
  </si>
  <si>
    <t>(0,06+0,12+0,06+0,12)*((3,4*8)-(3,4*2))</t>
  </si>
  <si>
    <t>položka h3 - stávající</t>
  </si>
  <si>
    <t>(0,06+0,12+0,06+0,12)*((7,1*12)-(7,1*2))</t>
  </si>
  <si>
    <t>položka h2 - stávající</t>
  </si>
  <si>
    <t>(0,06+0,12+0,06+0,12)*((8,1*36)-(8,1*4))</t>
  </si>
  <si>
    <t>položka h1 - stávající</t>
  </si>
  <si>
    <t>(0,14+0,14+0,14+0,14)*((9,2*31)-(9,2*3))</t>
  </si>
  <si>
    <t>položka f1 - stávající</t>
  </si>
  <si>
    <t>(0,14+0,14+0,14+0,14)*((8,4*11)-(8,4*1))</t>
  </si>
  <si>
    <t>položka f2 - stávající</t>
  </si>
  <si>
    <t>(0,14+0,14+0,14+0,14)*((6,2*4)-(6,2*1))</t>
  </si>
  <si>
    <t>položka f3 - stávající</t>
  </si>
  <si>
    <t>(0,1+0,14+0,1+0,14)*((9,2*101)-(9,2*10))</t>
  </si>
  <si>
    <t>položka g1 - stávající</t>
  </si>
  <si>
    <t>(0,1+0,14+0,1+0,14)*((8,4*30)-(8,4*3))</t>
  </si>
  <si>
    <t>položka g2 - stávající</t>
  </si>
  <si>
    <t>(0,1+0,14+0,1+0,14)*((6,2*18)-(6,2*2))</t>
  </si>
  <si>
    <t>položka g3 - stávající</t>
  </si>
  <si>
    <t>(0,14+0,14+0,14+0,14)*((7,0*31)-(7,0*3))</t>
  </si>
  <si>
    <t>položka i1 - stávající</t>
  </si>
  <si>
    <t>(0,14+0,14+0,14+0,14)*((7,0*9)-(7,0*1))</t>
  </si>
  <si>
    <t>položka i2 - stávající</t>
  </si>
  <si>
    <t>(0,14+0,16+0,14+0,16)*(172,0-(6,0*3))</t>
  </si>
  <si>
    <t>položka b - stávající</t>
  </si>
  <si>
    <t>(0,14+0,14+0,14+0,14)*((2,4*46)-(2,4*5))</t>
  </si>
  <si>
    <t>položka c - stávající</t>
  </si>
  <si>
    <t>(0,14+0,14+0,14+0,14)*((2,7*23)-(2,7*3))</t>
  </si>
  <si>
    <t>položka j - stávající</t>
  </si>
  <si>
    <t>(0,14+0,18+0,14+0,18)*((171,2-(6,0*3))</t>
  </si>
  <si>
    <t>položka d - stávající</t>
  </si>
  <si>
    <t>(0,14+0,18+0,14+0,18)*((74,3-(6,0*1))</t>
  </si>
  <si>
    <t>položka e - stávající</t>
  </si>
  <si>
    <t>(0,2+0,24+0,2+0,24)*((14,0*14)-(14,0*1))</t>
  </si>
  <si>
    <t>položka a1 - stávající</t>
  </si>
  <si>
    <t>(0,2+0,24+0,2+0,24)*((12,2*4)-(12,2*1))</t>
  </si>
  <si>
    <t>položka a2 - stávající</t>
  </si>
  <si>
    <t>(0,2+0,24+0,2+0,24)*((9,2*1)-(9,2*0))</t>
  </si>
  <si>
    <t>položka a3 - stávající</t>
  </si>
  <si>
    <t>(11,4*11,7)+(13,2*70,9)+(8,4*1,9)*0</t>
  </si>
  <si>
    <t>půda</t>
  </si>
  <si>
    <t>5*3*(3,0*13,2)</t>
  </si>
  <si>
    <t>schodiště</t>
  </si>
  <si>
    <t>1*1,475*(1,65*0,45)</t>
  </si>
  <si>
    <t>odbourání komínového zdiva</t>
  </si>
  <si>
    <t>1*0,575*(0,45*0,45)</t>
  </si>
  <si>
    <t>1*0,575*(1,65*0,45)</t>
  </si>
  <si>
    <t>7*0,375*(1,65*0,45)</t>
  </si>
  <si>
    <t>1*0,575*(0,45*2,25)</t>
  </si>
  <si>
    <t>1*0,375*((1,65*0,45)+(0,6*0,75))</t>
  </si>
  <si>
    <t>2*0,675*(1,65*0,45)</t>
  </si>
  <si>
    <t>1*0,675*(2,25*0,45)</t>
  </si>
  <si>
    <t>1*0,475*(2,1*0,45)</t>
  </si>
  <si>
    <t>12+1+2</t>
  </si>
  <si>
    <t>10*64,42052</t>
  </si>
  <si>
    <t>6*64,42052</t>
  </si>
  <si>
    <t>;ztratné 10%; 15</t>
  </si>
  <si>
    <t>7*17,0</t>
  </si>
  <si>
    <t>7*(0,35*1,0)</t>
  </si>
  <si>
    <t>3*(1,0*2,5)</t>
  </si>
  <si>
    <t>38+62+30+30+43+53+28</t>
  </si>
  <si>
    <t>mobilní oplocení bm (MTZ)</t>
  </si>
  <si>
    <t>3*(38+62+30+30+43+53+28)</t>
  </si>
  <si>
    <t>mobilní oplocení bm (pronájem)</t>
  </si>
  <si>
    <t>mobilní oplocení bm (DMTZ)</t>
  </si>
  <si>
    <t>Krycí list slepého rozpočtu</t>
  </si>
  <si>
    <t>IČO/DIČ:</t>
  </si>
  <si>
    <t>002 97 569/</t>
  </si>
  <si>
    <t>25871862/CZ25871862</t>
  </si>
  <si>
    <t>Položek: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</si>
  <si>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</si>
  <si>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</si>
  <si>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</si>
  <si>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</si>
  <si>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</si>
  <si>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</si>
  <si>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</si>
  <si>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</si>
  <si>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</si>
  <si>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</si>
  <si>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</si>
  <si>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Bez pevné podl.</t>
  </si>
  <si>
    <t>Mimostav. doprava</t>
  </si>
  <si>
    <t>PSV</t>
  </si>
  <si>
    <t>Kulturní památka</t>
  </si>
  <si>
    <t>Územní vlivy</t>
  </si>
  <si>
    <t>"M"</t>
  </si>
  <si>
    <t>Ostatní</t>
  </si>
  <si>
    <t>NUS z rozpočtu</t>
  </si>
  <si>
    <t>Ostatní materiál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</si>
  <si>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</si>
  <si>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</si>
  <si>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</si>
  <si>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</si>
  <si>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</si>
  <si>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</si>
  <si>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</si>
  <si>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</si>
  <si>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</si>
  <si>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</si>
  <si>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</si>
  <si>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</si>
  <si>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</si>
  <si>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</si>
  <si>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</si>
  <si>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</si>
  <si>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</si>
  <si>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</si>
  <si>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</si>
  <si>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>Vedlejší rozpočtové náklady VRN</t>
  </si>
  <si>
    <t>Doplňkové náklady DN</t>
  </si>
  <si>
    <t>Kč</t>
  </si>
  <si>
    <t>Základna</t>
  </si>
  <si>
    <t>Celkem DN</t>
  </si>
  <si>
    <t>Celkem NUS</t>
  </si>
  <si>
    <t>Celkem VRN</t>
  </si>
  <si>
    <t>Vedlejší a ostatní rozpočtové náklady VORN</t>
  </si>
  <si>
    <t>Ostatní rozpočtové náklady (VORN)</t>
  </si>
  <si>
    <t>Příprava staveniště</t>
  </si>
  <si>
    <t>Finanční náklady</t>
  </si>
  <si>
    <t>Náklady na pracovníky</t>
  </si>
  <si>
    <t>Ostatní náklady</t>
  </si>
  <si>
    <t>Vlastní VORN</t>
  </si>
  <si>
    <t>Celkem VORN</t>
  </si>
</sst>
</file>

<file path=xl/styles.xml><?xml version="1.0" encoding="utf-8"?>
<styleSheet xmlns="http://schemas.openxmlformats.org/spreadsheetml/2006/main">
  <numFmts count="0"/>
  <fonts count="12">
    <font>
      <sz val="11"/>
      <name val="Calibri"/>
      <charset val="1"/>
    </font>
    <font>
      <color rgb="FF000000"/>
      <sz val="18"/>
      <name val="Arial"/>
      <charset val="238"/>
    </font>
    <font>
      <color rgb="FF000000"/>
      <sz val="10"/>
      <name val="Arial"/>
      <charset val="238"/>
      <b/>
    </font>
    <font>
      <color rgb="FF000000"/>
      <sz val="10"/>
      <name val="Arial"/>
      <charset val="238"/>
    </font>
    <font>
      <color rgb="FF000000"/>
      <sz val="10"/>
      <name val="Arial"/>
      <charset val="238"/>
      <i/>
    </font>
    <font>
      <color rgb="FF000000"/>
      <sz val="8"/>
      <name val="Arial"/>
      <charset val="238"/>
      <i/>
    </font>
    <font>
      <color rgb="FF000000"/>
      <sz val="9"/>
      <name val="Arial"/>
      <charset val="238"/>
      <i/>
    </font>
    <font>
      <color rgb="FF000000"/>
      <sz val="18"/>
      <name val="Arial"/>
      <charset val="238"/>
      <b/>
    </font>
    <font>
      <color rgb="FF000000"/>
      <sz val="20"/>
      <name val="Arial"/>
      <charset val="238"/>
      <b/>
    </font>
    <font>
      <color rgb="FF000000"/>
      <sz val="11"/>
      <name val="Arial"/>
      <charset val="238"/>
      <b/>
    </font>
    <font>
      <color rgb="FF000000"/>
      <sz val="12"/>
      <name val="Arial"/>
      <charset val="238"/>
      <b/>
    </font>
    <font>
      <color rgb="FF000000"/>
      <sz val="12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CCFFFF"/>
        <bgColor rgb="FFCCFFFF"/>
      </patternFill>
    </fill>
  </fills>
  <borders count="8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borderId="0" fillId="0" fontId="0" numFmtId="0"/>
  </cellStyleXfs>
  <cellXfs count="179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true"/>
      <protection hidden="false" locked="false"/>
    </xf>
    <xf applyAlignment="true" applyBorder="true" applyFill="true" applyNumberFormat="true" applyFont="true" applyProtection="true" borderId="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1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4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15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3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24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29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29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1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4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2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3" fontId="3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33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3" numFmtId="1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7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5" fillId="2" fontId="8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7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2" fontId="8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11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11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5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11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11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7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11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0" fontId="11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2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0" fillId="2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7" fillId="2" fontId="10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2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2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2" fontId="10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2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2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2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5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7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1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1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81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2" fillId="0" fontId="10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10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10" numFmtId="0" xfId="0">
      <alignment horizontal="right" vertical="center" textRotation="0" shrinkToFit="false" wrapText="false"/>
      <protection hidden="false" locked="true"/>
    </xf>
  </cellXfs>
  <dxfs count="0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3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4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5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drawing1.xml><?xml version="1.0" encoding="utf-8"?>
<xdr:wsDr xmlns:a="http://schemas.openxmlformats.org/drawingml/2006/main" xmlns:xdr="http://schemas.openxmlformats.org/drawingml/2006/spreadsheetDrawing">
  <xdr:absoluteAnchor>
    <xdr:pos x="0" y="0"/>
    <xdr:ext cx="0" cy="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>
    <xdr:pos x="0" y="0"/>
    <xdr:ext cx="0" cy="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3.xml><?xml version="1.0" encoding="utf-8"?>
<xdr:wsDr xmlns:a="http://schemas.openxmlformats.org/drawingml/2006/main" xmlns:xdr="http://schemas.openxmlformats.org/drawingml/2006/spreadsheetDrawing">
  <xdr:absoluteAnchor>
    <xdr:pos x="0" y="0"/>
    <xdr:ext cx="0" cy="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4.xml><?xml version="1.0" encoding="utf-8"?>
<xdr:wsDr xmlns:a="http://schemas.openxmlformats.org/drawingml/2006/main" xmlns:xdr="http://schemas.openxmlformats.org/drawingml/2006/spreadsheetDrawing">
  <xdr:absoluteAnchor>
    <xdr:pos x="0" y="0"/>
    <xdr:ext cx="0" cy="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5.xml><?xml version="1.0" encoding="utf-8"?>
<xdr:wsDr xmlns:a="http://schemas.openxmlformats.org/drawingml/2006/main" xmlns:xdr="http://schemas.openxmlformats.org/drawingml/2006/spreadsheetDrawing">
  <xdr:absoluteAnchor>
    <xdr:pos x="0" y="0"/>
    <xdr:ext cx="0" cy="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BX458"/>
  <sheetViews>
    <sheetView workbookViewId="0" tabSelected="true" showZeros="true" showFormulas="false" showGridLines="true" showRowColHeaders="true">
      <pane topLeftCell="A12" state="frozen" activePane="bottomLeft" ySplit="11"/>
      <selection pane="bottomLeft" sqref="A458:K458" activeCell="A458"/>
    </sheetView>
  </sheetViews>
  <sheetFormatPr defaultColWidth="12.140625" customHeight="true" defaultRowHeight="15"/>
  <cols>
    <col max="1" min="1" style="0" width="3.99609375" customWidth="true"/>
    <col max="2" min="2" style="0" width="17.85546875" customWidth="true"/>
    <col max="3" min="3" style="0" width="42.85546875" customWidth="true"/>
    <col max="4" min="4" style="0" width="35.7109375" customWidth="true"/>
    <col max="5" min="5" style="0" width="6.7109375" customWidth="true"/>
    <col max="6" min="6" style="0" width="12.85546875" customWidth="true"/>
    <col max="7" min="7" style="0" width="12" customWidth="true"/>
    <col max="10" min="8" style="0" width="15.7109375" customWidth="true"/>
    <col max="11" min="11" style="0" width="13.42578125" customWidth="true"/>
    <col max="75" min="25" style="0" width="12.140625" hidden="true"/>
    <col max="76" min="76" style="0" width="78.5703125" customWidth="true" hidden="true"/>
    <col max="78" min="77" style="0" width="12.140625" hidden="true"/>
  </cols>
  <sheetData>
    <row r="1" customHeight="true" ht="54.7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AS1" s="2">
        <f>SUM(AJ1:AJ2)</f>
      </c>
      <c r="AT1" s="2">
        <f>SUM(AK1:AK2)</f>
      </c>
      <c r="AU1" s="2">
        <f>SUM(AL1:AL2)</f>
      </c>
    </row>
    <row r="2">
      <c r="A2" s="3" t="s">
        <v>1</v>
      </c>
      <c r="B2" s="4"/>
      <c r="C2" s="5" t="s">
        <v>2</v>
      </c>
      <c r="D2" s="6"/>
      <c r="E2" s="4" t="s">
        <v>3</v>
      </c>
      <c r="F2" s="4"/>
      <c r="G2" s="7" t="s">
        <v>4</v>
      </c>
      <c r="H2" s="8" t="s">
        <v>5</v>
      </c>
      <c r="I2" s="8" t="s">
        <v>6</v>
      </c>
      <c r="J2" s="4"/>
      <c r="K2" s="9"/>
    </row>
    <row r="3">
      <c r="A3" s="10"/>
      <c r="B3" s="11"/>
      <c r="C3" s="12"/>
      <c r="D3" s="12"/>
      <c r="E3" s="11"/>
      <c r="F3" s="11"/>
      <c r="G3" s="13"/>
      <c r="H3" s="11"/>
      <c r="I3" s="11"/>
      <c r="J3" s="11"/>
      <c r="K3" s="14"/>
    </row>
    <row r="4">
      <c r="A4" s="15" t="s">
        <v>7</v>
      </c>
      <c r="B4" s="11"/>
      <c r="C4" s="16" t="s">
        <v>8</v>
      </c>
      <c r="D4" s="11"/>
      <c r="E4" s="11" t="s">
        <v>9</v>
      </c>
      <c r="F4" s="11"/>
      <c r="G4" s="13" t="s">
        <v>10</v>
      </c>
      <c r="H4" s="16" t="s">
        <v>11</v>
      </c>
      <c r="I4" s="16" t="s">
        <v>12</v>
      </c>
      <c r="J4" s="11"/>
      <c r="K4" s="14"/>
    </row>
    <row r="5">
      <c r="A5" s="10"/>
      <c r="B5" s="11"/>
      <c r="C5" s="11"/>
      <c r="D5" s="11"/>
      <c r="E5" s="11"/>
      <c r="F5" s="11"/>
      <c r="G5" s="13"/>
      <c r="H5" s="11"/>
      <c r="I5" s="11"/>
      <c r="J5" s="11"/>
      <c r="K5" s="14"/>
    </row>
    <row r="6">
      <c r="A6" s="15" t="s">
        <v>13</v>
      </c>
      <c r="B6" s="11"/>
      <c r="C6" s="16" t="s">
        <v>14</v>
      </c>
      <c r="D6" s="11"/>
      <c r="E6" s="11" t="s">
        <v>15</v>
      </c>
      <c r="F6" s="11"/>
      <c r="G6" s="13" t="s">
        <v>4</v>
      </c>
      <c r="H6" s="16" t="s">
        <v>16</v>
      </c>
      <c r="I6" s="13" t="s">
        <v>17</v>
      </c>
      <c r="J6" s="13"/>
      <c r="K6" s="17"/>
    </row>
    <row r="7">
      <c r="A7" s="10"/>
      <c r="B7" s="11"/>
      <c r="C7" s="11"/>
      <c r="D7" s="11"/>
      <c r="E7" s="11"/>
      <c r="F7" s="11"/>
      <c r="G7" s="13"/>
      <c r="H7" s="11"/>
      <c r="I7" s="13"/>
      <c r="J7" s="13"/>
      <c r="K7" s="17"/>
    </row>
    <row r="8">
      <c r="A8" s="15" t="s">
        <v>18</v>
      </c>
      <c r="B8" s="11"/>
      <c r="C8" s="16" t="s">
        <v>19</v>
      </c>
      <c r="D8" s="11"/>
      <c r="E8" s="11" t="s">
        <v>20</v>
      </c>
      <c r="F8" s="11"/>
      <c r="G8" s="13" t="s">
        <v>21</v>
      </c>
      <c r="H8" s="16" t="s">
        <v>22</v>
      </c>
      <c r="I8" s="18" t="s">
        <v>23</v>
      </c>
      <c r="J8" s="13"/>
      <c r="K8" s="17"/>
    </row>
    <row r="9">
      <c r="A9" s="19"/>
      <c r="B9" s="20"/>
      <c r="C9" s="20"/>
      <c r="D9" s="20"/>
      <c r="E9" s="20"/>
      <c r="F9" s="20"/>
      <c r="G9" s="21"/>
      <c r="H9" s="20"/>
      <c r="I9" s="21"/>
      <c r="J9" s="21"/>
      <c r="K9" s="22"/>
    </row>
    <row r="10">
      <c r="A10" s="23" t="s">
        <v>24</v>
      </c>
      <c r="B10" s="24" t="s">
        <v>25</v>
      </c>
      <c r="C10" s="25" t="s">
        <v>26</v>
      </c>
      <c r="D10" s="26"/>
      <c r="E10" s="24" t="s">
        <v>27</v>
      </c>
      <c r="F10" s="27" t="s">
        <v>28</v>
      </c>
      <c r="G10" s="28" t="s">
        <v>29</v>
      </c>
      <c r="H10" s="29" t="s">
        <v>30</v>
      </c>
      <c r="I10" s="30"/>
      <c r="J10" s="31"/>
      <c r="K10" s="32" t="s">
        <v>31</v>
      </c>
      <c r="BK10" s="33" t="s">
        <v>32</v>
      </c>
      <c r="BL10" s="34" t="s">
        <v>33</v>
      </c>
      <c r="BW10" s="34" t="s">
        <v>34</v>
      </c>
    </row>
    <row r="11">
      <c r="A11" s="35" t="s">
        <v>4</v>
      </c>
      <c r="B11" s="36" t="s">
        <v>4</v>
      </c>
      <c r="C11" s="37" t="s">
        <v>35</v>
      </c>
      <c r="D11" s="38"/>
      <c r="E11" s="36" t="s">
        <v>4</v>
      </c>
      <c r="F11" s="36" t="s">
        <v>4</v>
      </c>
      <c r="G11" s="39" t="s">
        <v>36</v>
      </c>
      <c r="H11" s="40" t="s">
        <v>37</v>
      </c>
      <c r="I11" s="41" t="s">
        <v>38</v>
      </c>
      <c r="J11" s="42" t="s">
        <v>39</v>
      </c>
      <c r="K11" s="43" t="s">
        <v>40</v>
      </c>
      <c r="Z11" s="33" t="s">
        <v>41</v>
      </c>
      <c r="AA11" s="33" t="s">
        <v>42</v>
      </c>
      <c r="AB11" s="33" t="s">
        <v>43</v>
      </c>
      <c r="AC11" s="33" t="s">
        <v>44</v>
      </c>
      <c r="AD11" s="33" t="s">
        <v>45</v>
      </c>
      <c r="AE11" s="33" t="s">
        <v>46</v>
      </c>
      <c r="AF11" s="33" t="s">
        <v>47</v>
      </c>
      <c r="AG11" s="33" t="s">
        <v>48</v>
      </c>
      <c r="AH11" s="33" t="s">
        <v>49</v>
      </c>
      <c r="BH11" s="33" t="s">
        <v>50</v>
      </c>
      <c r="BI11" s="33" t="s">
        <v>51</v>
      </c>
      <c r="BJ11" s="33" t="s">
        <v>52</v>
      </c>
    </row>
    <row r="12">
      <c r="A12" s="44" t="s">
        <v>53</v>
      </c>
      <c r="B12" s="45" t="s">
        <v>53</v>
      </c>
      <c r="C12" s="46" t="s">
        <v>54</v>
      </c>
      <c r="D12" s="45"/>
      <c r="E12" s="47" t="s">
        <v>4</v>
      </c>
      <c r="F12" s="47" t="s">
        <v>4</v>
      </c>
      <c r="G12" s="48" t="s">
        <v>4</v>
      </c>
      <c r="H12" s="49">
        <f>ROUND(SUM(H13,H19,H21,H24,H27,H33,H42,H47,H117,H126,H130,H142,H154,H164,H169,H173,H183,H203,H211,H216,H220,H222,H227,H232),2)</f>
      </c>
      <c r="I12" s="49">
        <f>ROUND(SUM(I13,I19,I21,I24,I27,I33,I42,I47,I117,I126,I130,I142,I154,I164,I169,I173,I183,I203,I211,I216,I220,I222,I227,I232),2)</f>
      </c>
      <c r="J12" s="49">
        <f>ROUND(SUM(J13,J19,J21,J24,J27,J33,J42,J47,J117,J126,J130,J142,J154,J164,J169,J173,J183,J203,J211,J216,J220,J222,J227,J232),2)</f>
      </c>
      <c r="K12" s="50" t="s">
        <v>53</v>
      </c>
    </row>
    <row r="13">
      <c r="A13" s="51" t="s">
        <v>53</v>
      </c>
      <c r="B13" s="52" t="s">
        <v>55</v>
      </c>
      <c r="C13" s="53" t="s">
        <v>56</v>
      </c>
      <c r="D13" s="52"/>
      <c r="E13" s="54" t="s">
        <v>4</v>
      </c>
      <c r="F13" s="54" t="s">
        <v>4</v>
      </c>
      <c r="G13" s="55" t="s">
        <v>4</v>
      </c>
      <c r="H13" s="2">
        <f>ROUND(SUM(H14:H18),2)</f>
      </c>
      <c r="I13" s="2">
        <f>ROUND(SUM(I14:I18),2)</f>
      </c>
      <c r="J13" s="2">
        <f>ROUND(SUM(J14:J18),2)</f>
      </c>
      <c r="K13" s="56" t="s">
        <v>53</v>
      </c>
      <c r="AI13" s="33" t="s">
        <v>57</v>
      </c>
      <c r="AS13" s="2">
        <f>SUM(AJ14:AJ18)</f>
      </c>
      <c r="AT13" s="2">
        <f>SUM(AK14:AK18)</f>
      </c>
      <c r="AU13" s="2">
        <f>SUM(AL14:AL18)</f>
      </c>
    </row>
    <row r="14">
      <c r="A14" s="10" t="s">
        <v>58</v>
      </c>
      <c r="B14" s="11" t="s">
        <v>59</v>
      </c>
      <c r="C14" s="16" t="s">
        <v>60</v>
      </c>
      <c r="D14" s="11"/>
      <c r="E14" s="11" t="s">
        <v>61</v>
      </c>
      <c r="F14" s="57" t="n">
        <v>44.802</v>
      </c>
      <c r="G14" s="58" t="n">
        <v>0</v>
      </c>
      <c r="H14" s="57">
        <f>ROUND(F14*AO14,2)</f>
      </c>
      <c r="I14" s="57">
        <f>ROUND(F14*AP14,2)</f>
      </c>
      <c r="J14" s="57">
        <f>ROUND(F14*G14,2)</f>
      </c>
      <c r="K14" s="59" t="s">
        <v>62</v>
      </c>
      <c r="Z14" s="57">
        <f>ROUND(IF(AQ14="5",BJ14,0),2)</f>
      </c>
      <c r="AB14" s="57">
        <f>ROUND(IF(AQ14="1",BH14,0),2)</f>
      </c>
      <c r="AC14" s="57">
        <f>ROUND(IF(AQ14="1",BI14,0),2)</f>
      </c>
      <c r="AD14" s="57">
        <f>ROUND(IF(AQ14="7",BH14,0),2)</f>
      </c>
      <c r="AE14" s="57">
        <f>ROUND(IF(AQ14="7",BI14,0),2)</f>
      </c>
      <c r="AF14" s="57">
        <f>ROUND(IF(AQ14="2",BH14,0),2)</f>
      </c>
      <c r="AG14" s="57">
        <f>ROUND(IF(AQ14="2",BI14,0),2)</f>
      </c>
      <c r="AH14" s="57">
        <f>ROUND(IF(AQ14="0",BJ14,0),2)</f>
      </c>
      <c r="AI14" s="33" t="s">
        <v>57</v>
      </c>
      <c r="AJ14" s="57">
        <f>IF(AN14=0,J14,0)</f>
      </c>
      <c r="AK14" s="57">
        <f>IF(AN14=12,J14,0)</f>
      </c>
      <c r="AL14" s="57">
        <f>IF(AN14=21,J14,0)</f>
      </c>
      <c r="AN14" s="57" t="n">
        <v>12</v>
      </c>
      <c r="AO14" s="57">
        <f>G14*0</f>
      </c>
      <c r="AP14" s="57">
        <f>G14*(1-0)</f>
      </c>
      <c r="AQ14" s="60" t="s">
        <v>58</v>
      </c>
      <c r="AV14" s="57">
        <f>ROUND(AW14+AX14,2)</f>
      </c>
      <c r="AW14" s="57">
        <f>ROUND(F14*AO14,2)</f>
      </c>
      <c r="AX14" s="57">
        <f>ROUND(F14*AP14,2)</f>
      </c>
      <c r="AY14" s="60" t="s">
        <v>63</v>
      </c>
      <c r="AZ14" s="60" t="s">
        <v>64</v>
      </c>
      <c r="BA14" s="33" t="s">
        <v>65</v>
      </c>
      <c r="BB14" s="61" t="n">
        <v>100082</v>
      </c>
      <c r="BC14" s="57">
        <f>AW14+AX14</f>
      </c>
      <c r="BD14" s="57">
        <f>G14/(100-BE14)*100</f>
      </c>
      <c r="BE14" s="57" t="n">
        <v>0</v>
      </c>
      <c r="BF14" s="57">
        <f>14</f>
      </c>
      <c r="BH14" s="57">
        <f>F14*AO14</f>
      </c>
      <c r="BI14" s="57">
        <f>F14*AP14</f>
      </c>
      <c r="BJ14" s="57">
        <f>F14*G14</f>
      </c>
      <c r="BK14" s="60" t="s">
        <v>66</v>
      </c>
      <c r="BL14" s="57" t="n">
        <v>11</v>
      </c>
      <c r="BW14" s="57" t="n">
        <v>12</v>
      </c>
      <c r="BX14" s="16" t="s">
        <v>60</v>
      </c>
    </row>
    <row r="15">
      <c r="A15" s="10" t="s">
        <v>67</v>
      </c>
      <c r="B15" s="11" t="s">
        <v>68</v>
      </c>
      <c r="C15" s="16" t="s">
        <v>69</v>
      </c>
      <c r="D15" s="11"/>
      <c r="E15" s="11" t="s">
        <v>61</v>
      </c>
      <c r="F15" s="57" t="n">
        <v>8.484</v>
      </c>
      <c r="G15" s="58" t="n">
        <v>0</v>
      </c>
      <c r="H15" s="57">
        <f>ROUND(F15*AO15,2)</f>
      </c>
      <c r="I15" s="57">
        <f>ROUND(F15*AP15,2)</f>
      </c>
      <c r="J15" s="57">
        <f>ROUND(F15*G15,2)</f>
      </c>
      <c r="K15" s="59" t="s">
        <v>62</v>
      </c>
      <c r="Z15" s="57">
        <f>ROUND(IF(AQ15="5",BJ15,0),2)</f>
      </c>
      <c r="AB15" s="57">
        <f>ROUND(IF(AQ15="1",BH15,0),2)</f>
      </c>
      <c r="AC15" s="57">
        <f>ROUND(IF(AQ15="1",BI15,0),2)</f>
      </c>
      <c r="AD15" s="57">
        <f>ROUND(IF(AQ15="7",BH15,0),2)</f>
      </c>
      <c r="AE15" s="57">
        <f>ROUND(IF(AQ15="7",BI15,0),2)</f>
      </c>
      <c r="AF15" s="57">
        <f>ROUND(IF(AQ15="2",BH15,0),2)</f>
      </c>
      <c r="AG15" s="57">
        <f>ROUND(IF(AQ15="2",BI15,0),2)</f>
      </c>
      <c r="AH15" s="57">
        <f>ROUND(IF(AQ15="0",BJ15,0),2)</f>
      </c>
      <c r="AI15" s="33" t="s">
        <v>57</v>
      </c>
      <c r="AJ15" s="57">
        <f>IF(AN15=0,J15,0)</f>
      </c>
      <c r="AK15" s="57">
        <f>IF(AN15=12,J15,0)</f>
      </c>
      <c r="AL15" s="57">
        <f>IF(AN15=21,J15,0)</f>
      </c>
      <c r="AN15" s="57" t="n">
        <v>12</v>
      </c>
      <c r="AO15" s="57">
        <f>G15*0</f>
      </c>
      <c r="AP15" s="57">
        <f>G15*(1-0)</f>
      </c>
      <c r="AQ15" s="60" t="s">
        <v>58</v>
      </c>
      <c r="AV15" s="57">
        <f>ROUND(AW15+AX15,2)</f>
      </c>
      <c r="AW15" s="57">
        <f>ROUND(F15*AO15,2)</f>
      </c>
      <c r="AX15" s="57">
        <f>ROUND(F15*AP15,2)</f>
      </c>
      <c r="AY15" s="60" t="s">
        <v>63</v>
      </c>
      <c r="AZ15" s="60" t="s">
        <v>64</v>
      </c>
      <c r="BA15" s="33" t="s">
        <v>65</v>
      </c>
      <c r="BB15" s="61" t="n">
        <v>100082</v>
      </c>
      <c r="BC15" s="57">
        <f>AW15+AX15</f>
      </c>
      <c r="BD15" s="57">
        <f>G15/(100-BE15)*100</f>
      </c>
      <c r="BE15" s="57" t="n">
        <v>0</v>
      </c>
      <c r="BF15" s="57">
        <f>15</f>
      </c>
      <c r="BH15" s="57">
        <f>F15*AO15</f>
      </c>
      <c r="BI15" s="57">
        <f>F15*AP15</f>
      </c>
      <c r="BJ15" s="57">
        <f>F15*G15</f>
      </c>
      <c r="BK15" s="60" t="s">
        <v>66</v>
      </c>
      <c r="BL15" s="57" t="n">
        <v>11</v>
      </c>
      <c r="BW15" s="57" t="n">
        <v>12</v>
      </c>
      <c r="BX15" s="16" t="s">
        <v>69</v>
      </c>
    </row>
    <row r="16">
      <c r="A16" s="10" t="s">
        <v>70</v>
      </c>
      <c r="B16" s="11" t="s">
        <v>71</v>
      </c>
      <c r="C16" s="16" t="s">
        <v>72</v>
      </c>
      <c r="D16" s="11"/>
      <c r="E16" s="11" t="s">
        <v>61</v>
      </c>
      <c r="F16" s="57" t="n">
        <v>40.21</v>
      </c>
      <c r="G16" s="58" t="n">
        <v>0</v>
      </c>
      <c r="H16" s="57">
        <f>ROUND(F16*AO16,2)</f>
      </c>
      <c r="I16" s="57">
        <f>ROUND(F16*AP16,2)</f>
      </c>
      <c r="J16" s="57">
        <f>ROUND(F16*G16,2)</f>
      </c>
      <c r="K16" s="59" t="s">
        <v>62</v>
      </c>
      <c r="Z16" s="57">
        <f>ROUND(IF(AQ16="5",BJ16,0),2)</f>
      </c>
      <c r="AB16" s="57">
        <f>ROUND(IF(AQ16="1",BH16,0),2)</f>
      </c>
      <c r="AC16" s="57">
        <f>ROUND(IF(AQ16="1",BI16,0),2)</f>
      </c>
      <c r="AD16" s="57">
        <f>ROUND(IF(AQ16="7",BH16,0),2)</f>
      </c>
      <c r="AE16" s="57">
        <f>ROUND(IF(AQ16="7",BI16,0),2)</f>
      </c>
      <c r="AF16" s="57">
        <f>ROUND(IF(AQ16="2",BH16,0),2)</f>
      </c>
      <c r="AG16" s="57">
        <f>ROUND(IF(AQ16="2",BI16,0),2)</f>
      </c>
      <c r="AH16" s="57">
        <f>ROUND(IF(AQ16="0",BJ16,0),2)</f>
      </c>
      <c r="AI16" s="33" t="s">
        <v>57</v>
      </c>
      <c r="AJ16" s="57">
        <f>IF(AN16=0,J16,0)</f>
      </c>
      <c r="AK16" s="57">
        <f>IF(AN16=12,J16,0)</f>
      </c>
      <c r="AL16" s="57">
        <f>IF(AN16=21,J16,0)</f>
      </c>
      <c r="AN16" s="57" t="n">
        <v>12</v>
      </c>
      <c r="AO16" s="57">
        <f>G16*0</f>
      </c>
      <c r="AP16" s="57">
        <f>G16*(1-0)</f>
      </c>
      <c r="AQ16" s="60" t="s">
        <v>58</v>
      </c>
      <c r="AV16" s="57">
        <f>ROUND(AW16+AX16,2)</f>
      </c>
      <c r="AW16" s="57">
        <f>ROUND(F16*AO16,2)</f>
      </c>
      <c r="AX16" s="57">
        <f>ROUND(F16*AP16,2)</f>
      </c>
      <c r="AY16" s="60" t="s">
        <v>63</v>
      </c>
      <c r="AZ16" s="60" t="s">
        <v>64</v>
      </c>
      <c r="BA16" s="33" t="s">
        <v>65</v>
      </c>
      <c r="BB16" s="61" t="n">
        <v>100082</v>
      </c>
      <c r="BC16" s="57">
        <f>AW16+AX16</f>
      </c>
      <c r="BD16" s="57">
        <f>G16/(100-BE16)*100</f>
      </c>
      <c r="BE16" s="57" t="n">
        <v>0</v>
      </c>
      <c r="BF16" s="57">
        <f>16</f>
      </c>
      <c r="BH16" s="57">
        <f>F16*AO16</f>
      </c>
      <c r="BI16" s="57">
        <f>F16*AP16</f>
      </c>
      <c r="BJ16" s="57">
        <f>F16*G16</f>
      </c>
      <c r="BK16" s="60" t="s">
        <v>66</v>
      </c>
      <c r="BL16" s="57" t="n">
        <v>11</v>
      </c>
      <c r="BW16" s="57" t="n">
        <v>12</v>
      </c>
      <c r="BX16" s="16" t="s">
        <v>72</v>
      </c>
    </row>
    <row r="17">
      <c r="A17" s="10" t="s">
        <v>73</v>
      </c>
      <c r="B17" s="11" t="s">
        <v>74</v>
      </c>
      <c r="C17" s="16" t="s">
        <v>75</v>
      </c>
      <c r="D17" s="11"/>
      <c r="E17" s="11" t="s">
        <v>61</v>
      </c>
      <c r="F17" s="57" t="n">
        <v>93.496</v>
      </c>
      <c r="G17" s="58" t="n">
        <v>0</v>
      </c>
      <c r="H17" s="57">
        <f>ROUND(F17*AO17,2)</f>
      </c>
      <c r="I17" s="57">
        <f>ROUND(F17*AP17,2)</f>
      </c>
      <c r="J17" s="57">
        <f>ROUND(F17*G17,2)</f>
      </c>
      <c r="K17" s="59" t="s">
        <v>62</v>
      </c>
      <c r="Z17" s="57">
        <f>ROUND(IF(AQ17="5",BJ17,0),2)</f>
      </c>
      <c r="AB17" s="57">
        <f>ROUND(IF(AQ17="1",BH17,0),2)</f>
      </c>
      <c r="AC17" s="57">
        <f>ROUND(IF(AQ17="1",BI17,0),2)</f>
      </c>
      <c r="AD17" s="57">
        <f>ROUND(IF(AQ17="7",BH17,0),2)</f>
      </c>
      <c r="AE17" s="57">
        <f>ROUND(IF(AQ17="7",BI17,0),2)</f>
      </c>
      <c r="AF17" s="57">
        <f>ROUND(IF(AQ17="2",BH17,0),2)</f>
      </c>
      <c r="AG17" s="57">
        <f>ROUND(IF(AQ17="2",BI17,0),2)</f>
      </c>
      <c r="AH17" s="57">
        <f>ROUND(IF(AQ17="0",BJ17,0),2)</f>
      </c>
      <c r="AI17" s="33" t="s">
        <v>57</v>
      </c>
      <c r="AJ17" s="57">
        <f>IF(AN17=0,J17,0)</f>
      </c>
      <c r="AK17" s="57">
        <f>IF(AN17=12,J17,0)</f>
      </c>
      <c r="AL17" s="57">
        <f>IF(AN17=21,J17,0)</f>
      </c>
      <c r="AN17" s="57" t="n">
        <v>12</v>
      </c>
      <c r="AO17" s="57">
        <f>G17*0</f>
      </c>
      <c r="AP17" s="57">
        <f>G17*(1-0)</f>
      </c>
      <c r="AQ17" s="60" t="s">
        <v>58</v>
      </c>
      <c r="AV17" s="57">
        <f>ROUND(AW17+AX17,2)</f>
      </c>
      <c r="AW17" s="57">
        <f>ROUND(F17*AO17,2)</f>
      </c>
      <c r="AX17" s="57">
        <f>ROUND(F17*AP17,2)</f>
      </c>
      <c r="AY17" s="60" t="s">
        <v>63</v>
      </c>
      <c r="AZ17" s="60" t="s">
        <v>64</v>
      </c>
      <c r="BA17" s="33" t="s">
        <v>65</v>
      </c>
      <c r="BB17" s="61" t="n">
        <v>100082</v>
      </c>
      <c r="BC17" s="57">
        <f>AW17+AX17</f>
      </c>
      <c r="BD17" s="57">
        <f>G17/(100-BE17)*100</f>
      </c>
      <c r="BE17" s="57" t="n">
        <v>0</v>
      </c>
      <c r="BF17" s="57">
        <f>17</f>
      </c>
      <c r="BH17" s="57">
        <f>F17*AO17</f>
      </c>
      <c r="BI17" s="57">
        <f>F17*AP17</f>
      </c>
      <c r="BJ17" s="57">
        <f>F17*G17</f>
      </c>
      <c r="BK17" s="60" t="s">
        <v>66</v>
      </c>
      <c r="BL17" s="57" t="n">
        <v>11</v>
      </c>
      <c r="BW17" s="57" t="n">
        <v>12</v>
      </c>
      <c r="BX17" s="16" t="s">
        <v>75</v>
      </c>
    </row>
    <row r="18">
      <c r="A18" s="10" t="s">
        <v>76</v>
      </c>
      <c r="B18" s="11" t="s">
        <v>77</v>
      </c>
      <c r="C18" s="16" t="s">
        <v>78</v>
      </c>
      <c r="D18" s="11"/>
      <c r="E18" s="11" t="s">
        <v>61</v>
      </c>
      <c r="F18" s="57" t="n">
        <v>93.496</v>
      </c>
      <c r="G18" s="58" t="n">
        <v>0</v>
      </c>
      <c r="H18" s="57">
        <f>ROUND(F18*AO18,2)</f>
      </c>
      <c r="I18" s="57">
        <f>ROUND(F18*AP18,2)</f>
      </c>
      <c r="J18" s="57">
        <f>ROUND(F18*G18,2)</f>
      </c>
      <c r="K18" s="59" t="s">
        <v>62</v>
      </c>
      <c r="Z18" s="57">
        <f>ROUND(IF(AQ18="5",BJ18,0),2)</f>
      </c>
      <c r="AB18" s="57">
        <f>ROUND(IF(AQ18="1",BH18,0),2)</f>
      </c>
      <c r="AC18" s="57">
        <f>ROUND(IF(AQ18="1",BI18,0),2)</f>
      </c>
      <c r="AD18" s="57">
        <f>ROUND(IF(AQ18="7",BH18,0),2)</f>
      </c>
      <c r="AE18" s="57">
        <f>ROUND(IF(AQ18="7",BI18,0),2)</f>
      </c>
      <c r="AF18" s="57">
        <f>ROUND(IF(AQ18="2",BH18,0),2)</f>
      </c>
      <c r="AG18" s="57">
        <f>ROUND(IF(AQ18="2",BI18,0),2)</f>
      </c>
      <c r="AH18" s="57">
        <f>ROUND(IF(AQ18="0",BJ18,0),2)</f>
      </c>
      <c r="AI18" s="33" t="s">
        <v>57</v>
      </c>
      <c r="AJ18" s="57">
        <f>IF(AN18=0,J18,0)</f>
      </c>
      <c r="AK18" s="57">
        <f>IF(AN18=12,J18,0)</f>
      </c>
      <c r="AL18" s="57">
        <f>IF(AN18=21,J18,0)</f>
      </c>
      <c r="AN18" s="57" t="n">
        <v>12</v>
      </c>
      <c r="AO18" s="57">
        <f>G18*0</f>
      </c>
      <c r="AP18" s="57">
        <f>G18*(1-0)</f>
      </c>
      <c r="AQ18" s="60" t="s">
        <v>58</v>
      </c>
      <c r="AV18" s="57">
        <f>ROUND(AW18+AX18,2)</f>
      </c>
      <c r="AW18" s="57">
        <f>ROUND(F18*AO18,2)</f>
      </c>
      <c r="AX18" s="57">
        <f>ROUND(F18*AP18,2)</f>
      </c>
      <c r="AY18" s="60" t="s">
        <v>63</v>
      </c>
      <c r="AZ18" s="60" t="s">
        <v>64</v>
      </c>
      <c r="BA18" s="33" t="s">
        <v>65</v>
      </c>
      <c r="BB18" s="61" t="n">
        <v>100082</v>
      </c>
      <c r="BC18" s="57">
        <f>AW18+AX18</f>
      </c>
      <c r="BD18" s="57">
        <f>G18/(100-BE18)*100</f>
      </c>
      <c r="BE18" s="57" t="n">
        <v>0</v>
      </c>
      <c r="BF18" s="57">
        <f>18</f>
      </c>
      <c r="BH18" s="57">
        <f>F18*AO18</f>
      </c>
      <c r="BI18" s="57">
        <f>F18*AP18</f>
      </c>
      <c r="BJ18" s="57">
        <f>F18*G18</f>
      </c>
      <c r="BK18" s="60" t="s">
        <v>66</v>
      </c>
      <c r="BL18" s="57" t="n">
        <v>11</v>
      </c>
      <c r="BW18" s="57" t="n">
        <v>12</v>
      </c>
      <c r="BX18" s="16" t="s">
        <v>78</v>
      </c>
    </row>
    <row r="19">
      <c r="A19" s="51" t="s">
        <v>53</v>
      </c>
      <c r="B19" s="52" t="s">
        <v>79</v>
      </c>
      <c r="C19" s="53" t="s">
        <v>80</v>
      </c>
      <c r="D19" s="52"/>
      <c r="E19" s="54" t="s">
        <v>4</v>
      </c>
      <c r="F19" s="54" t="s">
        <v>4</v>
      </c>
      <c r="G19" s="55" t="s">
        <v>4</v>
      </c>
      <c r="H19" s="2">
        <f>ROUND(SUM(H20:H20),2)</f>
      </c>
      <c r="I19" s="2">
        <f>ROUND(SUM(I20:I20),2)</f>
      </c>
      <c r="J19" s="2">
        <f>ROUND(SUM(J20:J20),2)</f>
      </c>
      <c r="K19" s="56" t="s">
        <v>53</v>
      </c>
      <c r="AI19" s="33" t="s">
        <v>57</v>
      </c>
      <c r="AS19" s="2">
        <f>SUM(AJ20:AJ20)</f>
      </c>
      <c r="AT19" s="2">
        <f>SUM(AK20:AK20)</f>
      </c>
      <c r="AU19" s="2">
        <f>SUM(AL20:AL20)</f>
      </c>
    </row>
    <row r="20">
      <c r="A20" s="10" t="s">
        <v>81</v>
      </c>
      <c r="B20" s="11" t="s">
        <v>82</v>
      </c>
      <c r="C20" s="16" t="s">
        <v>83</v>
      </c>
      <c r="D20" s="11"/>
      <c r="E20" s="11" t="s">
        <v>84</v>
      </c>
      <c r="F20" s="57" t="n">
        <v>14.0244</v>
      </c>
      <c r="G20" s="58" t="n">
        <v>0</v>
      </c>
      <c r="H20" s="57">
        <f>ROUND(F20*AO20,2)</f>
      </c>
      <c r="I20" s="57">
        <f>ROUND(F20*AP20,2)</f>
      </c>
      <c r="J20" s="57">
        <f>ROUND(F20*G20,2)</f>
      </c>
      <c r="K20" s="59" t="s">
        <v>62</v>
      </c>
      <c r="Z20" s="57">
        <f>ROUND(IF(AQ20="5",BJ20,0),2)</f>
      </c>
      <c r="AB20" s="57">
        <f>ROUND(IF(AQ20="1",BH20,0),2)</f>
      </c>
      <c r="AC20" s="57">
        <f>ROUND(IF(AQ20="1",BI20,0),2)</f>
      </c>
      <c r="AD20" s="57">
        <f>ROUND(IF(AQ20="7",BH20,0),2)</f>
      </c>
      <c r="AE20" s="57">
        <f>ROUND(IF(AQ20="7",BI20,0),2)</f>
      </c>
      <c r="AF20" s="57">
        <f>ROUND(IF(AQ20="2",BH20,0),2)</f>
      </c>
      <c r="AG20" s="57">
        <f>ROUND(IF(AQ20="2",BI20,0),2)</f>
      </c>
      <c r="AH20" s="57">
        <f>ROUND(IF(AQ20="0",BJ20,0),2)</f>
      </c>
      <c r="AI20" s="33" t="s">
        <v>57</v>
      </c>
      <c r="AJ20" s="57">
        <f>IF(AN20=0,J20,0)</f>
      </c>
      <c r="AK20" s="57">
        <f>IF(AN20=12,J20,0)</f>
      </c>
      <c r="AL20" s="57">
        <f>IF(AN20=21,J20,0)</f>
      </c>
      <c r="AN20" s="57" t="n">
        <v>12</v>
      </c>
      <c r="AO20" s="57">
        <f>G20*0</f>
      </c>
      <c r="AP20" s="57">
        <f>G20*(1-0)</f>
      </c>
      <c r="AQ20" s="60" t="s">
        <v>58</v>
      </c>
      <c r="AV20" s="57">
        <f>ROUND(AW20+AX20,2)</f>
      </c>
      <c r="AW20" s="57">
        <f>ROUND(F20*AO20,2)</f>
      </c>
      <c r="AX20" s="57">
        <f>ROUND(F20*AP20,2)</f>
      </c>
      <c r="AY20" s="60" t="s">
        <v>85</v>
      </c>
      <c r="AZ20" s="60" t="s">
        <v>86</v>
      </c>
      <c r="BA20" s="33" t="s">
        <v>65</v>
      </c>
      <c r="BB20" s="61" t="n">
        <v>100083</v>
      </c>
      <c r="BC20" s="57">
        <f>AW20+AX20</f>
      </c>
      <c r="BD20" s="57">
        <f>G20/(100-BE20)*100</f>
      </c>
      <c r="BE20" s="57" t="n">
        <v>0</v>
      </c>
      <c r="BF20" s="57">
        <f>20</f>
      </c>
      <c r="BH20" s="57">
        <f>F20*AO20</f>
      </c>
      <c r="BI20" s="57">
        <f>F20*AP20</f>
      </c>
      <c r="BJ20" s="57">
        <f>F20*G20</f>
      </c>
      <c r="BK20" s="60" t="s">
        <v>66</v>
      </c>
      <c r="BL20" s="57" t="n">
        <v>17</v>
      </c>
      <c r="BW20" s="57" t="n">
        <v>12</v>
      </c>
      <c r="BX20" s="16" t="s">
        <v>83</v>
      </c>
    </row>
    <row r="21">
      <c r="A21" s="51" t="s">
        <v>53</v>
      </c>
      <c r="B21" s="52" t="s">
        <v>87</v>
      </c>
      <c r="C21" s="53" t="s">
        <v>88</v>
      </c>
      <c r="D21" s="52"/>
      <c r="E21" s="54" t="s">
        <v>4</v>
      </c>
      <c r="F21" s="54" t="s">
        <v>4</v>
      </c>
      <c r="G21" s="55" t="s">
        <v>4</v>
      </c>
      <c r="H21" s="2">
        <f>ROUND(SUM(H22:H23),2)</f>
      </c>
      <c r="I21" s="2">
        <f>ROUND(SUM(I22:I23),2)</f>
      </c>
      <c r="J21" s="2">
        <f>ROUND(SUM(J22:J23),2)</f>
      </c>
      <c r="K21" s="56" t="s">
        <v>53</v>
      </c>
      <c r="AI21" s="33" t="s">
        <v>57</v>
      </c>
      <c r="AS21" s="2">
        <f>SUM(AJ22:AJ23)</f>
      </c>
      <c r="AT21" s="2">
        <f>SUM(AK22:AK23)</f>
      </c>
      <c r="AU21" s="2">
        <f>SUM(AL22:AL23)</f>
      </c>
    </row>
    <row r="22">
      <c r="A22" s="10" t="s">
        <v>89</v>
      </c>
      <c r="B22" s="11" t="s">
        <v>90</v>
      </c>
      <c r="C22" s="16" t="s">
        <v>91</v>
      </c>
      <c r="D22" s="11"/>
      <c r="E22" s="11" t="s">
        <v>61</v>
      </c>
      <c r="F22" s="57" t="n">
        <v>19</v>
      </c>
      <c r="G22" s="58" t="n">
        <v>0</v>
      </c>
      <c r="H22" s="57">
        <f>ROUND(F22*AO22,2)</f>
      </c>
      <c r="I22" s="57">
        <f>ROUND(F22*AP22,2)</f>
      </c>
      <c r="J22" s="57">
        <f>ROUND(F22*G22,2)</f>
      </c>
      <c r="K22" s="59" t="s">
        <v>62</v>
      </c>
      <c r="Z22" s="57">
        <f>ROUND(IF(AQ22="5",BJ22,0),2)</f>
      </c>
      <c r="AB22" s="57">
        <f>ROUND(IF(AQ22="1",BH22,0),2)</f>
      </c>
      <c r="AC22" s="57">
        <f>ROUND(IF(AQ22="1",BI22,0),2)</f>
      </c>
      <c r="AD22" s="57">
        <f>ROUND(IF(AQ22="7",BH22,0),2)</f>
      </c>
      <c r="AE22" s="57">
        <f>ROUND(IF(AQ22="7",BI22,0),2)</f>
      </c>
      <c r="AF22" s="57">
        <f>ROUND(IF(AQ22="2",BH22,0),2)</f>
      </c>
      <c r="AG22" s="57">
        <f>ROUND(IF(AQ22="2",BI22,0),2)</f>
      </c>
      <c r="AH22" s="57">
        <f>ROUND(IF(AQ22="0",BJ22,0),2)</f>
      </c>
      <c r="AI22" s="33" t="s">
        <v>57</v>
      </c>
      <c r="AJ22" s="57">
        <f>IF(AN22=0,J22,0)</f>
      </c>
      <c r="AK22" s="57">
        <f>IF(AN22=12,J22,0)</f>
      </c>
      <c r="AL22" s="57">
        <f>IF(AN22=21,J22,0)</f>
      </c>
      <c r="AN22" s="57" t="n">
        <v>12</v>
      </c>
      <c r="AO22" s="57">
        <f>G22*0.066867635</f>
      </c>
      <c r="AP22" s="57">
        <f>G22*(1-0.066867635)</f>
      </c>
      <c r="AQ22" s="60" t="s">
        <v>58</v>
      </c>
      <c r="AV22" s="57">
        <f>ROUND(AW22+AX22,2)</f>
      </c>
      <c r="AW22" s="57">
        <f>ROUND(F22*AO22,2)</f>
      </c>
      <c r="AX22" s="57">
        <f>ROUND(F22*AP22,2)</f>
      </c>
      <c r="AY22" s="60" t="s">
        <v>92</v>
      </c>
      <c r="AZ22" s="60" t="s">
        <v>93</v>
      </c>
      <c r="BA22" s="33" t="s">
        <v>65</v>
      </c>
      <c r="BB22" s="61" t="n">
        <v>100084</v>
      </c>
      <c r="BC22" s="57">
        <f>AW22+AX22</f>
      </c>
      <c r="BD22" s="57">
        <f>G22/(100-BE22)*100</f>
      </c>
      <c r="BE22" s="57" t="n">
        <v>0</v>
      </c>
      <c r="BF22" s="57">
        <f>22</f>
      </c>
      <c r="BH22" s="57">
        <f>F22*AO22</f>
      </c>
      <c r="BI22" s="57">
        <f>F22*AP22</f>
      </c>
      <c r="BJ22" s="57">
        <f>F22*G22</f>
      </c>
      <c r="BK22" s="60" t="s">
        <v>66</v>
      </c>
      <c r="BL22" s="57" t="n">
        <v>18</v>
      </c>
      <c r="BW22" s="57" t="n">
        <v>12</v>
      </c>
      <c r="BX22" s="16" t="s">
        <v>91</v>
      </c>
    </row>
    <row r="23">
      <c r="A23" s="10" t="s">
        <v>94</v>
      </c>
      <c r="B23" s="11" t="s">
        <v>95</v>
      </c>
      <c r="C23" s="16" t="s">
        <v>96</v>
      </c>
      <c r="D23" s="11"/>
      <c r="E23" s="11" t="s">
        <v>97</v>
      </c>
      <c r="F23" s="57" t="n">
        <v>0.76</v>
      </c>
      <c r="G23" s="58" t="n">
        <v>0</v>
      </c>
      <c r="H23" s="57">
        <f>ROUND(F23*AO23,2)</f>
      </c>
      <c r="I23" s="57">
        <f>ROUND(F23*AP23,2)</f>
      </c>
      <c r="J23" s="57">
        <f>ROUND(F23*G23,2)</f>
      </c>
      <c r="K23" s="59" t="s">
        <v>62</v>
      </c>
      <c r="Z23" s="57">
        <f>ROUND(IF(AQ23="5",BJ23,0),2)</f>
      </c>
      <c r="AB23" s="57">
        <f>ROUND(IF(AQ23="1",BH23,0),2)</f>
      </c>
      <c r="AC23" s="57">
        <f>ROUND(IF(AQ23="1",BI23,0),2)</f>
      </c>
      <c r="AD23" s="57">
        <f>ROUND(IF(AQ23="7",BH23,0),2)</f>
      </c>
      <c r="AE23" s="57">
        <f>ROUND(IF(AQ23="7",BI23,0),2)</f>
      </c>
      <c r="AF23" s="57">
        <f>ROUND(IF(AQ23="2",BH23,0),2)</f>
      </c>
      <c r="AG23" s="57">
        <f>ROUND(IF(AQ23="2",BI23,0),2)</f>
      </c>
      <c r="AH23" s="57">
        <f>ROUND(IF(AQ23="0",BJ23,0),2)</f>
      </c>
      <c r="AI23" s="33" t="s">
        <v>57</v>
      </c>
      <c r="AJ23" s="57">
        <f>IF(AN23=0,J23,0)</f>
      </c>
      <c r="AK23" s="57">
        <f>IF(AN23=12,J23,0)</f>
      </c>
      <c r="AL23" s="57">
        <f>IF(AN23=21,J23,0)</f>
      </c>
      <c r="AN23" s="57" t="n">
        <v>12</v>
      </c>
      <c r="AO23" s="57">
        <f>G23*1</f>
      </c>
      <c r="AP23" s="57">
        <f>G23*(1-1)</f>
      </c>
      <c r="AQ23" s="60" t="s">
        <v>58</v>
      </c>
      <c r="AV23" s="57">
        <f>ROUND(AW23+AX23,2)</f>
      </c>
      <c r="AW23" s="57">
        <f>ROUND(F23*AO23,2)</f>
      </c>
      <c r="AX23" s="57">
        <f>ROUND(F23*AP23,2)</f>
      </c>
      <c r="AY23" s="60" t="s">
        <v>92</v>
      </c>
      <c r="AZ23" s="60" t="s">
        <v>93</v>
      </c>
      <c r="BA23" s="33" t="s">
        <v>65</v>
      </c>
      <c r="BC23" s="57">
        <f>AW23+AX23</f>
      </c>
      <c r="BD23" s="57">
        <f>G23/(100-BE23)*100</f>
      </c>
      <c r="BE23" s="57" t="n">
        <v>0</v>
      </c>
      <c r="BF23" s="57">
        <f>23</f>
      </c>
      <c r="BH23" s="57">
        <f>F23*AO23</f>
      </c>
      <c r="BI23" s="57">
        <f>F23*AP23</f>
      </c>
      <c r="BJ23" s="57">
        <f>F23*G23</f>
      </c>
      <c r="BK23" s="60" t="s">
        <v>98</v>
      </c>
      <c r="BL23" s="57" t="n">
        <v>18</v>
      </c>
      <c r="BW23" s="57" t="n">
        <v>12</v>
      </c>
      <c r="BX23" s="16" t="s">
        <v>96</v>
      </c>
    </row>
    <row r="24">
      <c r="A24" s="51" t="s">
        <v>53</v>
      </c>
      <c r="B24" s="52" t="s">
        <v>99</v>
      </c>
      <c r="C24" s="53" t="s">
        <v>100</v>
      </c>
      <c r="D24" s="52"/>
      <c r="E24" s="54" t="s">
        <v>4</v>
      </c>
      <c r="F24" s="54" t="s">
        <v>4</v>
      </c>
      <c r="G24" s="55" t="s">
        <v>4</v>
      </c>
      <c r="H24" s="2">
        <f>ROUND(SUM(H25:H25),2)</f>
      </c>
      <c r="I24" s="2">
        <f>ROUND(SUM(I25:I25),2)</f>
      </c>
      <c r="J24" s="2">
        <f>ROUND(SUM(J25:J25),2)</f>
      </c>
      <c r="K24" s="56" t="s">
        <v>53</v>
      </c>
      <c r="AI24" s="33" t="s">
        <v>57</v>
      </c>
      <c r="AS24" s="2">
        <f>SUM(AJ25:AJ25)</f>
      </c>
      <c r="AT24" s="2">
        <f>SUM(AK25:AK25)</f>
      </c>
      <c r="AU24" s="2">
        <f>SUM(AL25:AL25)</f>
      </c>
    </row>
    <row r="25">
      <c r="A25" s="10" t="s">
        <v>101</v>
      </c>
      <c r="B25" s="11" t="s">
        <v>102</v>
      </c>
      <c r="C25" s="16" t="s">
        <v>103</v>
      </c>
      <c r="D25" s="11"/>
      <c r="E25" s="11" t="s">
        <v>61</v>
      </c>
      <c r="F25" s="57" t="n">
        <v>93.496</v>
      </c>
      <c r="G25" s="58" t="n">
        <v>0</v>
      </c>
      <c r="H25" s="57">
        <f>ROUND(F25*AO25,2)</f>
      </c>
      <c r="I25" s="57">
        <f>ROUND(F25*AP25,2)</f>
      </c>
      <c r="J25" s="57">
        <f>ROUND(F25*G25,2)</f>
      </c>
      <c r="K25" s="59" t="s">
        <v>62</v>
      </c>
      <c r="Z25" s="57">
        <f>ROUND(IF(AQ25="5",BJ25,0),2)</f>
      </c>
      <c r="AB25" s="57">
        <f>ROUND(IF(AQ25="1",BH25,0),2)</f>
      </c>
      <c r="AC25" s="57">
        <f>ROUND(IF(AQ25="1",BI25,0),2)</f>
      </c>
      <c r="AD25" s="57">
        <f>ROUND(IF(AQ25="7",BH25,0),2)</f>
      </c>
      <c r="AE25" s="57">
        <f>ROUND(IF(AQ25="7",BI25,0),2)</f>
      </c>
      <c r="AF25" s="57">
        <f>ROUND(IF(AQ25="2",BH25,0),2)</f>
      </c>
      <c r="AG25" s="57">
        <f>ROUND(IF(AQ25="2",BI25,0),2)</f>
      </c>
      <c r="AH25" s="57">
        <f>ROUND(IF(AQ25="0",BJ25,0),2)</f>
      </c>
      <c r="AI25" s="33" t="s">
        <v>57</v>
      </c>
      <c r="AJ25" s="57">
        <f>IF(AN25=0,J25,0)</f>
      </c>
      <c r="AK25" s="57">
        <f>IF(AN25=12,J25,0)</f>
      </c>
      <c r="AL25" s="57">
        <f>IF(AN25=21,J25,0)</f>
      </c>
      <c r="AN25" s="57" t="n">
        <v>12</v>
      </c>
      <c r="AO25" s="57">
        <f>G25*0.701531064</f>
      </c>
      <c r="AP25" s="57">
        <f>G25*(1-0.701531064)</f>
      </c>
      <c r="AQ25" s="60" t="s">
        <v>58</v>
      </c>
      <c r="AV25" s="57">
        <f>ROUND(AW25+AX25,2)</f>
      </c>
      <c r="AW25" s="57">
        <f>ROUND(F25*AO25,2)</f>
      </c>
      <c r="AX25" s="57">
        <f>ROUND(F25*AP25,2)</f>
      </c>
      <c r="AY25" s="60" t="s">
        <v>104</v>
      </c>
      <c r="AZ25" s="60" t="s">
        <v>105</v>
      </c>
      <c r="BA25" s="33" t="s">
        <v>65</v>
      </c>
      <c r="BB25" s="61" t="n">
        <v>100085</v>
      </c>
      <c r="BC25" s="57">
        <f>AW25+AX25</f>
      </c>
      <c r="BD25" s="57">
        <f>G25/(100-BE25)*100</f>
      </c>
      <c r="BE25" s="57" t="n">
        <v>0</v>
      </c>
      <c r="BF25" s="57">
        <f>25</f>
      </c>
      <c r="BH25" s="57">
        <f>F25*AO25</f>
      </c>
      <c r="BI25" s="57">
        <f>F25*AP25</f>
      </c>
      <c r="BJ25" s="57">
        <f>F25*G25</f>
      </c>
      <c r="BK25" s="60" t="s">
        <v>66</v>
      </c>
      <c r="BL25" s="57" t="n">
        <v>56</v>
      </c>
      <c r="BW25" s="57" t="n">
        <v>12</v>
      </c>
      <c r="BX25" s="16" t="s">
        <v>103</v>
      </c>
    </row>
    <row r="26" customHeight="true" ht="13.5">
      <c r="A26" s="62"/>
      <c r="B26" s="63" t="s">
        <v>106</v>
      </c>
      <c r="C26" s="64" t="s">
        <v>107</v>
      </c>
      <c r="D26" s="65"/>
      <c r="E26" s="65"/>
      <c r="F26" s="65"/>
      <c r="G26" s="66"/>
      <c r="H26" s="65"/>
      <c r="I26" s="65"/>
      <c r="J26" s="65"/>
      <c r="K26" s="67"/>
    </row>
    <row r="27">
      <c r="A27" s="51" t="s">
        <v>53</v>
      </c>
      <c r="B27" s="52" t="s">
        <v>108</v>
      </c>
      <c r="C27" s="53" t="s">
        <v>109</v>
      </c>
      <c r="D27" s="52"/>
      <c r="E27" s="54" t="s">
        <v>4</v>
      </c>
      <c r="F27" s="54" t="s">
        <v>4</v>
      </c>
      <c r="G27" s="55" t="s">
        <v>4</v>
      </c>
      <c r="H27" s="2">
        <f>ROUND(SUM(H28:H32),2)</f>
      </c>
      <c r="I27" s="2">
        <f>ROUND(SUM(I28:I32),2)</f>
      </c>
      <c r="J27" s="2">
        <f>ROUND(SUM(J28:J32),2)</f>
      </c>
      <c r="K27" s="56" t="s">
        <v>53</v>
      </c>
      <c r="AI27" s="33" t="s">
        <v>57</v>
      </c>
      <c r="AS27" s="2">
        <f>SUM(AJ28:AJ32)</f>
      </c>
      <c r="AT27" s="2">
        <f>SUM(AK28:AK32)</f>
      </c>
      <c r="AU27" s="2">
        <f>SUM(AL28:AL32)</f>
      </c>
    </row>
    <row r="28">
      <c r="A28" s="10" t="s">
        <v>110</v>
      </c>
      <c r="B28" s="11" t="s">
        <v>111</v>
      </c>
      <c r="C28" s="16" t="s">
        <v>112</v>
      </c>
      <c r="D28" s="11"/>
      <c r="E28" s="11" t="s">
        <v>61</v>
      </c>
      <c r="F28" s="57" t="n">
        <v>8.484</v>
      </c>
      <c r="G28" s="58" t="n">
        <v>0</v>
      </c>
      <c r="H28" s="57">
        <f>ROUND(F28*AO28,2)</f>
      </c>
      <c r="I28" s="57">
        <f>ROUND(F28*AP28,2)</f>
      </c>
      <c r="J28" s="57">
        <f>ROUND(F28*G28,2)</f>
      </c>
      <c r="K28" s="59" t="s">
        <v>62</v>
      </c>
      <c r="Z28" s="57">
        <f>ROUND(IF(AQ28="5",BJ28,0),2)</f>
      </c>
      <c r="AB28" s="57">
        <f>ROUND(IF(AQ28="1",BH28,0),2)</f>
      </c>
      <c r="AC28" s="57">
        <f>ROUND(IF(AQ28="1",BI28,0),2)</f>
      </c>
      <c r="AD28" s="57">
        <f>ROUND(IF(AQ28="7",BH28,0),2)</f>
      </c>
      <c r="AE28" s="57">
        <f>ROUND(IF(AQ28="7",BI28,0),2)</f>
      </c>
      <c r="AF28" s="57">
        <f>ROUND(IF(AQ28="2",BH28,0),2)</f>
      </c>
      <c r="AG28" s="57">
        <f>ROUND(IF(AQ28="2",BI28,0),2)</f>
      </c>
      <c r="AH28" s="57">
        <f>ROUND(IF(AQ28="0",BJ28,0),2)</f>
      </c>
      <c r="AI28" s="33" t="s">
        <v>57</v>
      </c>
      <c r="AJ28" s="57">
        <f>IF(AN28=0,J28,0)</f>
      </c>
      <c r="AK28" s="57">
        <f>IF(AN28=12,J28,0)</f>
      </c>
      <c r="AL28" s="57">
        <f>IF(AN28=21,J28,0)</f>
      </c>
      <c r="AN28" s="57" t="n">
        <v>12</v>
      </c>
      <c r="AO28" s="57">
        <f>G28*0.053088481</f>
      </c>
      <c r="AP28" s="57">
        <f>G28*(1-0.053088481)</f>
      </c>
      <c r="AQ28" s="60" t="s">
        <v>58</v>
      </c>
      <c r="AV28" s="57">
        <f>ROUND(AW28+AX28,2)</f>
      </c>
      <c r="AW28" s="57">
        <f>ROUND(F28*AO28,2)</f>
      </c>
      <c r="AX28" s="57">
        <f>ROUND(F28*AP28,2)</f>
      </c>
      <c r="AY28" s="60" t="s">
        <v>113</v>
      </c>
      <c r="AZ28" s="60" t="s">
        <v>114</v>
      </c>
      <c r="BA28" s="33" t="s">
        <v>65</v>
      </c>
      <c r="BB28" s="61" t="n">
        <v>100086</v>
      </c>
      <c r="BC28" s="57">
        <f>AW28+AX28</f>
      </c>
      <c r="BD28" s="57">
        <f>G28/(100-BE28)*100</f>
      </c>
      <c r="BE28" s="57" t="n">
        <v>0</v>
      </c>
      <c r="BF28" s="57">
        <f>28</f>
      </c>
      <c r="BH28" s="57">
        <f>F28*AO28</f>
      </c>
      <c r="BI28" s="57">
        <f>F28*AP28</f>
      </c>
      <c r="BJ28" s="57">
        <f>F28*G28</f>
      </c>
      <c r="BK28" s="60" t="s">
        <v>66</v>
      </c>
      <c r="BL28" s="57" t="n">
        <v>59</v>
      </c>
      <c r="BW28" s="57" t="n">
        <v>12</v>
      </c>
      <c r="BX28" s="16" t="s">
        <v>112</v>
      </c>
    </row>
    <row r="29">
      <c r="A29" s="10" t="s">
        <v>55</v>
      </c>
      <c r="B29" s="11" t="s">
        <v>115</v>
      </c>
      <c r="C29" s="16" t="s">
        <v>116</v>
      </c>
      <c r="D29" s="11"/>
      <c r="E29" s="11" t="s">
        <v>61</v>
      </c>
      <c r="F29" s="57" t="n">
        <v>40.21</v>
      </c>
      <c r="G29" s="58" t="n">
        <v>0</v>
      </c>
      <c r="H29" s="57">
        <f>ROUND(F29*AO29,2)</f>
      </c>
      <c r="I29" s="57">
        <f>ROUND(F29*AP29,2)</f>
      </c>
      <c r="J29" s="57">
        <f>ROUND(F29*G29,2)</f>
      </c>
      <c r="K29" s="59" t="s">
        <v>62</v>
      </c>
      <c r="Z29" s="57">
        <f>ROUND(IF(AQ29="5",BJ29,0),2)</f>
      </c>
      <c r="AB29" s="57">
        <f>ROUND(IF(AQ29="1",BH29,0),2)</f>
      </c>
      <c r="AC29" s="57">
        <f>ROUND(IF(AQ29="1",BI29,0),2)</f>
      </c>
      <c r="AD29" s="57">
        <f>ROUND(IF(AQ29="7",BH29,0),2)</f>
      </c>
      <c r="AE29" s="57">
        <f>ROUND(IF(AQ29="7",BI29,0),2)</f>
      </c>
      <c r="AF29" s="57">
        <f>ROUND(IF(AQ29="2",BH29,0),2)</f>
      </c>
      <c r="AG29" s="57">
        <f>ROUND(IF(AQ29="2",BI29,0),2)</f>
      </c>
      <c r="AH29" s="57">
        <f>ROUND(IF(AQ29="0",BJ29,0),2)</f>
      </c>
      <c r="AI29" s="33" t="s">
        <v>57</v>
      </c>
      <c r="AJ29" s="57">
        <f>IF(AN29=0,J29,0)</f>
      </c>
      <c r="AK29" s="57">
        <f>IF(AN29=12,J29,0)</f>
      </c>
      <c r="AL29" s="57">
        <f>IF(AN29=21,J29,0)</f>
      </c>
      <c r="AN29" s="57" t="n">
        <v>12</v>
      </c>
      <c r="AO29" s="57">
        <f>G29*0.12456695</f>
      </c>
      <c r="AP29" s="57">
        <f>G29*(1-0.12456695)</f>
      </c>
      <c r="AQ29" s="60" t="s">
        <v>58</v>
      </c>
      <c r="AV29" s="57">
        <f>ROUND(AW29+AX29,2)</f>
      </c>
      <c r="AW29" s="57">
        <f>ROUND(F29*AO29,2)</f>
      </c>
      <c r="AX29" s="57">
        <f>ROUND(F29*AP29,2)</f>
      </c>
      <c r="AY29" s="60" t="s">
        <v>113</v>
      </c>
      <c r="AZ29" s="60" t="s">
        <v>114</v>
      </c>
      <c r="BA29" s="33" t="s">
        <v>65</v>
      </c>
      <c r="BB29" s="61" t="n">
        <v>100086</v>
      </c>
      <c r="BC29" s="57">
        <f>AW29+AX29</f>
      </c>
      <c r="BD29" s="57">
        <f>G29/(100-BE29)*100</f>
      </c>
      <c r="BE29" s="57" t="n">
        <v>0</v>
      </c>
      <c r="BF29" s="57">
        <f>29</f>
      </c>
      <c r="BH29" s="57">
        <f>F29*AO29</f>
      </c>
      <c r="BI29" s="57">
        <f>F29*AP29</f>
      </c>
      <c r="BJ29" s="57">
        <f>F29*G29</f>
      </c>
      <c r="BK29" s="60" t="s">
        <v>66</v>
      </c>
      <c r="BL29" s="57" t="n">
        <v>59</v>
      </c>
      <c r="BW29" s="57" t="n">
        <v>12</v>
      </c>
      <c r="BX29" s="16" t="s">
        <v>116</v>
      </c>
    </row>
    <row r="30">
      <c r="A30" s="10" t="s">
        <v>117</v>
      </c>
      <c r="B30" s="11" t="s">
        <v>118</v>
      </c>
      <c r="C30" s="16" t="s">
        <v>119</v>
      </c>
      <c r="D30" s="11"/>
      <c r="E30" s="11" t="s">
        <v>61</v>
      </c>
      <c r="F30" s="57" t="n">
        <v>44.802</v>
      </c>
      <c r="G30" s="58" t="n">
        <v>0</v>
      </c>
      <c r="H30" s="57">
        <f>ROUND(F30*AO30,2)</f>
      </c>
      <c r="I30" s="57">
        <f>ROUND(F30*AP30,2)</f>
      </c>
      <c r="J30" s="57">
        <f>ROUND(F30*G30,2)</f>
      </c>
      <c r="K30" s="59" t="s">
        <v>62</v>
      </c>
      <c r="Z30" s="57">
        <f>ROUND(IF(AQ30="5",BJ30,0),2)</f>
      </c>
      <c r="AB30" s="57">
        <f>ROUND(IF(AQ30="1",BH30,0),2)</f>
      </c>
      <c r="AC30" s="57">
        <f>ROUND(IF(AQ30="1",BI30,0),2)</f>
      </c>
      <c r="AD30" s="57">
        <f>ROUND(IF(AQ30="7",BH30,0),2)</f>
      </c>
      <c r="AE30" s="57">
        <f>ROUND(IF(AQ30="7",BI30,0),2)</f>
      </c>
      <c r="AF30" s="57">
        <f>ROUND(IF(AQ30="2",BH30,0),2)</f>
      </c>
      <c r="AG30" s="57">
        <f>ROUND(IF(AQ30="2",BI30,0),2)</f>
      </c>
      <c r="AH30" s="57">
        <f>ROUND(IF(AQ30="0",BJ30,0),2)</f>
      </c>
      <c r="AI30" s="33" t="s">
        <v>57</v>
      </c>
      <c r="AJ30" s="57">
        <f>IF(AN30=0,J30,0)</f>
      </c>
      <c r="AK30" s="57">
        <f>IF(AN30=12,J30,0)</f>
      </c>
      <c r="AL30" s="57">
        <f>IF(AN30=21,J30,0)</f>
      </c>
      <c r="AN30" s="57" t="n">
        <v>12</v>
      </c>
      <c r="AO30" s="57">
        <f>G30*0.103520633</f>
      </c>
      <c r="AP30" s="57">
        <f>G30*(1-0.103520633)</f>
      </c>
      <c r="AQ30" s="60" t="s">
        <v>58</v>
      </c>
      <c r="AV30" s="57">
        <f>ROUND(AW30+AX30,2)</f>
      </c>
      <c r="AW30" s="57">
        <f>ROUND(F30*AO30,2)</f>
      </c>
      <c r="AX30" s="57">
        <f>ROUND(F30*AP30,2)</f>
      </c>
      <c r="AY30" s="60" t="s">
        <v>113</v>
      </c>
      <c r="AZ30" s="60" t="s">
        <v>114</v>
      </c>
      <c r="BA30" s="33" t="s">
        <v>65</v>
      </c>
      <c r="BB30" s="61" t="n">
        <v>100086</v>
      </c>
      <c r="BC30" s="57">
        <f>AW30+AX30</f>
      </c>
      <c r="BD30" s="57">
        <f>G30/(100-BE30)*100</f>
      </c>
      <c r="BE30" s="57" t="n">
        <v>0</v>
      </c>
      <c r="BF30" s="57">
        <f>30</f>
      </c>
      <c r="BH30" s="57">
        <f>F30*AO30</f>
      </c>
      <c r="BI30" s="57">
        <f>F30*AP30</f>
      </c>
      <c r="BJ30" s="57">
        <f>F30*G30</f>
      </c>
      <c r="BK30" s="60" t="s">
        <v>66</v>
      </c>
      <c r="BL30" s="57" t="n">
        <v>59</v>
      </c>
      <c r="BW30" s="57" t="n">
        <v>12</v>
      </c>
      <c r="BX30" s="16" t="s">
        <v>119</v>
      </c>
    </row>
    <row r="31">
      <c r="A31" s="10" t="s">
        <v>120</v>
      </c>
      <c r="B31" s="11" t="s">
        <v>121</v>
      </c>
      <c r="C31" s="16" t="s">
        <v>122</v>
      </c>
      <c r="D31" s="11"/>
      <c r="E31" s="11" t="s">
        <v>61</v>
      </c>
      <c r="F31" s="57" t="n">
        <v>4.4802</v>
      </c>
      <c r="G31" s="58" t="n">
        <v>0</v>
      </c>
      <c r="H31" s="57">
        <f>ROUND(F31*AO31,2)</f>
      </c>
      <c r="I31" s="57">
        <f>ROUND(F31*AP31,2)</f>
      </c>
      <c r="J31" s="57">
        <f>ROUND(F31*G31,2)</f>
      </c>
      <c r="K31" s="59" t="s">
        <v>62</v>
      </c>
      <c r="Z31" s="57">
        <f>ROUND(IF(AQ31="5",BJ31,0),2)</f>
      </c>
      <c r="AB31" s="57">
        <f>ROUND(IF(AQ31="1",BH31,0),2)</f>
      </c>
      <c r="AC31" s="57">
        <f>ROUND(IF(AQ31="1",BI31,0),2)</f>
      </c>
      <c r="AD31" s="57">
        <f>ROUND(IF(AQ31="7",BH31,0),2)</f>
      </c>
      <c r="AE31" s="57">
        <f>ROUND(IF(AQ31="7",BI31,0),2)</f>
      </c>
      <c r="AF31" s="57">
        <f>ROUND(IF(AQ31="2",BH31,0),2)</f>
      </c>
      <c r="AG31" s="57">
        <f>ROUND(IF(AQ31="2",BI31,0),2)</f>
      </c>
      <c r="AH31" s="57">
        <f>ROUND(IF(AQ31="0",BJ31,0),2)</f>
      </c>
      <c r="AI31" s="33" t="s">
        <v>57</v>
      </c>
      <c r="AJ31" s="57">
        <f>IF(AN31=0,J31,0)</f>
      </c>
      <c r="AK31" s="57">
        <f>IF(AN31=12,J31,0)</f>
      </c>
      <c r="AL31" s="57">
        <f>IF(AN31=21,J31,0)</f>
      </c>
      <c r="AN31" s="57" t="n">
        <v>12</v>
      </c>
      <c r="AO31" s="57">
        <f>G31*1</f>
      </c>
      <c r="AP31" s="57">
        <f>G31*(1-1)</f>
      </c>
      <c r="AQ31" s="60" t="s">
        <v>58</v>
      </c>
      <c r="AV31" s="57">
        <f>ROUND(AW31+AX31,2)</f>
      </c>
      <c r="AW31" s="57">
        <f>ROUND(F31*AO31,2)</f>
      </c>
      <c r="AX31" s="57">
        <f>ROUND(F31*AP31,2)</f>
      </c>
      <c r="AY31" s="60" t="s">
        <v>113</v>
      </c>
      <c r="AZ31" s="60" t="s">
        <v>114</v>
      </c>
      <c r="BA31" s="33" t="s">
        <v>65</v>
      </c>
      <c r="BC31" s="57">
        <f>AW31+AX31</f>
      </c>
      <c r="BD31" s="57">
        <f>G31/(100-BE31)*100</f>
      </c>
      <c r="BE31" s="57" t="n">
        <v>0</v>
      </c>
      <c r="BF31" s="57">
        <f>31</f>
      </c>
      <c r="BH31" s="57">
        <f>F31*AO31</f>
      </c>
      <c r="BI31" s="57">
        <f>F31*AP31</f>
      </c>
      <c r="BJ31" s="57">
        <f>F31*G31</f>
      </c>
      <c r="BK31" s="60" t="s">
        <v>98</v>
      </c>
      <c r="BL31" s="57" t="n">
        <v>59</v>
      </c>
      <c r="BW31" s="57" t="n">
        <v>12</v>
      </c>
      <c r="BX31" s="16" t="s">
        <v>122</v>
      </c>
    </row>
    <row r="32">
      <c r="A32" s="10" t="s">
        <v>123</v>
      </c>
      <c r="B32" s="11" t="s">
        <v>124</v>
      </c>
      <c r="C32" s="16" t="s">
        <v>125</v>
      </c>
      <c r="D32" s="11"/>
      <c r="E32" s="11" t="s">
        <v>126</v>
      </c>
      <c r="F32" s="57" t="n">
        <v>169.23</v>
      </c>
      <c r="G32" s="58" t="n">
        <v>0</v>
      </c>
      <c r="H32" s="57">
        <f>ROUND(F32*AO32,2)</f>
      </c>
      <c r="I32" s="57">
        <f>ROUND(F32*AP32,2)</f>
      </c>
      <c r="J32" s="57">
        <f>ROUND(F32*G32,2)</f>
      </c>
      <c r="K32" s="59" t="s">
        <v>62</v>
      </c>
      <c r="Z32" s="57">
        <f>ROUND(IF(AQ32="5",BJ32,0),2)</f>
      </c>
      <c r="AB32" s="57">
        <f>ROUND(IF(AQ32="1",BH32,0),2)</f>
      </c>
      <c r="AC32" s="57">
        <f>ROUND(IF(AQ32="1",BI32,0),2)</f>
      </c>
      <c r="AD32" s="57">
        <f>ROUND(IF(AQ32="7",BH32,0),2)</f>
      </c>
      <c r="AE32" s="57">
        <f>ROUND(IF(AQ32="7",BI32,0),2)</f>
      </c>
      <c r="AF32" s="57">
        <f>ROUND(IF(AQ32="2",BH32,0),2)</f>
      </c>
      <c r="AG32" s="57">
        <f>ROUND(IF(AQ32="2",BI32,0),2)</f>
      </c>
      <c r="AH32" s="57">
        <f>ROUND(IF(AQ32="0",BJ32,0),2)</f>
      </c>
      <c r="AI32" s="33" t="s">
        <v>57</v>
      </c>
      <c r="AJ32" s="57">
        <f>IF(AN32=0,J32,0)</f>
      </c>
      <c r="AK32" s="57">
        <f>IF(AN32=12,J32,0)</f>
      </c>
      <c r="AL32" s="57">
        <f>IF(AN32=21,J32,0)</f>
      </c>
      <c r="AN32" s="57" t="n">
        <v>12</v>
      </c>
      <c r="AO32" s="57">
        <f>G32*0.038562686</f>
      </c>
      <c r="AP32" s="57">
        <f>G32*(1-0.038562686)</f>
      </c>
      <c r="AQ32" s="60" t="s">
        <v>58</v>
      </c>
      <c r="AV32" s="57">
        <f>ROUND(AW32+AX32,2)</f>
      </c>
      <c r="AW32" s="57">
        <f>ROUND(F32*AO32,2)</f>
      </c>
      <c r="AX32" s="57">
        <f>ROUND(F32*AP32,2)</f>
      </c>
      <c r="AY32" s="60" t="s">
        <v>113</v>
      </c>
      <c r="AZ32" s="60" t="s">
        <v>114</v>
      </c>
      <c r="BA32" s="33" t="s">
        <v>65</v>
      </c>
      <c r="BB32" s="61" t="n">
        <v>100086</v>
      </c>
      <c r="BC32" s="57">
        <f>AW32+AX32</f>
      </c>
      <c r="BD32" s="57">
        <f>G32/(100-BE32)*100</f>
      </c>
      <c r="BE32" s="57" t="n">
        <v>0</v>
      </c>
      <c r="BF32" s="57">
        <f>32</f>
      </c>
      <c r="BH32" s="57">
        <f>F32*AO32</f>
      </c>
      <c r="BI32" s="57">
        <f>F32*AP32</f>
      </c>
      <c r="BJ32" s="57">
        <f>F32*G32</f>
      </c>
      <c r="BK32" s="60" t="s">
        <v>66</v>
      </c>
      <c r="BL32" s="57" t="n">
        <v>59</v>
      </c>
      <c r="BW32" s="57" t="n">
        <v>12</v>
      </c>
      <c r="BX32" s="16" t="s">
        <v>125</v>
      </c>
    </row>
    <row r="33">
      <c r="A33" s="51" t="s">
        <v>53</v>
      </c>
      <c r="B33" s="52" t="s">
        <v>127</v>
      </c>
      <c r="C33" s="53" t="s">
        <v>128</v>
      </c>
      <c r="D33" s="52"/>
      <c r="E33" s="54" t="s">
        <v>4</v>
      </c>
      <c r="F33" s="54" t="s">
        <v>4</v>
      </c>
      <c r="G33" s="55" t="s">
        <v>4</v>
      </c>
      <c r="H33" s="2">
        <f>ROUND(SUM(H34:H41),2)</f>
      </c>
      <c r="I33" s="2">
        <f>ROUND(SUM(I34:I41),2)</f>
      </c>
      <c r="J33" s="2">
        <f>ROUND(SUM(J34:J41),2)</f>
      </c>
      <c r="K33" s="56" t="s">
        <v>53</v>
      </c>
      <c r="AI33" s="33" t="s">
        <v>57</v>
      </c>
      <c r="AS33" s="2">
        <f>SUM(AJ34:AJ41)</f>
      </c>
      <c r="AT33" s="2">
        <f>SUM(AK34:AK41)</f>
      </c>
      <c r="AU33" s="2">
        <f>SUM(AL34:AL41)</f>
      </c>
    </row>
    <row r="34">
      <c r="A34" s="10" t="s">
        <v>129</v>
      </c>
      <c r="B34" s="11" t="s">
        <v>130</v>
      </c>
      <c r="C34" s="16" t="s">
        <v>131</v>
      </c>
      <c r="D34" s="11"/>
      <c r="E34" s="11" t="s">
        <v>61</v>
      </c>
      <c r="F34" s="57" t="n">
        <v>32.0055</v>
      </c>
      <c r="G34" s="58" t="n">
        <v>0</v>
      </c>
      <c r="H34" s="57">
        <f>ROUND(F34*AO34,2)</f>
      </c>
      <c r="I34" s="57">
        <f>ROUND(F34*AP34,2)</f>
      </c>
      <c r="J34" s="57">
        <f>ROUND(F34*G34,2)</f>
      </c>
      <c r="K34" s="59" t="s">
        <v>62</v>
      </c>
      <c r="Z34" s="57">
        <f>ROUND(IF(AQ34="5",BJ34,0),2)</f>
      </c>
      <c r="AB34" s="57">
        <f>ROUND(IF(AQ34="1",BH34,0),2)</f>
      </c>
      <c r="AC34" s="57">
        <f>ROUND(IF(AQ34="1",BI34,0),2)</f>
      </c>
      <c r="AD34" s="57">
        <f>ROUND(IF(AQ34="7",BH34,0),2)</f>
      </c>
      <c r="AE34" s="57">
        <f>ROUND(IF(AQ34="7",BI34,0),2)</f>
      </c>
      <c r="AF34" s="57">
        <f>ROUND(IF(AQ34="2",BH34,0),2)</f>
      </c>
      <c r="AG34" s="57">
        <f>ROUND(IF(AQ34="2",BI34,0),2)</f>
      </c>
      <c r="AH34" s="57">
        <f>ROUND(IF(AQ34="0",BJ34,0),2)</f>
      </c>
      <c r="AI34" s="33" t="s">
        <v>57</v>
      </c>
      <c r="AJ34" s="57">
        <f>IF(AN34=0,J34,0)</f>
      </c>
      <c r="AK34" s="57">
        <f>IF(AN34=12,J34,0)</f>
      </c>
      <c r="AL34" s="57">
        <f>IF(AN34=21,J34,0)</f>
      </c>
      <c r="AN34" s="57" t="n">
        <v>12</v>
      </c>
      <c r="AO34" s="57">
        <f>G34*0.68961354</f>
      </c>
      <c r="AP34" s="57">
        <f>G34*(1-0.68961354)</f>
      </c>
      <c r="AQ34" s="60" t="s">
        <v>58</v>
      </c>
      <c r="AV34" s="57">
        <f>ROUND(AW34+AX34,2)</f>
      </c>
      <c r="AW34" s="57">
        <f>ROUND(F34*AO34,2)</f>
      </c>
      <c r="AX34" s="57">
        <f>ROUND(F34*AP34,2)</f>
      </c>
      <c r="AY34" s="60" t="s">
        <v>132</v>
      </c>
      <c r="AZ34" s="60" t="s">
        <v>133</v>
      </c>
      <c r="BA34" s="33" t="s">
        <v>65</v>
      </c>
      <c r="BB34" s="61" t="n">
        <v>100087</v>
      </c>
      <c r="BC34" s="57">
        <f>AW34+AX34</f>
      </c>
      <c r="BD34" s="57">
        <f>G34/(100-BE34)*100</f>
      </c>
      <c r="BE34" s="57" t="n">
        <v>0</v>
      </c>
      <c r="BF34" s="57">
        <f>34</f>
      </c>
      <c r="BH34" s="57">
        <f>F34*AO34</f>
      </c>
      <c r="BI34" s="57">
        <f>F34*AP34</f>
      </c>
      <c r="BJ34" s="57">
        <f>F34*G34</f>
      </c>
      <c r="BK34" s="60" t="s">
        <v>66</v>
      </c>
      <c r="BL34" s="57" t="n">
        <v>60</v>
      </c>
      <c r="BW34" s="57" t="n">
        <v>12</v>
      </c>
      <c r="BX34" s="16" t="s">
        <v>131</v>
      </c>
    </row>
    <row r="35">
      <c r="A35" s="10" t="s">
        <v>134</v>
      </c>
      <c r="B35" s="11" t="s">
        <v>135</v>
      </c>
      <c r="C35" s="16" t="s">
        <v>136</v>
      </c>
      <c r="D35" s="11"/>
      <c r="E35" s="11" t="s">
        <v>61</v>
      </c>
      <c r="F35" s="57" t="n">
        <v>401.78892</v>
      </c>
      <c r="G35" s="58" t="n">
        <v>0</v>
      </c>
      <c r="H35" s="57">
        <f>ROUND(F35*AO35,2)</f>
      </c>
      <c r="I35" s="57">
        <f>ROUND(F35*AP35,2)</f>
      </c>
      <c r="J35" s="57">
        <f>ROUND(F35*G35,2)</f>
      </c>
      <c r="K35" s="59" t="s">
        <v>62</v>
      </c>
      <c r="Z35" s="57">
        <f>ROUND(IF(AQ35="5",BJ35,0),2)</f>
      </c>
      <c r="AB35" s="57">
        <f>ROUND(IF(AQ35="1",BH35,0),2)</f>
      </c>
      <c r="AC35" s="57">
        <f>ROUND(IF(AQ35="1",BI35,0),2)</f>
      </c>
      <c r="AD35" s="57">
        <f>ROUND(IF(AQ35="7",BH35,0),2)</f>
      </c>
      <c r="AE35" s="57">
        <f>ROUND(IF(AQ35="7",BI35,0),2)</f>
      </c>
      <c r="AF35" s="57">
        <f>ROUND(IF(AQ35="2",BH35,0),2)</f>
      </c>
      <c r="AG35" s="57">
        <f>ROUND(IF(AQ35="2",BI35,0),2)</f>
      </c>
      <c r="AH35" s="57">
        <f>ROUND(IF(AQ35="0",BJ35,0),2)</f>
      </c>
      <c r="AI35" s="33" t="s">
        <v>57</v>
      </c>
      <c r="AJ35" s="57">
        <f>IF(AN35=0,J35,0)</f>
      </c>
      <c r="AK35" s="57">
        <f>IF(AN35=12,J35,0)</f>
      </c>
      <c r="AL35" s="57">
        <f>IF(AN35=21,J35,0)</f>
      </c>
      <c r="AN35" s="57" t="n">
        <v>12</v>
      </c>
      <c r="AO35" s="57">
        <f>G35*0.61354094</f>
      </c>
      <c r="AP35" s="57">
        <f>G35*(1-0.61354094)</f>
      </c>
      <c r="AQ35" s="60" t="s">
        <v>58</v>
      </c>
      <c r="AV35" s="57">
        <f>ROUND(AW35+AX35,2)</f>
      </c>
      <c r="AW35" s="57">
        <f>ROUND(F35*AO35,2)</f>
      </c>
      <c r="AX35" s="57">
        <f>ROUND(F35*AP35,2)</f>
      </c>
      <c r="AY35" s="60" t="s">
        <v>132</v>
      </c>
      <c r="AZ35" s="60" t="s">
        <v>133</v>
      </c>
      <c r="BA35" s="33" t="s">
        <v>65</v>
      </c>
      <c r="BB35" s="61" t="n">
        <v>100087</v>
      </c>
      <c r="BC35" s="57">
        <f>AW35+AX35</f>
      </c>
      <c r="BD35" s="57">
        <f>G35/(100-BE35)*100</f>
      </c>
      <c r="BE35" s="57" t="n">
        <v>0</v>
      </c>
      <c r="BF35" s="57">
        <f>35</f>
      </c>
      <c r="BH35" s="57">
        <f>F35*AO35</f>
      </c>
      <c r="BI35" s="57">
        <f>F35*AP35</f>
      </c>
      <c r="BJ35" s="57">
        <f>F35*G35</f>
      </c>
      <c r="BK35" s="60" t="s">
        <v>66</v>
      </c>
      <c r="BL35" s="57" t="n">
        <v>60</v>
      </c>
      <c r="BW35" s="57" t="n">
        <v>12</v>
      </c>
      <c r="BX35" s="16" t="s">
        <v>136</v>
      </c>
    </row>
    <row r="36" customHeight="true" ht="13.5">
      <c r="A36" s="62"/>
      <c r="B36" s="63" t="s">
        <v>106</v>
      </c>
      <c r="C36" s="64" t="s">
        <v>137</v>
      </c>
      <c r="D36" s="65"/>
      <c r="E36" s="65"/>
      <c r="F36" s="65"/>
      <c r="G36" s="66"/>
      <c r="H36" s="65"/>
      <c r="I36" s="65"/>
      <c r="J36" s="65"/>
      <c r="K36" s="67"/>
    </row>
    <row r="37" ht="24.75">
      <c r="A37" s="10" t="s">
        <v>79</v>
      </c>
      <c r="B37" s="11" t="s">
        <v>138</v>
      </c>
      <c r="C37" s="16" t="s">
        <v>139</v>
      </c>
      <c r="D37" s="11"/>
      <c r="E37" s="11" t="s">
        <v>61</v>
      </c>
      <c r="F37" s="57" t="n">
        <v>401.78892</v>
      </c>
      <c r="G37" s="58" t="n">
        <v>0</v>
      </c>
      <c r="H37" s="57">
        <f>ROUND(F37*AO37,2)</f>
      </c>
      <c r="I37" s="57">
        <f>ROUND(F37*AP37,2)</f>
      </c>
      <c r="J37" s="57">
        <f>ROUND(F37*G37,2)</f>
      </c>
      <c r="K37" s="59" t="s">
        <v>140</v>
      </c>
      <c r="Z37" s="57">
        <f>ROUND(IF(AQ37="5",BJ37,0),2)</f>
      </c>
      <c r="AB37" s="57">
        <f>ROUND(IF(AQ37="1",BH37,0),2)</f>
      </c>
      <c r="AC37" s="57">
        <f>ROUND(IF(AQ37="1",BI37,0),2)</f>
      </c>
      <c r="AD37" s="57">
        <f>ROUND(IF(AQ37="7",BH37,0),2)</f>
      </c>
      <c r="AE37" s="57">
        <f>ROUND(IF(AQ37="7",BI37,0),2)</f>
      </c>
      <c r="AF37" s="57">
        <f>ROUND(IF(AQ37="2",BH37,0),2)</f>
      </c>
      <c r="AG37" s="57">
        <f>ROUND(IF(AQ37="2",BI37,0),2)</f>
      </c>
      <c r="AH37" s="57">
        <f>ROUND(IF(AQ37="0",BJ37,0),2)</f>
      </c>
      <c r="AI37" s="33" t="s">
        <v>57</v>
      </c>
      <c r="AJ37" s="57">
        <f>IF(AN37=0,J37,0)</f>
      </c>
      <c r="AK37" s="57">
        <f>IF(AN37=12,J37,0)</f>
      </c>
      <c r="AL37" s="57">
        <f>IF(AN37=21,J37,0)</f>
      </c>
      <c r="AN37" s="57" t="n">
        <v>12</v>
      </c>
      <c r="AO37" s="57">
        <f>G37*1</f>
      </c>
      <c r="AP37" s="57">
        <f>G37*(1-1)</f>
      </c>
      <c r="AQ37" s="60" t="s">
        <v>58</v>
      </c>
      <c r="AV37" s="57">
        <f>ROUND(AW37+AX37,2)</f>
      </c>
      <c r="AW37" s="57">
        <f>ROUND(F37*AO37,2)</f>
      </c>
      <c r="AX37" s="57">
        <f>ROUND(F37*AP37,2)</f>
      </c>
      <c r="AY37" s="60" t="s">
        <v>132</v>
      </c>
      <c r="AZ37" s="60" t="s">
        <v>133</v>
      </c>
      <c r="BA37" s="33" t="s">
        <v>65</v>
      </c>
      <c r="BB37" s="61" t="n">
        <v>100087</v>
      </c>
      <c r="BC37" s="57">
        <f>AW37+AX37</f>
      </c>
      <c r="BD37" s="57">
        <f>G37/(100-BE37)*100</f>
      </c>
      <c r="BE37" s="57" t="n">
        <v>0</v>
      </c>
      <c r="BF37" s="57">
        <f>37</f>
      </c>
      <c r="BH37" s="57">
        <f>F37*AO37</f>
      </c>
      <c r="BI37" s="57">
        <f>F37*AP37</f>
      </c>
      <c r="BJ37" s="57">
        <f>F37*G37</f>
      </c>
      <c r="BK37" s="60" t="s">
        <v>66</v>
      </c>
      <c r="BL37" s="57" t="n">
        <v>60</v>
      </c>
      <c r="BW37" s="57" t="n">
        <v>12</v>
      </c>
      <c r="BX37" s="16" t="s">
        <v>139</v>
      </c>
    </row>
    <row r="38" customHeight="true" ht="13.5">
      <c r="A38" s="62"/>
      <c r="B38" s="63" t="s">
        <v>106</v>
      </c>
      <c r="C38" s="64" t="s">
        <v>141</v>
      </c>
      <c r="D38" s="65"/>
      <c r="E38" s="65"/>
      <c r="F38" s="65"/>
      <c r="G38" s="66"/>
      <c r="H38" s="65"/>
      <c r="I38" s="65"/>
      <c r="J38" s="65"/>
      <c r="K38" s="67"/>
    </row>
    <row r="39">
      <c r="A39" s="10" t="s">
        <v>87</v>
      </c>
      <c r="B39" s="11" t="s">
        <v>142</v>
      </c>
      <c r="C39" s="16" t="s">
        <v>143</v>
      </c>
      <c r="D39" s="11"/>
      <c r="E39" s="11" t="s">
        <v>61</v>
      </c>
      <c r="F39" s="57" t="n">
        <v>44.4975</v>
      </c>
      <c r="G39" s="58" t="n">
        <v>0</v>
      </c>
      <c r="H39" s="57">
        <f>ROUND(F39*AO39,2)</f>
      </c>
      <c r="I39" s="57">
        <f>ROUND(F39*AP39,2)</f>
      </c>
      <c r="J39" s="57">
        <f>ROUND(F39*G39,2)</f>
      </c>
      <c r="K39" s="59" t="s">
        <v>62</v>
      </c>
      <c r="Z39" s="57">
        <f>ROUND(IF(AQ39="5",BJ39,0),2)</f>
      </c>
      <c r="AB39" s="57">
        <f>ROUND(IF(AQ39="1",BH39,0),2)</f>
      </c>
      <c r="AC39" s="57">
        <f>ROUND(IF(AQ39="1",BI39,0),2)</f>
      </c>
      <c r="AD39" s="57">
        <f>ROUND(IF(AQ39="7",BH39,0),2)</f>
      </c>
      <c r="AE39" s="57">
        <f>ROUND(IF(AQ39="7",BI39,0),2)</f>
      </c>
      <c r="AF39" s="57">
        <f>ROUND(IF(AQ39="2",BH39,0),2)</f>
      </c>
      <c r="AG39" s="57">
        <f>ROUND(IF(AQ39="2",BI39,0),2)</f>
      </c>
      <c r="AH39" s="57">
        <f>ROUND(IF(AQ39="0",BJ39,0),2)</f>
      </c>
      <c r="AI39" s="33" t="s">
        <v>57</v>
      </c>
      <c r="AJ39" s="57">
        <f>IF(AN39=0,J39,0)</f>
      </c>
      <c r="AK39" s="57">
        <f>IF(AN39=12,J39,0)</f>
      </c>
      <c r="AL39" s="57">
        <f>IF(AN39=21,J39,0)</f>
      </c>
      <c r="AN39" s="57" t="n">
        <v>12</v>
      </c>
      <c r="AO39" s="57">
        <f>G39*0.343296652</f>
      </c>
      <c r="AP39" s="57">
        <f>G39*(1-0.343296652)</f>
      </c>
      <c r="AQ39" s="60" t="s">
        <v>58</v>
      </c>
      <c r="AV39" s="57">
        <f>ROUND(AW39+AX39,2)</f>
      </c>
      <c r="AW39" s="57">
        <f>ROUND(F39*AO39,2)</f>
      </c>
      <c r="AX39" s="57">
        <f>ROUND(F39*AP39,2)</f>
      </c>
      <c r="AY39" s="60" t="s">
        <v>132</v>
      </c>
      <c r="AZ39" s="60" t="s">
        <v>133</v>
      </c>
      <c r="BA39" s="33" t="s">
        <v>65</v>
      </c>
      <c r="BB39" s="61" t="n">
        <v>100087</v>
      </c>
      <c r="BC39" s="57">
        <f>AW39+AX39</f>
      </c>
      <c r="BD39" s="57">
        <f>G39/(100-BE39)*100</f>
      </c>
      <c r="BE39" s="57" t="n">
        <v>0</v>
      </c>
      <c r="BF39" s="57">
        <f>39</f>
      </c>
      <c r="BH39" s="57">
        <f>F39*AO39</f>
      </c>
      <c r="BI39" s="57">
        <f>F39*AP39</f>
      </c>
      <c r="BJ39" s="57">
        <f>F39*G39</f>
      </c>
      <c r="BK39" s="60" t="s">
        <v>66</v>
      </c>
      <c r="BL39" s="57" t="n">
        <v>60</v>
      </c>
      <c r="BW39" s="57" t="n">
        <v>12</v>
      </c>
      <c r="BX39" s="16" t="s">
        <v>143</v>
      </c>
    </row>
    <row r="40" customHeight="true" ht="13.5">
      <c r="A40" s="62"/>
      <c r="B40" s="63" t="s">
        <v>106</v>
      </c>
      <c r="C40" s="64" t="s">
        <v>144</v>
      </c>
      <c r="D40" s="65"/>
      <c r="E40" s="65"/>
      <c r="F40" s="65"/>
      <c r="G40" s="66"/>
      <c r="H40" s="65"/>
      <c r="I40" s="65"/>
      <c r="J40" s="65"/>
      <c r="K40" s="67"/>
    </row>
    <row r="41">
      <c r="A41" s="10" t="s">
        <v>145</v>
      </c>
      <c r="B41" s="11" t="s">
        <v>138</v>
      </c>
      <c r="C41" s="16" t="s">
        <v>146</v>
      </c>
      <c r="D41" s="11"/>
      <c r="E41" s="11" t="s">
        <v>61</v>
      </c>
      <c r="F41" s="57" t="n">
        <v>67.29</v>
      </c>
      <c r="G41" s="58" t="n">
        <v>0</v>
      </c>
      <c r="H41" s="57">
        <f>ROUND(F41*AO41,2)</f>
      </c>
      <c r="I41" s="57">
        <f>ROUND(F41*AP41,2)</f>
      </c>
      <c r="J41" s="57">
        <f>ROUND(F41*G41,2)</f>
      </c>
      <c r="K41" s="59" t="s">
        <v>140</v>
      </c>
      <c r="Z41" s="57">
        <f>ROUND(IF(AQ41="5",BJ41,0),2)</f>
      </c>
      <c r="AB41" s="57">
        <f>ROUND(IF(AQ41="1",BH41,0),2)</f>
      </c>
      <c r="AC41" s="57">
        <f>ROUND(IF(AQ41="1",BI41,0),2)</f>
      </c>
      <c r="AD41" s="57">
        <f>ROUND(IF(AQ41="7",BH41,0),2)</f>
      </c>
      <c r="AE41" s="57">
        <f>ROUND(IF(AQ41="7",BI41,0),2)</f>
      </c>
      <c r="AF41" s="57">
        <f>ROUND(IF(AQ41="2",BH41,0),2)</f>
      </c>
      <c r="AG41" s="57">
        <f>ROUND(IF(AQ41="2",BI41,0),2)</f>
      </c>
      <c r="AH41" s="57">
        <f>ROUND(IF(AQ41="0",BJ41,0),2)</f>
      </c>
      <c r="AI41" s="33" t="s">
        <v>57</v>
      </c>
      <c r="AJ41" s="57">
        <f>IF(AN41=0,J41,0)</f>
      </c>
      <c r="AK41" s="57">
        <f>IF(AN41=12,J41,0)</f>
      </c>
      <c r="AL41" s="57">
        <f>IF(AN41=21,J41,0)</f>
      </c>
      <c r="AN41" s="57" t="n">
        <v>12</v>
      </c>
      <c r="AO41" s="57">
        <f>G41*0.524088562</f>
      </c>
      <c r="AP41" s="57">
        <f>G41*(1-0.524088562)</f>
      </c>
      <c r="AQ41" s="60" t="s">
        <v>58</v>
      </c>
      <c r="AV41" s="57">
        <f>ROUND(AW41+AX41,2)</f>
      </c>
      <c r="AW41" s="57">
        <f>ROUND(F41*AO41,2)</f>
      </c>
      <c r="AX41" s="57">
        <f>ROUND(F41*AP41,2)</f>
      </c>
      <c r="AY41" s="60" t="s">
        <v>132</v>
      </c>
      <c r="AZ41" s="60" t="s">
        <v>133</v>
      </c>
      <c r="BA41" s="33" t="s">
        <v>65</v>
      </c>
      <c r="BB41" s="61" t="n">
        <v>100087</v>
      </c>
      <c r="BC41" s="57">
        <f>AW41+AX41</f>
      </c>
      <c r="BD41" s="57">
        <f>G41/(100-BE41)*100</f>
      </c>
      <c r="BE41" s="57" t="n">
        <v>0</v>
      </c>
      <c r="BF41" s="57">
        <f>41</f>
      </c>
      <c r="BH41" s="57">
        <f>F41*AO41</f>
      </c>
      <c r="BI41" s="57">
        <f>F41*AP41</f>
      </c>
      <c r="BJ41" s="57">
        <f>F41*G41</f>
      </c>
      <c r="BK41" s="60" t="s">
        <v>66</v>
      </c>
      <c r="BL41" s="57" t="n">
        <v>60</v>
      </c>
      <c r="BW41" s="57" t="n">
        <v>12</v>
      </c>
      <c r="BX41" s="16" t="s">
        <v>146</v>
      </c>
    </row>
    <row r="42">
      <c r="A42" s="51" t="s">
        <v>53</v>
      </c>
      <c r="B42" s="52" t="s">
        <v>147</v>
      </c>
      <c r="C42" s="53" t="s">
        <v>148</v>
      </c>
      <c r="D42" s="52"/>
      <c r="E42" s="54" t="s">
        <v>4</v>
      </c>
      <c r="F42" s="54" t="s">
        <v>4</v>
      </c>
      <c r="G42" s="55" t="s">
        <v>4</v>
      </c>
      <c r="H42" s="2">
        <f>ROUND(SUM(H43:H46),2)</f>
      </c>
      <c r="I42" s="2">
        <f>ROUND(SUM(I43:I46),2)</f>
      </c>
      <c r="J42" s="2">
        <f>ROUND(SUM(J43:J46),2)</f>
      </c>
      <c r="K42" s="56" t="s">
        <v>53</v>
      </c>
      <c r="AI42" s="33" t="s">
        <v>57</v>
      </c>
      <c r="AS42" s="2">
        <f>SUM(AJ43:AJ46)</f>
      </c>
      <c r="AT42" s="2">
        <f>SUM(AK43:AK46)</f>
      </c>
      <c r="AU42" s="2">
        <f>SUM(AL43:AL46)</f>
      </c>
    </row>
    <row r="43">
      <c r="A43" s="10" t="s">
        <v>149</v>
      </c>
      <c r="B43" s="11" t="s">
        <v>150</v>
      </c>
      <c r="C43" s="16" t="s">
        <v>151</v>
      </c>
      <c r="D43" s="11"/>
      <c r="E43" s="11" t="s">
        <v>126</v>
      </c>
      <c r="F43" s="57" t="n">
        <v>96</v>
      </c>
      <c r="G43" s="58" t="n">
        <v>0</v>
      </c>
      <c r="H43" s="57">
        <f>ROUND(F43*AO43,2)</f>
      </c>
      <c r="I43" s="57">
        <f>ROUND(F43*AP43,2)</f>
      </c>
      <c r="J43" s="57">
        <f>ROUND(F43*G43,2)</f>
      </c>
      <c r="K43" s="59" t="s">
        <v>62</v>
      </c>
      <c r="Z43" s="57">
        <f>ROUND(IF(AQ43="5",BJ43,0),2)</f>
      </c>
      <c r="AB43" s="57">
        <f>ROUND(IF(AQ43="1",BH43,0),2)</f>
      </c>
      <c r="AC43" s="57">
        <f>ROUND(IF(AQ43="1",BI43,0),2)</f>
      </c>
      <c r="AD43" s="57">
        <f>ROUND(IF(AQ43="7",BH43,0),2)</f>
      </c>
      <c r="AE43" s="57">
        <f>ROUND(IF(AQ43="7",BI43,0),2)</f>
      </c>
      <c r="AF43" s="57">
        <f>ROUND(IF(AQ43="2",BH43,0),2)</f>
      </c>
      <c r="AG43" s="57">
        <f>ROUND(IF(AQ43="2",BI43,0),2)</f>
      </c>
      <c r="AH43" s="57">
        <f>ROUND(IF(AQ43="0",BJ43,0),2)</f>
      </c>
      <c r="AI43" s="33" t="s">
        <v>57</v>
      </c>
      <c r="AJ43" s="57">
        <f>IF(AN43=0,J43,0)</f>
      </c>
      <c r="AK43" s="57">
        <f>IF(AN43=12,J43,0)</f>
      </c>
      <c r="AL43" s="57">
        <f>IF(AN43=21,J43,0)</f>
      </c>
      <c r="AN43" s="57" t="n">
        <v>12</v>
      </c>
      <c r="AO43" s="57">
        <f>G43*0.18941919</f>
      </c>
      <c r="AP43" s="57">
        <f>G43*(1-0.18941919)</f>
      </c>
      <c r="AQ43" s="60" t="s">
        <v>58</v>
      </c>
      <c r="AV43" s="57">
        <f>ROUND(AW43+AX43,2)</f>
      </c>
      <c r="AW43" s="57">
        <f>ROUND(F43*AO43,2)</f>
      </c>
      <c r="AX43" s="57">
        <f>ROUND(F43*AP43,2)</f>
      </c>
      <c r="AY43" s="60" t="s">
        <v>152</v>
      </c>
      <c r="AZ43" s="60" t="s">
        <v>153</v>
      </c>
      <c r="BA43" s="33" t="s">
        <v>65</v>
      </c>
      <c r="BB43" s="61" t="n">
        <v>100123</v>
      </c>
      <c r="BC43" s="57">
        <f>AW43+AX43</f>
      </c>
      <c r="BD43" s="57">
        <f>G43/(100-BE43)*100</f>
      </c>
      <c r="BE43" s="57" t="n">
        <v>0</v>
      </c>
      <c r="BF43" s="57">
        <f>43</f>
      </c>
      <c r="BH43" s="57">
        <f>F43*AO43</f>
      </c>
      <c r="BI43" s="57">
        <f>F43*AP43</f>
      </c>
      <c r="BJ43" s="57">
        <f>F43*G43</f>
      </c>
      <c r="BK43" s="60" t="s">
        <v>66</v>
      </c>
      <c r="BL43" s="57" t="n">
        <v>61</v>
      </c>
      <c r="BW43" s="57" t="n">
        <v>12</v>
      </c>
      <c r="BX43" s="16" t="s">
        <v>151</v>
      </c>
    </row>
    <row r="44" customHeight="true" ht="13.5">
      <c r="A44" s="62"/>
      <c r="B44" s="63" t="s">
        <v>106</v>
      </c>
      <c r="C44" s="64" t="s">
        <v>154</v>
      </c>
      <c r="D44" s="65"/>
      <c r="E44" s="65"/>
      <c r="F44" s="65"/>
      <c r="G44" s="66"/>
      <c r="H44" s="65"/>
      <c r="I44" s="65"/>
      <c r="J44" s="65"/>
      <c r="K44" s="67"/>
    </row>
    <row r="45">
      <c r="A45" s="10" t="s">
        <v>155</v>
      </c>
      <c r="B45" s="11" t="s">
        <v>156</v>
      </c>
      <c r="C45" s="16" t="s">
        <v>157</v>
      </c>
      <c r="D45" s="11"/>
      <c r="E45" s="11" t="s">
        <v>61</v>
      </c>
      <c r="F45" s="57" t="n">
        <v>38.4</v>
      </c>
      <c r="G45" s="58" t="n">
        <v>0</v>
      </c>
      <c r="H45" s="57">
        <f>ROUND(F45*AO45,2)</f>
      </c>
      <c r="I45" s="57">
        <f>ROUND(F45*AP45,2)</f>
      </c>
      <c r="J45" s="57">
        <f>ROUND(F45*G45,2)</f>
      </c>
      <c r="K45" s="59" t="s">
        <v>62</v>
      </c>
      <c r="Z45" s="57">
        <f>ROUND(IF(AQ45="5",BJ45,0),2)</f>
      </c>
      <c r="AB45" s="57">
        <f>ROUND(IF(AQ45="1",BH45,0),2)</f>
      </c>
      <c r="AC45" s="57">
        <f>ROUND(IF(AQ45="1",BI45,0),2)</f>
      </c>
      <c r="AD45" s="57">
        <f>ROUND(IF(AQ45="7",BH45,0),2)</f>
      </c>
      <c r="AE45" s="57">
        <f>ROUND(IF(AQ45="7",BI45,0),2)</f>
      </c>
      <c r="AF45" s="57">
        <f>ROUND(IF(AQ45="2",BH45,0),2)</f>
      </c>
      <c r="AG45" s="57">
        <f>ROUND(IF(AQ45="2",BI45,0),2)</f>
      </c>
      <c r="AH45" s="57">
        <f>ROUND(IF(AQ45="0",BJ45,0),2)</f>
      </c>
      <c r="AI45" s="33" t="s">
        <v>57</v>
      </c>
      <c r="AJ45" s="57">
        <f>IF(AN45=0,J45,0)</f>
      </c>
      <c r="AK45" s="57">
        <f>IF(AN45=12,J45,0)</f>
      </c>
      <c r="AL45" s="57">
        <f>IF(AN45=21,J45,0)</f>
      </c>
      <c r="AN45" s="57" t="n">
        <v>12</v>
      </c>
      <c r="AO45" s="57">
        <f>G45*0.130834944</f>
      </c>
      <c r="AP45" s="57">
        <f>G45*(1-0.130834944)</f>
      </c>
      <c r="AQ45" s="60" t="s">
        <v>58</v>
      </c>
      <c r="AV45" s="57">
        <f>ROUND(AW45+AX45,2)</f>
      </c>
      <c r="AW45" s="57">
        <f>ROUND(F45*AO45,2)</f>
      </c>
      <c r="AX45" s="57">
        <f>ROUND(F45*AP45,2)</f>
      </c>
      <c r="AY45" s="60" t="s">
        <v>152</v>
      </c>
      <c r="AZ45" s="60" t="s">
        <v>153</v>
      </c>
      <c r="BA45" s="33" t="s">
        <v>65</v>
      </c>
      <c r="BB45" s="61" t="n">
        <v>100123</v>
      </c>
      <c r="BC45" s="57">
        <f>AW45+AX45</f>
      </c>
      <c r="BD45" s="57">
        <f>G45/(100-BE45)*100</f>
      </c>
      <c r="BE45" s="57" t="n">
        <v>0</v>
      </c>
      <c r="BF45" s="57">
        <f>45</f>
      </c>
      <c r="BH45" s="57">
        <f>F45*AO45</f>
      </c>
      <c r="BI45" s="57">
        <f>F45*AP45</f>
      </c>
      <c r="BJ45" s="57">
        <f>F45*G45</f>
      </c>
      <c r="BK45" s="60" t="s">
        <v>66</v>
      </c>
      <c r="BL45" s="57" t="n">
        <v>61</v>
      </c>
      <c r="BW45" s="57" t="n">
        <v>12</v>
      </c>
      <c r="BX45" s="16" t="s">
        <v>157</v>
      </c>
    </row>
    <row r="46">
      <c r="A46" s="10" t="s">
        <v>158</v>
      </c>
      <c r="B46" s="11" t="s">
        <v>159</v>
      </c>
      <c r="C46" s="16" t="s">
        <v>160</v>
      </c>
      <c r="D46" s="11"/>
      <c r="E46" s="11" t="s">
        <v>126</v>
      </c>
      <c r="F46" s="57" t="n">
        <v>96</v>
      </c>
      <c r="G46" s="58" t="n">
        <v>0</v>
      </c>
      <c r="H46" s="57">
        <f>ROUND(F46*AO46,2)</f>
      </c>
      <c r="I46" s="57">
        <f>ROUND(F46*AP46,2)</f>
      </c>
      <c r="J46" s="57">
        <f>ROUND(F46*G46,2)</f>
      </c>
      <c r="K46" s="59" t="s">
        <v>62</v>
      </c>
      <c r="Z46" s="57">
        <f>ROUND(IF(AQ46="5",BJ46,0),2)</f>
      </c>
      <c r="AB46" s="57">
        <f>ROUND(IF(AQ46="1",BH46,0),2)</f>
      </c>
      <c r="AC46" s="57">
        <f>ROUND(IF(AQ46="1",BI46,0),2)</f>
      </c>
      <c r="AD46" s="57">
        <f>ROUND(IF(AQ46="7",BH46,0),2)</f>
      </c>
      <c r="AE46" s="57">
        <f>ROUND(IF(AQ46="7",BI46,0),2)</f>
      </c>
      <c r="AF46" s="57">
        <f>ROUND(IF(AQ46="2",BH46,0),2)</f>
      </c>
      <c r="AG46" s="57">
        <f>ROUND(IF(AQ46="2",BI46,0),2)</f>
      </c>
      <c r="AH46" s="57">
        <f>ROUND(IF(AQ46="0",BJ46,0),2)</f>
      </c>
      <c r="AI46" s="33" t="s">
        <v>57</v>
      </c>
      <c r="AJ46" s="57">
        <f>IF(AN46=0,J46,0)</f>
      </c>
      <c r="AK46" s="57">
        <f>IF(AN46=12,J46,0)</f>
      </c>
      <c r="AL46" s="57">
        <f>IF(AN46=21,J46,0)</f>
      </c>
      <c r="AN46" s="57" t="n">
        <v>12</v>
      </c>
      <c r="AO46" s="57">
        <f>G46*0.381893655</f>
      </c>
      <c r="AP46" s="57">
        <f>G46*(1-0.381893655)</f>
      </c>
      <c r="AQ46" s="60" t="s">
        <v>58</v>
      </c>
      <c r="AV46" s="57">
        <f>ROUND(AW46+AX46,2)</f>
      </c>
      <c r="AW46" s="57">
        <f>ROUND(F46*AO46,2)</f>
      </c>
      <c r="AX46" s="57">
        <f>ROUND(F46*AP46,2)</f>
      </c>
      <c r="AY46" s="60" t="s">
        <v>152</v>
      </c>
      <c r="AZ46" s="60" t="s">
        <v>153</v>
      </c>
      <c r="BA46" s="33" t="s">
        <v>65</v>
      </c>
      <c r="BB46" s="61" t="n">
        <v>100123</v>
      </c>
      <c r="BC46" s="57">
        <f>AW46+AX46</f>
      </c>
      <c r="BD46" s="57">
        <f>G46/(100-BE46)*100</f>
      </c>
      <c r="BE46" s="57" t="n">
        <v>0</v>
      </c>
      <c r="BF46" s="57">
        <f>46</f>
      </c>
      <c r="BH46" s="57">
        <f>F46*AO46</f>
      </c>
      <c r="BI46" s="57">
        <f>F46*AP46</f>
      </c>
      <c r="BJ46" s="57">
        <f>F46*G46</f>
      </c>
      <c r="BK46" s="60" t="s">
        <v>66</v>
      </c>
      <c r="BL46" s="57" t="n">
        <v>61</v>
      </c>
      <c r="BW46" s="57" t="n">
        <v>12</v>
      </c>
      <c r="BX46" s="16" t="s">
        <v>160</v>
      </c>
    </row>
    <row r="47">
      <c r="A47" s="51" t="s">
        <v>53</v>
      </c>
      <c r="B47" s="52" t="s">
        <v>161</v>
      </c>
      <c r="C47" s="53" t="s">
        <v>162</v>
      </c>
      <c r="D47" s="52"/>
      <c r="E47" s="54" t="s">
        <v>4</v>
      </c>
      <c r="F47" s="54" t="s">
        <v>4</v>
      </c>
      <c r="G47" s="55" t="s">
        <v>4</v>
      </c>
      <c r="H47" s="2">
        <f>ROUND(SUM(H48:H116),2)</f>
      </c>
      <c r="I47" s="2">
        <f>ROUND(SUM(I48:I116),2)</f>
      </c>
      <c r="J47" s="2">
        <f>ROUND(SUM(J48:J116),2)</f>
      </c>
      <c r="K47" s="56" t="s">
        <v>53</v>
      </c>
      <c r="AI47" s="33" t="s">
        <v>57</v>
      </c>
      <c r="AS47" s="2">
        <f>SUM(AJ48:AJ116)</f>
      </c>
      <c r="AT47" s="2">
        <f>SUM(AK48:AK116)</f>
      </c>
      <c r="AU47" s="2">
        <f>SUM(AL48:AL116)</f>
      </c>
    </row>
    <row r="48">
      <c r="A48" s="10" t="s">
        <v>163</v>
      </c>
      <c r="B48" s="11" t="s">
        <v>164</v>
      </c>
      <c r="C48" s="16" t="s">
        <v>165</v>
      </c>
      <c r="D48" s="11"/>
      <c r="E48" s="11" t="s">
        <v>61</v>
      </c>
      <c r="F48" s="57" t="n">
        <v>630.02475</v>
      </c>
      <c r="G48" s="58" t="n">
        <v>0</v>
      </c>
      <c r="H48" s="57">
        <f>ROUND(F48*AO48,2)</f>
      </c>
      <c r="I48" s="57">
        <f>ROUND(F48*AP48,2)</f>
      </c>
      <c r="J48" s="57">
        <f>ROUND(F48*G48,2)</f>
      </c>
      <c r="K48" s="59" t="s">
        <v>62</v>
      </c>
      <c r="Z48" s="57">
        <f>ROUND(IF(AQ48="5",BJ48,0),2)</f>
      </c>
      <c r="AB48" s="57">
        <f>ROUND(IF(AQ48="1",BH48,0),2)</f>
      </c>
      <c r="AC48" s="57">
        <f>ROUND(IF(AQ48="1",BI48,0),2)</f>
      </c>
      <c r="AD48" s="57">
        <f>ROUND(IF(AQ48="7",BH48,0),2)</f>
      </c>
      <c r="AE48" s="57">
        <f>ROUND(IF(AQ48="7",BI48,0),2)</f>
      </c>
      <c r="AF48" s="57">
        <f>ROUND(IF(AQ48="2",BH48,0),2)</f>
      </c>
      <c r="AG48" s="57">
        <f>ROUND(IF(AQ48="2",BI48,0),2)</f>
      </c>
      <c r="AH48" s="57">
        <f>ROUND(IF(AQ48="0",BJ48,0),2)</f>
      </c>
      <c r="AI48" s="33" t="s">
        <v>57</v>
      </c>
      <c r="AJ48" s="57">
        <f>IF(AN48=0,J48,0)</f>
      </c>
      <c r="AK48" s="57">
        <f>IF(AN48=12,J48,0)</f>
      </c>
      <c r="AL48" s="57">
        <f>IF(AN48=21,J48,0)</f>
      </c>
      <c r="AN48" s="57" t="n">
        <v>12</v>
      </c>
      <c r="AO48" s="57">
        <f>G48*0.268215831</f>
      </c>
      <c r="AP48" s="57">
        <f>G48*(1-0.268215831)</f>
      </c>
      <c r="AQ48" s="60" t="s">
        <v>58</v>
      </c>
      <c r="AV48" s="57">
        <f>ROUND(AW48+AX48,2)</f>
      </c>
      <c r="AW48" s="57">
        <f>ROUND(F48*AO48,2)</f>
      </c>
      <c r="AX48" s="57">
        <f>ROUND(F48*AP48,2)</f>
      </c>
      <c r="AY48" s="60" t="s">
        <v>166</v>
      </c>
      <c r="AZ48" s="60" t="s">
        <v>167</v>
      </c>
      <c r="BA48" s="33" t="s">
        <v>65</v>
      </c>
      <c r="BB48" s="61" t="n">
        <v>100088</v>
      </c>
      <c r="BC48" s="57">
        <f>AW48+AX48</f>
      </c>
      <c r="BD48" s="57">
        <f>G48/(100-BE48)*100</f>
      </c>
      <c r="BE48" s="57" t="n">
        <v>0</v>
      </c>
      <c r="BF48" s="57">
        <f>48</f>
      </c>
      <c r="BH48" s="57">
        <f>F48*AO48</f>
      </c>
      <c r="BI48" s="57">
        <f>F48*AP48</f>
      </c>
      <c r="BJ48" s="57">
        <f>F48*G48</f>
      </c>
      <c r="BK48" s="60" t="s">
        <v>66</v>
      </c>
      <c r="BL48" s="57" t="n">
        <v>62</v>
      </c>
      <c r="BW48" s="57" t="n">
        <v>12</v>
      </c>
      <c r="BX48" s="16" t="s">
        <v>165</v>
      </c>
    </row>
    <row r="49">
      <c r="A49" s="10" t="s">
        <v>168</v>
      </c>
      <c r="B49" s="11" t="s">
        <v>169</v>
      </c>
      <c r="C49" s="16" t="s">
        <v>170</v>
      </c>
      <c r="D49" s="11"/>
      <c r="E49" s="11" t="s">
        <v>61</v>
      </c>
      <c r="F49" s="57" t="n">
        <v>310.73599</v>
      </c>
      <c r="G49" s="58" t="n">
        <v>0</v>
      </c>
      <c r="H49" s="57">
        <f>ROUND(F49*AO49,2)</f>
      </c>
      <c r="I49" s="57">
        <f>ROUND(F49*AP49,2)</f>
      </c>
      <c r="J49" s="57">
        <f>ROUND(F49*G49,2)</f>
      </c>
      <c r="K49" s="59" t="s">
        <v>62</v>
      </c>
      <c r="Z49" s="57">
        <f>ROUND(IF(AQ49="5",BJ49,0),2)</f>
      </c>
      <c r="AB49" s="57">
        <f>ROUND(IF(AQ49="1",BH49,0),2)</f>
      </c>
      <c r="AC49" s="57">
        <f>ROUND(IF(AQ49="1",BI49,0),2)</f>
      </c>
      <c r="AD49" s="57">
        <f>ROUND(IF(AQ49="7",BH49,0),2)</f>
      </c>
      <c r="AE49" s="57">
        <f>ROUND(IF(AQ49="7",BI49,0),2)</f>
      </c>
      <c r="AF49" s="57">
        <f>ROUND(IF(AQ49="2",BH49,0),2)</f>
      </c>
      <c r="AG49" s="57">
        <f>ROUND(IF(AQ49="2",BI49,0),2)</f>
      </c>
      <c r="AH49" s="57">
        <f>ROUND(IF(AQ49="0",BJ49,0),2)</f>
      </c>
      <c r="AI49" s="33" t="s">
        <v>57</v>
      </c>
      <c r="AJ49" s="57">
        <f>IF(AN49=0,J49,0)</f>
      </c>
      <c r="AK49" s="57">
        <f>IF(AN49=12,J49,0)</f>
      </c>
      <c r="AL49" s="57">
        <f>IF(AN49=21,J49,0)</f>
      </c>
      <c r="AN49" s="57" t="n">
        <v>12</v>
      </c>
      <c r="AO49" s="57">
        <f>G49*0.537006773</f>
      </c>
      <c r="AP49" s="57">
        <f>G49*(1-0.537006773)</f>
      </c>
      <c r="AQ49" s="60" t="s">
        <v>58</v>
      </c>
      <c r="AV49" s="57">
        <f>ROUND(AW49+AX49,2)</f>
      </c>
      <c r="AW49" s="57">
        <f>ROUND(F49*AO49,2)</f>
      </c>
      <c r="AX49" s="57">
        <f>ROUND(F49*AP49,2)</f>
      </c>
      <c r="AY49" s="60" t="s">
        <v>166</v>
      </c>
      <c r="AZ49" s="60" t="s">
        <v>167</v>
      </c>
      <c r="BA49" s="33" t="s">
        <v>65</v>
      </c>
      <c r="BB49" s="61" t="n">
        <v>100088</v>
      </c>
      <c r="BC49" s="57">
        <f>AW49+AX49</f>
      </c>
      <c r="BD49" s="57">
        <f>G49/(100-BE49)*100</f>
      </c>
      <c r="BE49" s="57" t="n">
        <v>0</v>
      </c>
      <c r="BF49" s="57">
        <f>49</f>
      </c>
      <c r="BH49" s="57">
        <f>F49*AO49</f>
      </c>
      <c r="BI49" s="57">
        <f>F49*AP49</f>
      </c>
      <c r="BJ49" s="57">
        <f>F49*G49</f>
      </c>
      <c r="BK49" s="60" t="s">
        <v>66</v>
      </c>
      <c r="BL49" s="57" t="n">
        <v>62</v>
      </c>
      <c r="BW49" s="57" t="n">
        <v>12</v>
      </c>
      <c r="BX49" s="16" t="s">
        <v>170</v>
      </c>
    </row>
    <row r="50">
      <c r="A50" s="10" t="s">
        <v>171</v>
      </c>
      <c r="B50" s="11" t="s">
        <v>172</v>
      </c>
      <c r="C50" s="16" t="s">
        <v>173</v>
      </c>
      <c r="D50" s="11"/>
      <c r="E50" s="11" t="s">
        <v>174</v>
      </c>
      <c r="F50" s="57" t="n">
        <v>5</v>
      </c>
      <c r="G50" s="58" t="n">
        <v>0</v>
      </c>
      <c r="H50" s="57">
        <f>ROUND(F50*AO50,2)</f>
      </c>
      <c r="I50" s="57">
        <f>ROUND(F50*AP50,2)</f>
      </c>
      <c r="J50" s="57">
        <f>ROUND(F50*G50,2)</f>
      </c>
      <c r="K50" s="59" t="s">
        <v>62</v>
      </c>
      <c r="Z50" s="57">
        <f>ROUND(IF(AQ50="5",BJ50,0),2)</f>
      </c>
      <c r="AB50" s="57">
        <f>ROUND(IF(AQ50="1",BH50,0),2)</f>
      </c>
      <c r="AC50" s="57">
        <f>ROUND(IF(AQ50="1",BI50,0),2)</f>
      </c>
      <c r="AD50" s="57">
        <f>ROUND(IF(AQ50="7",BH50,0),2)</f>
      </c>
      <c r="AE50" s="57">
        <f>ROUND(IF(AQ50="7",BI50,0),2)</f>
      </c>
      <c r="AF50" s="57">
        <f>ROUND(IF(AQ50="2",BH50,0),2)</f>
      </c>
      <c r="AG50" s="57">
        <f>ROUND(IF(AQ50="2",BI50,0),2)</f>
      </c>
      <c r="AH50" s="57">
        <f>ROUND(IF(AQ50="0",BJ50,0),2)</f>
      </c>
      <c r="AI50" s="33" t="s">
        <v>57</v>
      </c>
      <c r="AJ50" s="57">
        <f>IF(AN50=0,J50,0)</f>
      </c>
      <c r="AK50" s="57">
        <f>IF(AN50=12,J50,0)</f>
      </c>
      <c r="AL50" s="57">
        <f>IF(AN50=21,J50,0)</f>
      </c>
      <c r="AN50" s="57" t="n">
        <v>12</v>
      </c>
      <c r="AO50" s="57">
        <f>G50*0.898616891</f>
      </c>
      <c r="AP50" s="57">
        <f>G50*(1-0.898616891)</f>
      </c>
      <c r="AQ50" s="60" t="s">
        <v>58</v>
      </c>
      <c r="AV50" s="57">
        <f>ROUND(AW50+AX50,2)</f>
      </c>
      <c r="AW50" s="57">
        <f>ROUND(F50*AO50,2)</f>
      </c>
      <c r="AX50" s="57">
        <f>ROUND(F50*AP50,2)</f>
      </c>
      <c r="AY50" s="60" t="s">
        <v>166</v>
      </c>
      <c r="AZ50" s="60" t="s">
        <v>167</v>
      </c>
      <c r="BA50" s="33" t="s">
        <v>65</v>
      </c>
      <c r="BB50" s="61" t="n">
        <v>100088</v>
      </c>
      <c r="BC50" s="57">
        <f>AW50+AX50</f>
      </c>
      <c r="BD50" s="57">
        <f>G50/(100-BE50)*100</f>
      </c>
      <c r="BE50" s="57" t="n">
        <v>0</v>
      </c>
      <c r="BF50" s="57">
        <f>50</f>
      </c>
      <c r="BH50" s="57">
        <f>F50*AO50</f>
      </c>
      <c r="BI50" s="57">
        <f>F50*AP50</f>
      </c>
      <c r="BJ50" s="57">
        <f>F50*G50</f>
      </c>
      <c r="BK50" s="60" t="s">
        <v>66</v>
      </c>
      <c r="BL50" s="57" t="n">
        <v>62</v>
      </c>
      <c r="BW50" s="57" t="n">
        <v>12</v>
      </c>
      <c r="BX50" s="16" t="s">
        <v>173</v>
      </c>
    </row>
    <row r="51" customHeight="true" ht="13.5">
      <c r="A51" s="62"/>
      <c r="B51" s="63" t="s">
        <v>106</v>
      </c>
      <c r="C51" s="64" t="s">
        <v>175</v>
      </c>
      <c r="D51" s="65"/>
      <c r="E51" s="65"/>
      <c r="F51" s="65"/>
      <c r="G51" s="66"/>
      <c r="H51" s="65"/>
      <c r="I51" s="65"/>
      <c r="J51" s="65"/>
      <c r="K51" s="67"/>
    </row>
    <row r="52">
      <c r="A52" s="10" t="s">
        <v>176</v>
      </c>
      <c r="B52" s="11" t="s">
        <v>177</v>
      </c>
      <c r="C52" s="16" t="s">
        <v>178</v>
      </c>
      <c r="D52" s="11"/>
      <c r="E52" s="11" t="s">
        <v>126</v>
      </c>
      <c r="F52" s="57" t="n">
        <v>59.27</v>
      </c>
      <c r="G52" s="58" t="n">
        <v>0</v>
      </c>
      <c r="H52" s="57">
        <f>ROUND(F52*AO52,2)</f>
      </c>
      <c r="I52" s="57">
        <f>ROUND(F52*AP52,2)</f>
      </c>
      <c r="J52" s="57">
        <f>ROUND(F52*G52,2)</f>
      </c>
      <c r="K52" s="59" t="s">
        <v>62</v>
      </c>
      <c r="Z52" s="57">
        <f>ROUND(IF(AQ52="5",BJ52,0),2)</f>
      </c>
      <c r="AB52" s="57">
        <f>ROUND(IF(AQ52="1",BH52,0),2)</f>
      </c>
      <c r="AC52" s="57">
        <f>ROUND(IF(AQ52="1",BI52,0),2)</f>
      </c>
      <c r="AD52" s="57">
        <f>ROUND(IF(AQ52="7",BH52,0),2)</f>
      </c>
      <c r="AE52" s="57">
        <f>ROUND(IF(AQ52="7",BI52,0),2)</f>
      </c>
      <c r="AF52" s="57">
        <f>ROUND(IF(AQ52="2",BH52,0),2)</f>
      </c>
      <c r="AG52" s="57">
        <f>ROUND(IF(AQ52="2",BI52,0),2)</f>
      </c>
      <c r="AH52" s="57">
        <f>ROUND(IF(AQ52="0",BJ52,0),2)</f>
      </c>
      <c r="AI52" s="33" t="s">
        <v>57</v>
      </c>
      <c r="AJ52" s="57">
        <f>IF(AN52=0,J52,0)</f>
      </c>
      <c r="AK52" s="57">
        <f>IF(AN52=12,J52,0)</f>
      </c>
      <c r="AL52" s="57">
        <f>IF(AN52=21,J52,0)</f>
      </c>
      <c r="AN52" s="57" t="n">
        <v>12</v>
      </c>
      <c r="AO52" s="57">
        <f>G52*0.431454331</f>
      </c>
      <c r="AP52" s="57">
        <f>G52*(1-0.431454331)</f>
      </c>
      <c r="AQ52" s="60" t="s">
        <v>58</v>
      </c>
      <c r="AV52" s="57">
        <f>ROUND(AW52+AX52,2)</f>
      </c>
      <c r="AW52" s="57">
        <f>ROUND(F52*AO52,2)</f>
      </c>
      <c r="AX52" s="57">
        <f>ROUND(F52*AP52,2)</f>
      </c>
      <c r="AY52" s="60" t="s">
        <v>166</v>
      </c>
      <c r="AZ52" s="60" t="s">
        <v>167</v>
      </c>
      <c r="BA52" s="33" t="s">
        <v>65</v>
      </c>
      <c r="BB52" s="61" t="n">
        <v>100088</v>
      </c>
      <c r="BC52" s="57">
        <f>AW52+AX52</f>
      </c>
      <c r="BD52" s="57">
        <f>G52/(100-BE52)*100</f>
      </c>
      <c r="BE52" s="57" t="n">
        <v>0</v>
      </c>
      <c r="BF52" s="57">
        <f>52</f>
      </c>
      <c r="BH52" s="57">
        <f>F52*AO52</f>
      </c>
      <c r="BI52" s="57">
        <f>F52*AP52</f>
      </c>
      <c r="BJ52" s="57">
        <f>F52*G52</f>
      </c>
      <c r="BK52" s="60" t="s">
        <v>66</v>
      </c>
      <c r="BL52" s="57" t="n">
        <v>62</v>
      </c>
      <c r="BW52" s="57" t="n">
        <v>12</v>
      </c>
      <c r="BX52" s="16" t="s">
        <v>178</v>
      </c>
    </row>
    <row r="53">
      <c r="A53" s="10" t="s">
        <v>179</v>
      </c>
      <c r="B53" s="11" t="s">
        <v>180</v>
      </c>
      <c r="C53" s="16" t="s">
        <v>181</v>
      </c>
      <c r="D53" s="11"/>
      <c r="E53" s="11" t="s">
        <v>126</v>
      </c>
      <c r="F53" s="57" t="n">
        <v>67.2</v>
      </c>
      <c r="G53" s="58" t="n">
        <v>0</v>
      </c>
      <c r="H53" s="57">
        <f>ROUND(F53*AO53,2)</f>
      </c>
      <c r="I53" s="57">
        <f>ROUND(F53*AP53,2)</f>
      </c>
      <c r="J53" s="57">
        <f>ROUND(F53*G53,2)</f>
      </c>
      <c r="K53" s="59" t="s">
        <v>62</v>
      </c>
      <c r="Z53" s="57">
        <f>ROUND(IF(AQ53="5",BJ53,0),2)</f>
      </c>
      <c r="AB53" s="57">
        <f>ROUND(IF(AQ53="1",BH53,0),2)</f>
      </c>
      <c r="AC53" s="57">
        <f>ROUND(IF(AQ53="1",BI53,0),2)</f>
      </c>
      <c r="AD53" s="57">
        <f>ROUND(IF(AQ53="7",BH53,0),2)</f>
      </c>
      <c r="AE53" s="57">
        <f>ROUND(IF(AQ53="7",BI53,0),2)</f>
      </c>
      <c r="AF53" s="57">
        <f>ROUND(IF(AQ53="2",BH53,0),2)</f>
      </c>
      <c r="AG53" s="57">
        <f>ROUND(IF(AQ53="2",BI53,0),2)</f>
      </c>
      <c r="AH53" s="57">
        <f>ROUND(IF(AQ53="0",BJ53,0),2)</f>
      </c>
      <c r="AI53" s="33" t="s">
        <v>57</v>
      </c>
      <c r="AJ53" s="57">
        <f>IF(AN53=0,J53,0)</f>
      </c>
      <c r="AK53" s="57">
        <f>IF(AN53=12,J53,0)</f>
      </c>
      <c r="AL53" s="57">
        <f>IF(AN53=21,J53,0)</f>
      </c>
      <c r="AN53" s="57" t="n">
        <v>12</v>
      </c>
      <c r="AO53" s="57">
        <f>G53*0.617854568</f>
      </c>
      <c r="AP53" s="57">
        <f>G53*(1-0.617854568)</f>
      </c>
      <c r="AQ53" s="60" t="s">
        <v>58</v>
      </c>
      <c r="AV53" s="57">
        <f>ROUND(AW53+AX53,2)</f>
      </c>
      <c r="AW53" s="57">
        <f>ROUND(F53*AO53,2)</f>
      </c>
      <c r="AX53" s="57">
        <f>ROUND(F53*AP53,2)</f>
      </c>
      <c r="AY53" s="60" t="s">
        <v>166</v>
      </c>
      <c r="AZ53" s="60" t="s">
        <v>167</v>
      </c>
      <c r="BA53" s="33" t="s">
        <v>65</v>
      </c>
      <c r="BB53" s="61" t="n">
        <v>100088</v>
      </c>
      <c r="BC53" s="57">
        <f>AW53+AX53</f>
      </c>
      <c r="BD53" s="57">
        <f>G53/(100-BE53)*100</f>
      </c>
      <c r="BE53" s="57" t="n">
        <v>0</v>
      </c>
      <c r="BF53" s="57">
        <f>53</f>
      </c>
      <c r="BH53" s="57">
        <f>F53*AO53</f>
      </c>
      <c r="BI53" s="57">
        <f>F53*AP53</f>
      </c>
      <c r="BJ53" s="57">
        <f>F53*G53</f>
      </c>
      <c r="BK53" s="60" t="s">
        <v>66</v>
      </c>
      <c r="BL53" s="57" t="n">
        <v>62</v>
      </c>
      <c r="BW53" s="57" t="n">
        <v>12</v>
      </c>
      <c r="BX53" s="16" t="s">
        <v>181</v>
      </c>
    </row>
    <row r="54">
      <c r="A54" s="10" t="s">
        <v>182</v>
      </c>
      <c r="B54" s="11" t="s">
        <v>183</v>
      </c>
      <c r="C54" s="16" t="s">
        <v>184</v>
      </c>
      <c r="D54" s="11"/>
      <c r="E54" s="11" t="s">
        <v>126</v>
      </c>
      <c r="F54" s="57" t="n">
        <v>10.8</v>
      </c>
      <c r="G54" s="58" t="n">
        <v>0</v>
      </c>
      <c r="H54" s="57">
        <f>ROUND(F54*AO54,2)</f>
      </c>
      <c r="I54" s="57">
        <f>ROUND(F54*AP54,2)</f>
      </c>
      <c r="J54" s="57">
        <f>ROUND(F54*G54,2)</f>
      </c>
      <c r="K54" s="59" t="s">
        <v>62</v>
      </c>
      <c r="Z54" s="57">
        <f>ROUND(IF(AQ54="5",BJ54,0),2)</f>
      </c>
      <c r="AB54" s="57">
        <f>ROUND(IF(AQ54="1",BH54,0),2)</f>
      </c>
      <c r="AC54" s="57">
        <f>ROUND(IF(AQ54="1",BI54,0),2)</f>
      </c>
      <c r="AD54" s="57">
        <f>ROUND(IF(AQ54="7",BH54,0),2)</f>
      </c>
      <c r="AE54" s="57">
        <f>ROUND(IF(AQ54="7",BI54,0),2)</f>
      </c>
      <c r="AF54" s="57">
        <f>ROUND(IF(AQ54="2",BH54,0),2)</f>
      </c>
      <c r="AG54" s="57">
        <f>ROUND(IF(AQ54="2",BI54,0),2)</f>
      </c>
      <c r="AH54" s="57">
        <f>ROUND(IF(AQ54="0",BJ54,0),2)</f>
      </c>
      <c r="AI54" s="33" t="s">
        <v>57</v>
      </c>
      <c r="AJ54" s="57">
        <f>IF(AN54=0,J54,0)</f>
      </c>
      <c r="AK54" s="57">
        <f>IF(AN54=12,J54,0)</f>
      </c>
      <c r="AL54" s="57">
        <f>IF(AN54=21,J54,0)</f>
      </c>
      <c r="AN54" s="57" t="n">
        <v>12</v>
      </c>
      <c r="AO54" s="57">
        <f>G54*0.617855312</f>
      </c>
      <c r="AP54" s="57">
        <f>G54*(1-0.617855312)</f>
      </c>
      <c r="AQ54" s="60" t="s">
        <v>58</v>
      </c>
      <c r="AV54" s="57">
        <f>ROUND(AW54+AX54,2)</f>
      </c>
      <c r="AW54" s="57">
        <f>ROUND(F54*AO54,2)</f>
      </c>
      <c r="AX54" s="57">
        <f>ROUND(F54*AP54,2)</f>
      </c>
      <c r="AY54" s="60" t="s">
        <v>166</v>
      </c>
      <c r="AZ54" s="60" t="s">
        <v>167</v>
      </c>
      <c r="BA54" s="33" t="s">
        <v>65</v>
      </c>
      <c r="BB54" s="61" t="n">
        <v>100088</v>
      </c>
      <c r="BC54" s="57">
        <f>AW54+AX54</f>
      </c>
      <c r="BD54" s="57">
        <f>G54/(100-BE54)*100</f>
      </c>
      <c r="BE54" s="57" t="n">
        <v>0</v>
      </c>
      <c r="BF54" s="57">
        <f>54</f>
      </c>
      <c r="BH54" s="57">
        <f>F54*AO54</f>
      </c>
      <c r="BI54" s="57">
        <f>F54*AP54</f>
      </c>
      <c r="BJ54" s="57">
        <f>F54*G54</f>
      </c>
      <c r="BK54" s="60" t="s">
        <v>66</v>
      </c>
      <c r="BL54" s="57" t="n">
        <v>62</v>
      </c>
      <c r="BW54" s="57" t="n">
        <v>12</v>
      </c>
      <c r="BX54" s="16" t="s">
        <v>184</v>
      </c>
    </row>
    <row r="55">
      <c r="A55" s="10" t="s">
        <v>185</v>
      </c>
      <c r="B55" s="11" t="s">
        <v>186</v>
      </c>
      <c r="C55" s="16" t="s">
        <v>187</v>
      </c>
      <c r="D55" s="11"/>
      <c r="E55" s="11" t="s">
        <v>61</v>
      </c>
      <c r="F55" s="57" t="n">
        <v>2257.48117</v>
      </c>
      <c r="G55" s="58" t="n">
        <v>0</v>
      </c>
      <c r="H55" s="57">
        <f>ROUND(F55*AO55,2)</f>
      </c>
      <c r="I55" s="57">
        <f>ROUND(F55*AP55,2)</f>
      </c>
      <c r="J55" s="57">
        <f>ROUND(F55*G55,2)</f>
      </c>
      <c r="K55" s="59" t="s">
        <v>62</v>
      </c>
      <c r="Z55" s="57">
        <f>ROUND(IF(AQ55="5",BJ55,0),2)</f>
      </c>
      <c r="AB55" s="57">
        <f>ROUND(IF(AQ55="1",BH55,0),2)</f>
      </c>
      <c r="AC55" s="57">
        <f>ROUND(IF(AQ55="1",BI55,0),2)</f>
      </c>
      <c r="AD55" s="57">
        <f>ROUND(IF(AQ55="7",BH55,0),2)</f>
      </c>
      <c r="AE55" s="57">
        <f>ROUND(IF(AQ55="7",BI55,0),2)</f>
      </c>
      <c r="AF55" s="57">
        <f>ROUND(IF(AQ55="2",BH55,0),2)</f>
      </c>
      <c r="AG55" s="57">
        <f>ROUND(IF(AQ55="2",BI55,0),2)</f>
      </c>
      <c r="AH55" s="57">
        <f>ROUND(IF(AQ55="0",BJ55,0),2)</f>
      </c>
      <c r="AI55" s="33" t="s">
        <v>57</v>
      </c>
      <c r="AJ55" s="57">
        <f>IF(AN55=0,J55,0)</f>
      </c>
      <c r="AK55" s="57">
        <f>IF(AN55=12,J55,0)</f>
      </c>
      <c r="AL55" s="57">
        <f>IF(AN55=21,J55,0)</f>
      </c>
      <c r="AN55" s="57" t="n">
        <v>12</v>
      </c>
      <c r="AO55" s="57">
        <f>G55*0.458912387</f>
      </c>
      <c r="AP55" s="57">
        <f>G55*(1-0.458912387)</f>
      </c>
      <c r="AQ55" s="60" t="s">
        <v>58</v>
      </c>
      <c r="AV55" s="57">
        <f>ROUND(AW55+AX55,2)</f>
      </c>
      <c r="AW55" s="57">
        <f>ROUND(F55*AO55,2)</f>
      </c>
      <c r="AX55" s="57">
        <f>ROUND(F55*AP55,2)</f>
      </c>
      <c r="AY55" s="60" t="s">
        <v>166</v>
      </c>
      <c r="AZ55" s="60" t="s">
        <v>167</v>
      </c>
      <c r="BA55" s="33" t="s">
        <v>65</v>
      </c>
      <c r="BB55" s="61" t="n">
        <v>100088</v>
      </c>
      <c r="BC55" s="57">
        <f>AW55+AX55</f>
      </c>
      <c r="BD55" s="57">
        <f>G55/(100-BE55)*100</f>
      </c>
      <c r="BE55" s="57" t="n">
        <v>0</v>
      </c>
      <c r="BF55" s="57">
        <f>55</f>
      </c>
      <c r="BH55" s="57">
        <f>F55*AO55</f>
      </c>
      <c r="BI55" s="57">
        <f>F55*AP55</f>
      </c>
      <c r="BJ55" s="57">
        <f>F55*G55</f>
      </c>
      <c r="BK55" s="60" t="s">
        <v>66</v>
      </c>
      <c r="BL55" s="57" t="n">
        <v>62</v>
      </c>
      <c r="BW55" s="57" t="n">
        <v>12</v>
      </c>
      <c r="BX55" s="16" t="s">
        <v>187</v>
      </c>
    </row>
    <row r="56" customHeight="true" ht="13.5">
      <c r="A56" s="62"/>
      <c r="B56" s="63" t="s">
        <v>106</v>
      </c>
      <c r="C56" s="64" t="s">
        <v>188</v>
      </c>
      <c r="D56" s="65"/>
      <c r="E56" s="65"/>
      <c r="F56" s="65"/>
      <c r="G56" s="66"/>
      <c r="H56" s="65"/>
      <c r="I56" s="65"/>
      <c r="J56" s="65"/>
      <c r="K56" s="67"/>
    </row>
    <row r="57" ht="24.75">
      <c r="A57" s="10" t="s">
        <v>189</v>
      </c>
      <c r="B57" s="11" t="s">
        <v>138</v>
      </c>
      <c r="C57" s="16" t="s">
        <v>190</v>
      </c>
      <c r="D57" s="11"/>
      <c r="E57" s="11" t="s">
        <v>61</v>
      </c>
      <c r="F57" s="57" t="n">
        <v>342.48642</v>
      </c>
      <c r="G57" s="58" t="n">
        <v>0</v>
      </c>
      <c r="H57" s="57">
        <f>ROUND(F57*AO57,2)</f>
      </c>
      <c r="I57" s="57">
        <f>ROUND(F57*AP57,2)</f>
      </c>
      <c r="J57" s="57">
        <f>ROUND(F57*G57,2)</f>
      </c>
      <c r="K57" s="59" t="s">
        <v>140</v>
      </c>
      <c r="Z57" s="57">
        <f>ROUND(IF(AQ57="5",BJ57,0),2)</f>
      </c>
      <c r="AB57" s="57">
        <f>ROUND(IF(AQ57="1",BH57,0),2)</f>
      </c>
      <c r="AC57" s="57">
        <f>ROUND(IF(AQ57="1",BI57,0),2)</f>
      </c>
      <c r="AD57" s="57">
        <f>ROUND(IF(AQ57="7",BH57,0),2)</f>
      </c>
      <c r="AE57" s="57">
        <f>ROUND(IF(AQ57="7",BI57,0),2)</f>
      </c>
      <c r="AF57" s="57">
        <f>ROUND(IF(AQ57="2",BH57,0),2)</f>
      </c>
      <c r="AG57" s="57">
        <f>ROUND(IF(AQ57="2",BI57,0),2)</f>
      </c>
      <c r="AH57" s="57">
        <f>ROUND(IF(AQ57="0",BJ57,0),2)</f>
      </c>
      <c r="AI57" s="33" t="s">
        <v>57</v>
      </c>
      <c r="AJ57" s="57">
        <f>IF(AN57=0,J57,0)</f>
      </c>
      <c r="AK57" s="57">
        <f>IF(AN57=12,J57,0)</f>
      </c>
      <c r="AL57" s="57">
        <f>IF(AN57=21,J57,0)</f>
      </c>
      <c r="AN57" s="57" t="n">
        <v>12</v>
      </c>
      <c r="AO57" s="57">
        <f>G57*1</f>
      </c>
      <c r="AP57" s="57">
        <f>G57*(1-1)</f>
      </c>
      <c r="AQ57" s="60" t="s">
        <v>58</v>
      </c>
      <c r="AV57" s="57">
        <f>ROUND(AW57+AX57,2)</f>
      </c>
      <c r="AW57" s="57">
        <f>ROUND(F57*AO57,2)</f>
      </c>
      <c r="AX57" s="57">
        <f>ROUND(F57*AP57,2)</f>
      </c>
      <c r="AY57" s="60" t="s">
        <v>166</v>
      </c>
      <c r="AZ57" s="60" t="s">
        <v>167</v>
      </c>
      <c r="BA57" s="33" t="s">
        <v>65</v>
      </c>
      <c r="BB57" s="61" t="n">
        <v>100088</v>
      </c>
      <c r="BC57" s="57">
        <f>AW57+AX57</f>
      </c>
      <c r="BD57" s="57">
        <f>G57/(100-BE57)*100</f>
      </c>
      <c r="BE57" s="57" t="n">
        <v>0</v>
      </c>
      <c r="BF57" s="57">
        <f>57</f>
      </c>
      <c r="BH57" s="57">
        <f>F57*AO57</f>
      </c>
      <c r="BI57" s="57">
        <f>F57*AP57</f>
      </c>
      <c r="BJ57" s="57">
        <f>F57*G57</f>
      </c>
      <c r="BK57" s="60" t="s">
        <v>66</v>
      </c>
      <c r="BL57" s="57" t="n">
        <v>62</v>
      </c>
      <c r="BW57" s="57" t="n">
        <v>12</v>
      </c>
      <c r="BX57" s="16" t="s">
        <v>190</v>
      </c>
    </row>
    <row r="58" customHeight="true" ht="13.5">
      <c r="A58" s="62"/>
      <c r="B58" s="63" t="s">
        <v>106</v>
      </c>
      <c r="C58" s="64" t="s">
        <v>191</v>
      </c>
      <c r="D58" s="65"/>
      <c r="E58" s="65"/>
      <c r="F58" s="65"/>
      <c r="G58" s="66"/>
      <c r="H58" s="65"/>
      <c r="I58" s="65"/>
      <c r="J58" s="65"/>
      <c r="K58" s="67"/>
    </row>
    <row r="59" ht="24.75">
      <c r="A59" s="10" t="s">
        <v>192</v>
      </c>
      <c r="B59" s="11" t="s">
        <v>138</v>
      </c>
      <c r="C59" s="16" t="s">
        <v>139</v>
      </c>
      <c r="D59" s="11"/>
      <c r="E59" s="11" t="s">
        <v>61</v>
      </c>
      <c r="F59" s="57" t="n">
        <v>1914.99475</v>
      </c>
      <c r="G59" s="58" t="n">
        <v>0</v>
      </c>
      <c r="H59" s="57">
        <f>ROUND(F59*AO59,2)</f>
      </c>
      <c r="I59" s="57">
        <f>ROUND(F59*AP59,2)</f>
      </c>
      <c r="J59" s="57">
        <f>ROUND(F59*G59,2)</f>
      </c>
      <c r="K59" s="59" t="s">
        <v>140</v>
      </c>
      <c r="Z59" s="57">
        <f>ROUND(IF(AQ59="5",BJ59,0),2)</f>
      </c>
      <c r="AB59" s="57">
        <f>ROUND(IF(AQ59="1",BH59,0),2)</f>
      </c>
      <c r="AC59" s="57">
        <f>ROUND(IF(AQ59="1",BI59,0),2)</f>
      </c>
      <c r="AD59" s="57">
        <f>ROUND(IF(AQ59="7",BH59,0),2)</f>
      </c>
      <c r="AE59" s="57">
        <f>ROUND(IF(AQ59="7",BI59,0),2)</f>
      </c>
      <c r="AF59" s="57">
        <f>ROUND(IF(AQ59="2",BH59,0),2)</f>
      </c>
      <c r="AG59" s="57">
        <f>ROUND(IF(AQ59="2",BI59,0),2)</f>
      </c>
      <c r="AH59" s="57">
        <f>ROUND(IF(AQ59="0",BJ59,0),2)</f>
      </c>
      <c r="AI59" s="33" t="s">
        <v>57</v>
      </c>
      <c r="AJ59" s="57">
        <f>IF(AN59=0,J59,0)</f>
      </c>
      <c r="AK59" s="57">
        <f>IF(AN59=12,J59,0)</f>
      </c>
      <c r="AL59" s="57">
        <f>IF(AN59=21,J59,0)</f>
      </c>
      <c r="AN59" s="57" t="n">
        <v>12</v>
      </c>
      <c r="AO59" s="57">
        <f>G59*1</f>
      </c>
      <c r="AP59" s="57">
        <f>G59*(1-1)</f>
      </c>
      <c r="AQ59" s="60" t="s">
        <v>58</v>
      </c>
      <c r="AV59" s="57">
        <f>ROUND(AW59+AX59,2)</f>
      </c>
      <c r="AW59" s="57">
        <f>ROUND(F59*AO59,2)</f>
      </c>
      <c r="AX59" s="57">
        <f>ROUND(F59*AP59,2)</f>
      </c>
      <c r="AY59" s="60" t="s">
        <v>166</v>
      </c>
      <c r="AZ59" s="60" t="s">
        <v>167</v>
      </c>
      <c r="BA59" s="33" t="s">
        <v>65</v>
      </c>
      <c r="BB59" s="61" t="n">
        <v>100088</v>
      </c>
      <c r="BC59" s="57">
        <f>AW59+AX59</f>
      </c>
      <c r="BD59" s="57">
        <f>G59/(100-BE59)*100</f>
      </c>
      <c r="BE59" s="57" t="n">
        <v>0</v>
      </c>
      <c r="BF59" s="57">
        <f>59</f>
      </c>
      <c r="BH59" s="57">
        <f>F59*AO59</f>
      </c>
      <c r="BI59" s="57">
        <f>F59*AP59</f>
      </c>
      <c r="BJ59" s="57">
        <f>F59*G59</f>
      </c>
      <c r="BK59" s="60" t="s">
        <v>66</v>
      </c>
      <c r="BL59" s="57" t="n">
        <v>62</v>
      </c>
      <c r="BW59" s="57" t="n">
        <v>12</v>
      </c>
      <c r="BX59" s="16" t="s">
        <v>139</v>
      </c>
    </row>
    <row r="60" customHeight="true" ht="13.5">
      <c r="A60" s="62"/>
      <c r="B60" s="63" t="s">
        <v>106</v>
      </c>
      <c r="C60" s="64" t="s">
        <v>141</v>
      </c>
      <c r="D60" s="65"/>
      <c r="E60" s="65"/>
      <c r="F60" s="65"/>
      <c r="G60" s="66"/>
      <c r="H60" s="65"/>
      <c r="I60" s="65"/>
      <c r="J60" s="65"/>
      <c r="K60" s="67"/>
    </row>
    <row r="61">
      <c r="A61" s="10" t="s">
        <v>193</v>
      </c>
      <c r="B61" s="11" t="s">
        <v>194</v>
      </c>
      <c r="C61" s="16" t="s">
        <v>195</v>
      </c>
      <c r="D61" s="11"/>
      <c r="E61" s="11" t="s">
        <v>61</v>
      </c>
      <c r="F61" s="57" t="n">
        <v>368.55</v>
      </c>
      <c r="G61" s="58" t="n">
        <v>0</v>
      </c>
      <c r="H61" s="57">
        <f>ROUND(F61*AO61,2)</f>
      </c>
      <c r="I61" s="57">
        <f>ROUND(F61*AP61,2)</f>
      </c>
      <c r="J61" s="57">
        <f>ROUND(F61*G61,2)</f>
      </c>
      <c r="K61" s="59" t="s">
        <v>62</v>
      </c>
      <c r="Z61" s="57">
        <f>ROUND(IF(AQ61="5",BJ61,0),2)</f>
      </c>
      <c r="AB61" s="57">
        <f>ROUND(IF(AQ61="1",BH61,0),2)</f>
      </c>
      <c r="AC61" s="57">
        <f>ROUND(IF(AQ61="1",BI61,0),2)</f>
      </c>
      <c r="AD61" s="57">
        <f>ROUND(IF(AQ61="7",BH61,0),2)</f>
      </c>
      <c r="AE61" s="57">
        <f>ROUND(IF(AQ61="7",BI61,0),2)</f>
      </c>
      <c r="AF61" s="57">
        <f>ROUND(IF(AQ61="2",BH61,0),2)</f>
      </c>
      <c r="AG61" s="57">
        <f>ROUND(IF(AQ61="2",BI61,0),2)</f>
      </c>
      <c r="AH61" s="57">
        <f>ROUND(IF(AQ61="0",BJ61,0),2)</f>
      </c>
      <c r="AI61" s="33" t="s">
        <v>57</v>
      </c>
      <c r="AJ61" s="57">
        <f>IF(AN61=0,J61,0)</f>
      </c>
      <c r="AK61" s="57">
        <f>IF(AN61=12,J61,0)</f>
      </c>
      <c r="AL61" s="57">
        <f>IF(AN61=21,J61,0)</f>
      </c>
      <c r="AN61" s="57" t="n">
        <v>12</v>
      </c>
      <c r="AO61" s="57">
        <f>G61*0.279295775</f>
      </c>
      <c r="AP61" s="57">
        <f>G61*(1-0.279295775)</f>
      </c>
      <c r="AQ61" s="60" t="s">
        <v>58</v>
      </c>
      <c r="AV61" s="57">
        <f>ROUND(AW61+AX61,2)</f>
      </c>
      <c r="AW61" s="57">
        <f>ROUND(F61*AO61,2)</f>
      </c>
      <c r="AX61" s="57">
        <f>ROUND(F61*AP61,2)</f>
      </c>
      <c r="AY61" s="60" t="s">
        <v>166</v>
      </c>
      <c r="AZ61" s="60" t="s">
        <v>167</v>
      </c>
      <c r="BA61" s="33" t="s">
        <v>65</v>
      </c>
      <c r="BB61" s="61" t="n">
        <v>100088</v>
      </c>
      <c r="BC61" s="57">
        <f>AW61+AX61</f>
      </c>
      <c r="BD61" s="57">
        <f>G61/(100-BE61)*100</f>
      </c>
      <c r="BE61" s="57" t="n">
        <v>0</v>
      </c>
      <c r="BF61" s="57">
        <f>61</f>
      </c>
      <c r="BH61" s="57">
        <f>F61*AO61</f>
      </c>
      <c r="BI61" s="57">
        <f>F61*AP61</f>
      </c>
      <c r="BJ61" s="57">
        <f>F61*G61</f>
      </c>
      <c r="BK61" s="60" t="s">
        <v>66</v>
      </c>
      <c r="BL61" s="57" t="n">
        <v>62</v>
      </c>
      <c r="BW61" s="57" t="n">
        <v>12</v>
      </c>
      <c r="BX61" s="16" t="s">
        <v>195</v>
      </c>
    </row>
    <row r="62" customHeight="true" ht="13.5">
      <c r="A62" s="62"/>
      <c r="B62" s="63" t="s">
        <v>106</v>
      </c>
      <c r="C62" s="64" t="s">
        <v>188</v>
      </c>
      <c r="D62" s="65"/>
      <c r="E62" s="65"/>
      <c r="F62" s="65"/>
      <c r="G62" s="66"/>
      <c r="H62" s="65"/>
      <c r="I62" s="65"/>
      <c r="J62" s="65"/>
      <c r="K62" s="67"/>
    </row>
    <row r="63" ht="24.75">
      <c r="A63" s="10" t="s">
        <v>196</v>
      </c>
      <c r="B63" s="11" t="s">
        <v>138</v>
      </c>
      <c r="C63" s="16" t="s">
        <v>190</v>
      </c>
      <c r="D63" s="11"/>
      <c r="E63" s="11" t="s">
        <v>61</v>
      </c>
      <c r="F63" s="57" t="n">
        <v>8.451</v>
      </c>
      <c r="G63" s="58" t="n">
        <v>0</v>
      </c>
      <c r="H63" s="57">
        <f>ROUND(F63*AO63,2)</f>
      </c>
      <c r="I63" s="57">
        <f>ROUND(F63*AP63,2)</f>
      </c>
      <c r="J63" s="57">
        <f>ROUND(F63*G63,2)</f>
      </c>
      <c r="K63" s="59" t="s">
        <v>140</v>
      </c>
      <c r="Z63" s="57">
        <f>ROUND(IF(AQ63="5",BJ63,0),2)</f>
      </c>
      <c r="AB63" s="57">
        <f>ROUND(IF(AQ63="1",BH63,0),2)</f>
      </c>
      <c r="AC63" s="57">
        <f>ROUND(IF(AQ63="1",BI63,0),2)</f>
      </c>
      <c r="AD63" s="57">
        <f>ROUND(IF(AQ63="7",BH63,0),2)</f>
      </c>
      <c r="AE63" s="57">
        <f>ROUND(IF(AQ63="7",BI63,0),2)</f>
      </c>
      <c r="AF63" s="57">
        <f>ROUND(IF(AQ63="2",BH63,0),2)</f>
      </c>
      <c r="AG63" s="57">
        <f>ROUND(IF(AQ63="2",BI63,0),2)</f>
      </c>
      <c r="AH63" s="57">
        <f>ROUND(IF(AQ63="0",BJ63,0),2)</f>
      </c>
      <c r="AI63" s="33" t="s">
        <v>57</v>
      </c>
      <c r="AJ63" s="57">
        <f>IF(AN63=0,J63,0)</f>
      </c>
      <c r="AK63" s="57">
        <f>IF(AN63=12,J63,0)</f>
      </c>
      <c r="AL63" s="57">
        <f>IF(AN63=21,J63,0)</f>
      </c>
      <c r="AN63" s="57" t="n">
        <v>12</v>
      </c>
      <c r="AO63" s="57">
        <f>G63*1</f>
      </c>
      <c r="AP63" s="57">
        <f>G63*(1-1)</f>
      </c>
      <c r="AQ63" s="60" t="s">
        <v>58</v>
      </c>
      <c r="AV63" s="57">
        <f>ROUND(AW63+AX63,2)</f>
      </c>
      <c r="AW63" s="57">
        <f>ROUND(F63*AO63,2)</f>
      </c>
      <c r="AX63" s="57">
        <f>ROUND(F63*AP63,2)</f>
      </c>
      <c r="AY63" s="60" t="s">
        <v>166</v>
      </c>
      <c r="AZ63" s="60" t="s">
        <v>167</v>
      </c>
      <c r="BA63" s="33" t="s">
        <v>65</v>
      </c>
      <c r="BB63" s="61" t="n">
        <v>100088</v>
      </c>
      <c r="BC63" s="57">
        <f>AW63+AX63</f>
      </c>
      <c r="BD63" s="57">
        <f>G63/(100-BE63)*100</f>
      </c>
      <c r="BE63" s="57" t="n">
        <v>0</v>
      </c>
      <c r="BF63" s="57">
        <f>63</f>
      </c>
      <c r="BH63" s="57">
        <f>F63*AO63</f>
      </c>
      <c r="BI63" s="57">
        <f>F63*AP63</f>
      </c>
      <c r="BJ63" s="57">
        <f>F63*G63</f>
      </c>
      <c r="BK63" s="60" t="s">
        <v>66</v>
      </c>
      <c r="BL63" s="57" t="n">
        <v>62</v>
      </c>
      <c r="BW63" s="57" t="n">
        <v>12</v>
      </c>
      <c r="BX63" s="16" t="s">
        <v>190</v>
      </c>
    </row>
    <row r="64" customHeight="true" ht="13.5">
      <c r="A64" s="62"/>
      <c r="B64" s="63" t="s">
        <v>106</v>
      </c>
      <c r="C64" s="64" t="s">
        <v>191</v>
      </c>
      <c r="D64" s="65"/>
      <c r="E64" s="65"/>
      <c r="F64" s="65"/>
      <c r="G64" s="66"/>
      <c r="H64" s="65"/>
      <c r="I64" s="65"/>
      <c r="J64" s="65"/>
      <c r="K64" s="67"/>
    </row>
    <row r="65" ht="24.75">
      <c r="A65" s="10" t="s">
        <v>197</v>
      </c>
      <c r="B65" s="11" t="s">
        <v>138</v>
      </c>
      <c r="C65" s="16" t="s">
        <v>139</v>
      </c>
      <c r="D65" s="11"/>
      <c r="E65" s="11" t="s">
        <v>61</v>
      </c>
      <c r="F65" s="57" t="n">
        <v>360.099</v>
      </c>
      <c r="G65" s="58" t="n">
        <v>0</v>
      </c>
      <c r="H65" s="57">
        <f>ROUND(F65*AO65,2)</f>
      </c>
      <c r="I65" s="57">
        <f>ROUND(F65*AP65,2)</f>
      </c>
      <c r="J65" s="57">
        <f>ROUND(F65*G65,2)</f>
      </c>
      <c r="K65" s="59" t="s">
        <v>140</v>
      </c>
      <c r="Z65" s="57">
        <f>ROUND(IF(AQ65="5",BJ65,0),2)</f>
      </c>
      <c r="AB65" s="57">
        <f>ROUND(IF(AQ65="1",BH65,0),2)</f>
      </c>
      <c r="AC65" s="57">
        <f>ROUND(IF(AQ65="1",BI65,0),2)</f>
      </c>
      <c r="AD65" s="57">
        <f>ROUND(IF(AQ65="7",BH65,0),2)</f>
      </c>
      <c r="AE65" s="57">
        <f>ROUND(IF(AQ65="7",BI65,0),2)</f>
      </c>
      <c r="AF65" s="57">
        <f>ROUND(IF(AQ65="2",BH65,0),2)</f>
      </c>
      <c r="AG65" s="57">
        <f>ROUND(IF(AQ65="2",BI65,0),2)</f>
      </c>
      <c r="AH65" s="57">
        <f>ROUND(IF(AQ65="0",BJ65,0),2)</f>
      </c>
      <c r="AI65" s="33" t="s">
        <v>57</v>
      </c>
      <c r="AJ65" s="57">
        <f>IF(AN65=0,J65,0)</f>
      </c>
      <c r="AK65" s="57">
        <f>IF(AN65=12,J65,0)</f>
      </c>
      <c r="AL65" s="57">
        <f>IF(AN65=21,J65,0)</f>
      </c>
      <c r="AN65" s="57" t="n">
        <v>12</v>
      </c>
      <c r="AO65" s="57">
        <f>G65*1</f>
      </c>
      <c r="AP65" s="57">
        <f>G65*(1-1)</f>
      </c>
      <c r="AQ65" s="60" t="s">
        <v>58</v>
      </c>
      <c r="AV65" s="57">
        <f>ROUND(AW65+AX65,2)</f>
      </c>
      <c r="AW65" s="57">
        <f>ROUND(F65*AO65,2)</f>
      </c>
      <c r="AX65" s="57">
        <f>ROUND(F65*AP65,2)</f>
      </c>
      <c r="AY65" s="60" t="s">
        <v>166</v>
      </c>
      <c r="AZ65" s="60" t="s">
        <v>167</v>
      </c>
      <c r="BA65" s="33" t="s">
        <v>65</v>
      </c>
      <c r="BB65" s="61" t="n">
        <v>100088</v>
      </c>
      <c r="BC65" s="57">
        <f>AW65+AX65</f>
      </c>
      <c r="BD65" s="57">
        <f>G65/(100-BE65)*100</f>
      </c>
      <c r="BE65" s="57" t="n">
        <v>0</v>
      </c>
      <c r="BF65" s="57">
        <f>65</f>
      </c>
      <c r="BH65" s="57">
        <f>F65*AO65</f>
      </c>
      <c r="BI65" s="57">
        <f>F65*AP65</f>
      </c>
      <c r="BJ65" s="57">
        <f>F65*G65</f>
      </c>
      <c r="BK65" s="60" t="s">
        <v>66</v>
      </c>
      <c r="BL65" s="57" t="n">
        <v>62</v>
      </c>
      <c r="BW65" s="57" t="n">
        <v>12</v>
      </c>
      <c r="BX65" s="16" t="s">
        <v>139</v>
      </c>
    </row>
    <row r="66" customHeight="true" ht="13.5">
      <c r="A66" s="62"/>
      <c r="B66" s="63" t="s">
        <v>106</v>
      </c>
      <c r="C66" s="64" t="s">
        <v>141</v>
      </c>
      <c r="D66" s="65"/>
      <c r="E66" s="65"/>
      <c r="F66" s="65"/>
      <c r="G66" s="66"/>
      <c r="H66" s="65"/>
      <c r="I66" s="65"/>
      <c r="J66" s="65"/>
      <c r="K66" s="67"/>
    </row>
    <row r="67">
      <c r="A67" s="10" t="s">
        <v>198</v>
      </c>
      <c r="B67" s="11" t="s">
        <v>199</v>
      </c>
      <c r="C67" s="16" t="s">
        <v>200</v>
      </c>
      <c r="D67" s="11"/>
      <c r="E67" s="11" t="s">
        <v>61</v>
      </c>
      <c r="F67" s="57" t="n">
        <v>95.22225</v>
      </c>
      <c r="G67" s="58" t="n">
        <v>0</v>
      </c>
      <c r="H67" s="57">
        <f>ROUND(F67*AO67,2)</f>
      </c>
      <c r="I67" s="57">
        <f>ROUND(F67*AP67,2)</f>
      </c>
      <c r="J67" s="57">
        <f>ROUND(F67*G67,2)</f>
      </c>
      <c r="K67" s="59" t="s">
        <v>62</v>
      </c>
      <c r="Z67" s="57">
        <f>ROUND(IF(AQ67="5",BJ67,0),2)</f>
      </c>
      <c r="AB67" s="57">
        <f>ROUND(IF(AQ67="1",BH67,0),2)</f>
      </c>
      <c r="AC67" s="57">
        <f>ROUND(IF(AQ67="1",BI67,0),2)</f>
      </c>
      <c r="AD67" s="57">
        <f>ROUND(IF(AQ67="7",BH67,0),2)</f>
      </c>
      <c r="AE67" s="57">
        <f>ROUND(IF(AQ67="7",BI67,0),2)</f>
      </c>
      <c r="AF67" s="57">
        <f>ROUND(IF(AQ67="2",BH67,0),2)</f>
      </c>
      <c r="AG67" s="57">
        <f>ROUND(IF(AQ67="2",BI67,0),2)</f>
      </c>
      <c r="AH67" s="57">
        <f>ROUND(IF(AQ67="0",BJ67,0),2)</f>
      </c>
      <c r="AI67" s="33" t="s">
        <v>57</v>
      </c>
      <c r="AJ67" s="57">
        <f>IF(AN67=0,J67,0)</f>
      </c>
      <c r="AK67" s="57">
        <f>IF(AN67=12,J67,0)</f>
      </c>
      <c r="AL67" s="57">
        <f>IF(AN67=21,J67,0)</f>
      </c>
      <c r="AN67" s="57" t="n">
        <v>12</v>
      </c>
      <c r="AO67" s="57">
        <f>G67*0.640361463</f>
      </c>
      <c r="AP67" s="57">
        <f>G67*(1-0.640361463)</f>
      </c>
      <c r="AQ67" s="60" t="s">
        <v>58</v>
      </c>
      <c r="AV67" s="57">
        <f>ROUND(AW67+AX67,2)</f>
      </c>
      <c r="AW67" s="57">
        <f>ROUND(F67*AO67,2)</f>
      </c>
      <c r="AX67" s="57">
        <f>ROUND(F67*AP67,2)</f>
      </c>
      <c r="AY67" s="60" t="s">
        <v>166</v>
      </c>
      <c r="AZ67" s="60" t="s">
        <v>167</v>
      </c>
      <c r="BA67" s="33" t="s">
        <v>65</v>
      </c>
      <c r="BB67" s="61" t="n">
        <v>100088</v>
      </c>
      <c r="BC67" s="57">
        <f>AW67+AX67</f>
      </c>
      <c r="BD67" s="57">
        <f>G67/(100-BE67)*100</f>
      </c>
      <c r="BE67" s="57" t="n">
        <v>0</v>
      </c>
      <c r="BF67" s="57">
        <f>67</f>
      </c>
      <c r="BH67" s="57">
        <f>F67*AO67</f>
      </c>
      <c r="BI67" s="57">
        <f>F67*AP67</f>
      </c>
      <c r="BJ67" s="57">
        <f>F67*G67</f>
      </c>
      <c r="BK67" s="60" t="s">
        <v>66</v>
      </c>
      <c r="BL67" s="57" t="n">
        <v>62</v>
      </c>
      <c r="BW67" s="57" t="n">
        <v>12</v>
      </c>
      <c r="BX67" s="16" t="s">
        <v>200</v>
      </c>
    </row>
    <row r="68" customHeight="true" ht="13.5">
      <c r="A68" s="62"/>
      <c r="B68" s="63" t="s">
        <v>106</v>
      </c>
      <c r="C68" s="64" t="s">
        <v>201</v>
      </c>
      <c r="D68" s="65"/>
      <c r="E68" s="65"/>
      <c r="F68" s="65"/>
      <c r="G68" s="66"/>
      <c r="H68" s="65"/>
      <c r="I68" s="65"/>
      <c r="J68" s="65"/>
      <c r="K68" s="67"/>
    </row>
    <row r="69">
      <c r="A69" s="10" t="s">
        <v>202</v>
      </c>
      <c r="B69" s="11" t="s">
        <v>203</v>
      </c>
      <c r="C69" s="16" t="s">
        <v>200</v>
      </c>
      <c r="D69" s="11"/>
      <c r="E69" s="11" t="s">
        <v>61</v>
      </c>
      <c r="F69" s="57" t="n">
        <v>32.5965</v>
      </c>
      <c r="G69" s="58" t="n">
        <v>0</v>
      </c>
      <c r="H69" s="57">
        <f>ROUND(F69*AO69,2)</f>
      </c>
      <c r="I69" s="57">
        <f>ROUND(F69*AP69,2)</f>
      </c>
      <c r="J69" s="57">
        <f>ROUND(F69*G69,2)</f>
      </c>
      <c r="K69" s="59" t="s">
        <v>62</v>
      </c>
      <c r="Z69" s="57">
        <f>ROUND(IF(AQ69="5",BJ69,0),2)</f>
      </c>
      <c r="AB69" s="57">
        <f>ROUND(IF(AQ69="1",BH69,0),2)</f>
      </c>
      <c r="AC69" s="57">
        <f>ROUND(IF(AQ69="1",BI69,0),2)</f>
      </c>
      <c r="AD69" s="57">
        <f>ROUND(IF(AQ69="7",BH69,0),2)</f>
      </c>
      <c r="AE69" s="57">
        <f>ROUND(IF(AQ69="7",BI69,0),2)</f>
      </c>
      <c r="AF69" s="57">
        <f>ROUND(IF(AQ69="2",BH69,0),2)</f>
      </c>
      <c r="AG69" s="57">
        <f>ROUND(IF(AQ69="2",BI69,0),2)</f>
      </c>
      <c r="AH69" s="57">
        <f>ROUND(IF(AQ69="0",BJ69,0),2)</f>
      </c>
      <c r="AI69" s="33" t="s">
        <v>57</v>
      </c>
      <c r="AJ69" s="57">
        <f>IF(AN69=0,J69,0)</f>
      </c>
      <c r="AK69" s="57">
        <f>IF(AN69=12,J69,0)</f>
      </c>
      <c r="AL69" s="57">
        <f>IF(AN69=21,J69,0)</f>
      </c>
      <c r="AN69" s="57" t="n">
        <v>12</v>
      </c>
      <c r="AO69" s="57">
        <f>G69*0.619955802</f>
      </c>
      <c r="AP69" s="57">
        <f>G69*(1-0.619955802)</f>
      </c>
      <c r="AQ69" s="60" t="s">
        <v>58</v>
      </c>
      <c r="AV69" s="57">
        <f>ROUND(AW69+AX69,2)</f>
      </c>
      <c r="AW69" s="57">
        <f>ROUND(F69*AO69,2)</f>
      </c>
      <c r="AX69" s="57">
        <f>ROUND(F69*AP69,2)</f>
      </c>
      <c r="AY69" s="60" t="s">
        <v>166</v>
      </c>
      <c r="AZ69" s="60" t="s">
        <v>167</v>
      </c>
      <c r="BA69" s="33" t="s">
        <v>65</v>
      </c>
      <c r="BB69" s="61" t="n">
        <v>100088</v>
      </c>
      <c r="BC69" s="57">
        <f>AW69+AX69</f>
      </c>
      <c r="BD69" s="57">
        <f>G69/(100-BE69)*100</f>
      </c>
      <c r="BE69" s="57" t="n">
        <v>0</v>
      </c>
      <c r="BF69" s="57">
        <f>69</f>
      </c>
      <c r="BH69" s="57">
        <f>F69*AO69</f>
      </c>
      <c r="BI69" s="57">
        <f>F69*AP69</f>
      </c>
      <c r="BJ69" s="57">
        <f>F69*G69</f>
      </c>
      <c r="BK69" s="60" t="s">
        <v>66</v>
      </c>
      <c r="BL69" s="57" t="n">
        <v>62</v>
      </c>
      <c r="BW69" s="57" t="n">
        <v>12</v>
      </c>
      <c r="BX69" s="16" t="s">
        <v>200</v>
      </c>
    </row>
    <row r="70" customHeight="true" ht="13.5">
      <c r="A70" s="62"/>
      <c r="B70" s="63" t="s">
        <v>106</v>
      </c>
      <c r="C70" s="64" t="s">
        <v>204</v>
      </c>
      <c r="D70" s="65"/>
      <c r="E70" s="65"/>
      <c r="F70" s="65"/>
      <c r="G70" s="66"/>
      <c r="H70" s="65"/>
      <c r="I70" s="65"/>
      <c r="J70" s="65"/>
      <c r="K70" s="67"/>
    </row>
    <row r="71">
      <c r="A71" s="10" t="s">
        <v>205</v>
      </c>
      <c r="B71" s="11" t="s">
        <v>206</v>
      </c>
      <c r="C71" s="16" t="s">
        <v>207</v>
      </c>
      <c r="D71" s="11"/>
      <c r="E71" s="11" t="s">
        <v>61</v>
      </c>
      <c r="F71" s="57" t="n">
        <v>52.642</v>
      </c>
      <c r="G71" s="58" t="n">
        <v>0</v>
      </c>
      <c r="H71" s="57">
        <f>ROUND(F71*AO71,2)</f>
      </c>
      <c r="I71" s="57">
        <f>ROUND(F71*AP71,2)</f>
      </c>
      <c r="J71" s="57">
        <f>ROUND(F71*G71,2)</f>
      </c>
      <c r="K71" s="59" t="s">
        <v>62</v>
      </c>
      <c r="Z71" s="57">
        <f>ROUND(IF(AQ71="5",BJ71,0),2)</f>
      </c>
      <c r="AB71" s="57">
        <f>ROUND(IF(AQ71="1",BH71,0),2)</f>
      </c>
      <c r="AC71" s="57">
        <f>ROUND(IF(AQ71="1",BI71,0),2)</f>
      </c>
      <c r="AD71" s="57">
        <f>ROUND(IF(AQ71="7",BH71,0),2)</f>
      </c>
      <c r="AE71" s="57">
        <f>ROUND(IF(AQ71="7",BI71,0),2)</f>
      </c>
      <c r="AF71" s="57">
        <f>ROUND(IF(AQ71="2",BH71,0),2)</f>
      </c>
      <c r="AG71" s="57">
        <f>ROUND(IF(AQ71="2",BI71,0),2)</f>
      </c>
      <c r="AH71" s="57">
        <f>ROUND(IF(AQ71="0",BJ71,0),2)</f>
      </c>
      <c r="AI71" s="33" t="s">
        <v>57</v>
      </c>
      <c r="AJ71" s="57">
        <f>IF(AN71=0,J71,0)</f>
      </c>
      <c r="AK71" s="57">
        <f>IF(AN71=12,J71,0)</f>
      </c>
      <c r="AL71" s="57">
        <f>IF(AN71=21,J71,0)</f>
      </c>
      <c r="AN71" s="57" t="n">
        <v>12</v>
      </c>
      <c r="AO71" s="57">
        <f>G71*0.569471163</f>
      </c>
      <c r="AP71" s="57">
        <f>G71*(1-0.569471163)</f>
      </c>
      <c r="AQ71" s="60" t="s">
        <v>58</v>
      </c>
      <c r="AV71" s="57">
        <f>ROUND(AW71+AX71,2)</f>
      </c>
      <c r="AW71" s="57">
        <f>ROUND(F71*AO71,2)</f>
      </c>
      <c r="AX71" s="57">
        <f>ROUND(F71*AP71,2)</f>
      </c>
      <c r="AY71" s="60" t="s">
        <v>166</v>
      </c>
      <c r="AZ71" s="60" t="s">
        <v>167</v>
      </c>
      <c r="BA71" s="33" t="s">
        <v>65</v>
      </c>
      <c r="BB71" s="61" t="n">
        <v>100088</v>
      </c>
      <c r="BC71" s="57">
        <f>AW71+AX71</f>
      </c>
      <c r="BD71" s="57">
        <f>G71/(100-BE71)*100</f>
      </c>
      <c r="BE71" s="57" t="n">
        <v>0</v>
      </c>
      <c r="BF71" s="57">
        <f>71</f>
      </c>
      <c r="BH71" s="57">
        <f>F71*AO71</f>
      </c>
      <c r="BI71" s="57">
        <f>F71*AP71</f>
      </c>
      <c r="BJ71" s="57">
        <f>F71*G71</f>
      </c>
      <c r="BK71" s="60" t="s">
        <v>66</v>
      </c>
      <c r="BL71" s="57" t="n">
        <v>62</v>
      </c>
      <c r="BW71" s="57" t="n">
        <v>12</v>
      </c>
      <c r="BX71" s="16" t="s">
        <v>207</v>
      </c>
    </row>
    <row r="72" customHeight="true" ht="13.5">
      <c r="A72" s="62"/>
      <c r="B72" s="63" t="s">
        <v>106</v>
      </c>
      <c r="C72" s="64" t="s">
        <v>201</v>
      </c>
      <c r="D72" s="65"/>
      <c r="E72" s="65"/>
      <c r="F72" s="65"/>
      <c r="G72" s="66"/>
      <c r="H72" s="65"/>
      <c r="I72" s="65"/>
      <c r="J72" s="65"/>
      <c r="K72" s="67"/>
    </row>
    <row r="73">
      <c r="A73" s="10" t="s">
        <v>208</v>
      </c>
      <c r="B73" s="11" t="s">
        <v>209</v>
      </c>
      <c r="C73" s="16" t="s">
        <v>207</v>
      </c>
      <c r="D73" s="11"/>
      <c r="E73" s="11" t="s">
        <v>61</v>
      </c>
      <c r="F73" s="57" t="n">
        <v>17.871</v>
      </c>
      <c r="G73" s="58" t="n">
        <v>0</v>
      </c>
      <c r="H73" s="57">
        <f>ROUND(F73*AO73,2)</f>
      </c>
      <c r="I73" s="57">
        <f>ROUND(F73*AP73,2)</f>
      </c>
      <c r="J73" s="57">
        <f>ROUND(F73*G73,2)</f>
      </c>
      <c r="K73" s="59" t="s">
        <v>62</v>
      </c>
      <c r="Z73" s="57">
        <f>ROUND(IF(AQ73="5",BJ73,0),2)</f>
      </c>
      <c r="AB73" s="57">
        <f>ROUND(IF(AQ73="1",BH73,0),2)</f>
      </c>
      <c r="AC73" s="57">
        <f>ROUND(IF(AQ73="1",BI73,0),2)</f>
      </c>
      <c r="AD73" s="57">
        <f>ROUND(IF(AQ73="7",BH73,0),2)</f>
      </c>
      <c r="AE73" s="57">
        <f>ROUND(IF(AQ73="7",BI73,0),2)</f>
      </c>
      <c r="AF73" s="57">
        <f>ROUND(IF(AQ73="2",BH73,0),2)</f>
      </c>
      <c r="AG73" s="57">
        <f>ROUND(IF(AQ73="2",BI73,0),2)</f>
      </c>
      <c r="AH73" s="57">
        <f>ROUND(IF(AQ73="0",BJ73,0),2)</f>
      </c>
      <c r="AI73" s="33" t="s">
        <v>57</v>
      </c>
      <c r="AJ73" s="57">
        <f>IF(AN73=0,J73,0)</f>
      </c>
      <c r="AK73" s="57">
        <f>IF(AN73=12,J73,0)</f>
      </c>
      <c r="AL73" s="57">
        <f>IF(AN73=21,J73,0)</f>
      </c>
      <c r="AN73" s="57" t="n">
        <v>12</v>
      </c>
      <c r="AO73" s="57">
        <f>G73*0.487005134</f>
      </c>
      <c r="AP73" s="57">
        <f>G73*(1-0.487005134)</f>
      </c>
      <c r="AQ73" s="60" t="s">
        <v>58</v>
      </c>
      <c r="AV73" s="57">
        <f>ROUND(AW73+AX73,2)</f>
      </c>
      <c r="AW73" s="57">
        <f>ROUND(F73*AO73,2)</f>
      </c>
      <c r="AX73" s="57">
        <f>ROUND(F73*AP73,2)</f>
      </c>
      <c r="AY73" s="60" t="s">
        <v>166</v>
      </c>
      <c r="AZ73" s="60" t="s">
        <v>167</v>
      </c>
      <c r="BA73" s="33" t="s">
        <v>65</v>
      </c>
      <c r="BB73" s="61" t="n">
        <v>100088</v>
      </c>
      <c r="BC73" s="57">
        <f>AW73+AX73</f>
      </c>
      <c r="BD73" s="57">
        <f>G73/(100-BE73)*100</f>
      </c>
      <c r="BE73" s="57" t="n">
        <v>0</v>
      </c>
      <c r="BF73" s="57">
        <f>73</f>
      </c>
      <c r="BH73" s="57">
        <f>F73*AO73</f>
      </c>
      <c r="BI73" s="57">
        <f>F73*AP73</f>
      </c>
      <c r="BJ73" s="57">
        <f>F73*G73</f>
      </c>
      <c r="BK73" s="60" t="s">
        <v>66</v>
      </c>
      <c r="BL73" s="57" t="n">
        <v>62</v>
      </c>
      <c r="BW73" s="57" t="n">
        <v>12</v>
      </c>
      <c r="BX73" s="16" t="s">
        <v>207</v>
      </c>
    </row>
    <row r="74" customHeight="true" ht="13.5">
      <c r="A74" s="62"/>
      <c r="B74" s="63" t="s">
        <v>106</v>
      </c>
      <c r="C74" s="64" t="s">
        <v>204</v>
      </c>
      <c r="D74" s="65"/>
      <c r="E74" s="65"/>
      <c r="F74" s="65"/>
      <c r="G74" s="66"/>
      <c r="H74" s="65"/>
      <c r="I74" s="65"/>
      <c r="J74" s="65"/>
      <c r="K74" s="67"/>
    </row>
    <row r="75">
      <c r="A75" s="10" t="s">
        <v>210</v>
      </c>
      <c r="B75" s="11" t="s">
        <v>211</v>
      </c>
      <c r="C75" s="16" t="s">
        <v>212</v>
      </c>
      <c r="D75" s="11"/>
      <c r="E75" s="11" t="s">
        <v>61</v>
      </c>
      <c r="F75" s="57" t="n">
        <v>24.723</v>
      </c>
      <c r="G75" s="58" t="n">
        <v>0</v>
      </c>
      <c r="H75" s="57">
        <f>ROUND(F75*AO75,2)</f>
      </c>
      <c r="I75" s="57">
        <f>ROUND(F75*AP75,2)</f>
      </c>
      <c r="J75" s="57">
        <f>ROUND(F75*G75,2)</f>
      </c>
      <c r="K75" s="59" t="s">
        <v>62</v>
      </c>
      <c r="Z75" s="57">
        <f>ROUND(IF(AQ75="5",BJ75,0),2)</f>
      </c>
      <c r="AB75" s="57">
        <f>ROUND(IF(AQ75="1",BH75,0),2)</f>
      </c>
      <c r="AC75" s="57">
        <f>ROUND(IF(AQ75="1",BI75,0),2)</f>
      </c>
      <c r="AD75" s="57">
        <f>ROUND(IF(AQ75="7",BH75,0),2)</f>
      </c>
      <c r="AE75" s="57">
        <f>ROUND(IF(AQ75="7",BI75,0),2)</f>
      </c>
      <c r="AF75" s="57">
        <f>ROUND(IF(AQ75="2",BH75,0),2)</f>
      </c>
      <c r="AG75" s="57">
        <f>ROUND(IF(AQ75="2",BI75,0),2)</f>
      </c>
      <c r="AH75" s="57">
        <f>ROUND(IF(AQ75="0",BJ75,0),2)</f>
      </c>
      <c r="AI75" s="33" t="s">
        <v>57</v>
      </c>
      <c r="AJ75" s="57">
        <f>IF(AN75=0,J75,0)</f>
      </c>
      <c r="AK75" s="57">
        <f>IF(AN75=12,J75,0)</f>
      </c>
      <c r="AL75" s="57">
        <f>IF(AN75=21,J75,0)</f>
      </c>
      <c r="AN75" s="57" t="n">
        <v>12</v>
      </c>
      <c r="AO75" s="57">
        <f>G75*0.371370181</f>
      </c>
      <c r="AP75" s="57">
        <f>G75*(1-0.371370181)</f>
      </c>
      <c r="AQ75" s="60" t="s">
        <v>58</v>
      </c>
      <c r="AV75" s="57">
        <f>ROUND(AW75+AX75,2)</f>
      </c>
      <c r="AW75" s="57">
        <f>ROUND(F75*AO75,2)</f>
      </c>
      <c r="AX75" s="57">
        <f>ROUND(F75*AP75,2)</f>
      </c>
      <c r="AY75" s="60" t="s">
        <v>166</v>
      </c>
      <c r="AZ75" s="60" t="s">
        <v>167</v>
      </c>
      <c r="BA75" s="33" t="s">
        <v>65</v>
      </c>
      <c r="BB75" s="61" t="n">
        <v>100088</v>
      </c>
      <c r="BC75" s="57">
        <f>AW75+AX75</f>
      </c>
      <c r="BD75" s="57">
        <f>G75/(100-BE75)*100</f>
      </c>
      <c r="BE75" s="57" t="n">
        <v>0</v>
      </c>
      <c r="BF75" s="57">
        <f>75</f>
      </c>
      <c r="BH75" s="57">
        <f>F75*AO75</f>
      </c>
      <c r="BI75" s="57">
        <f>F75*AP75</f>
      </c>
      <c r="BJ75" s="57">
        <f>F75*G75</f>
      </c>
      <c r="BK75" s="60" t="s">
        <v>66</v>
      </c>
      <c r="BL75" s="57" t="n">
        <v>62</v>
      </c>
      <c r="BW75" s="57" t="n">
        <v>12</v>
      </c>
      <c r="BX75" s="16" t="s">
        <v>212</v>
      </c>
    </row>
    <row r="76" customHeight="true" ht="13.5">
      <c r="A76" s="62"/>
      <c r="B76" s="63" t="s">
        <v>106</v>
      </c>
      <c r="C76" s="64" t="s">
        <v>201</v>
      </c>
      <c r="D76" s="65"/>
      <c r="E76" s="65"/>
      <c r="F76" s="65"/>
      <c r="G76" s="66"/>
      <c r="H76" s="65"/>
      <c r="I76" s="65"/>
      <c r="J76" s="65"/>
      <c r="K76" s="67"/>
    </row>
    <row r="77">
      <c r="A77" s="10" t="s">
        <v>213</v>
      </c>
      <c r="B77" s="11" t="s">
        <v>214</v>
      </c>
      <c r="C77" s="16" t="s">
        <v>215</v>
      </c>
      <c r="D77" s="11"/>
      <c r="E77" s="11" t="s">
        <v>61</v>
      </c>
      <c r="F77" s="57" t="n">
        <v>129.621</v>
      </c>
      <c r="G77" s="58" t="n">
        <v>0</v>
      </c>
      <c r="H77" s="57">
        <f>ROUND(F77*AO77,2)</f>
      </c>
      <c r="I77" s="57">
        <f>ROUND(F77*AP77,2)</f>
      </c>
      <c r="J77" s="57">
        <f>ROUND(F77*G77,2)</f>
      </c>
      <c r="K77" s="59" t="s">
        <v>62</v>
      </c>
      <c r="Z77" s="57">
        <f>ROUND(IF(AQ77="5",BJ77,0),2)</f>
      </c>
      <c r="AB77" s="57">
        <f>ROUND(IF(AQ77="1",BH77,0),2)</f>
      </c>
      <c r="AC77" s="57">
        <f>ROUND(IF(AQ77="1",BI77,0),2)</f>
      </c>
      <c r="AD77" s="57">
        <f>ROUND(IF(AQ77="7",BH77,0),2)</f>
      </c>
      <c r="AE77" s="57">
        <f>ROUND(IF(AQ77="7",BI77,0),2)</f>
      </c>
      <c r="AF77" s="57">
        <f>ROUND(IF(AQ77="2",BH77,0),2)</f>
      </c>
      <c r="AG77" s="57">
        <f>ROUND(IF(AQ77="2",BI77,0),2)</f>
      </c>
      <c r="AH77" s="57">
        <f>ROUND(IF(AQ77="0",BJ77,0),2)</f>
      </c>
      <c r="AI77" s="33" t="s">
        <v>57</v>
      </c>
      <c r="AJ77" s="57">
        <f>IF(AN77=0,J77,0)</f>
      </c>
      <c r="AK77" s="57">
        <f>IF(AN77=12,J77,0)</f>
      </c>
      <c r="AL77" s="57">
        <f>IF(AN77=21,J77,0)</f>
      </c>
      <c r="AN77" s="57" t="n">
        <v>12</v>
      </c>
      <c r="AO77" s="57">
        <f>G77*0.311531175</f>
      </c>
      <c r="AP77" s="57">
        <f>G77*(1-0.311531175)</f>
      </c>
      <c r="AQ77" s="60" t="s">
        <v>58</v>
      </c>
      <c r="AV77" s="57">
        <f>ROUND(AW77+AX77,2)</f>
      </c>
      <c r="AW77" s="57">
        <f>ROUND(F77*AO77,2)</f>
      </c>
      <c r="AX77" s="57">
        <f>ROUND(F77*AP77,2)</f>
      </c>
      <c r="AY77" s="60" t="s">
        <v>166</v>
      </c>
      <c r="AZ77" s="60" t="s">
        <v>167</v>
      </c>
      <c r="BA77" s="33" t="s">
        <v>65</v>
      </c>
      <c r="BB77" s="61" t="n">
        <v>100088</v>
      </c>
      <c r="BC77" s="57">
        <f>AW77+AX77</f>
      </c>
      <c r="BD77" s="57">
        <f>G77/(100-BE77)*100</f>
      </c>
      <c r="BE77" s="57" t="n">
        <v>0</v>
      </c>
      <c r="BF77" s="57">
        <f>77</f>
      </c>
      <c r="BH77" s="57">
        <f>F77*AO77</f>
      </c>
      <c r="BI77" s="57">
        <f>F77*AP77</f>
      </c>
      <c r="BJ77" s="57">
        <f>F77*G77</f>
      </c>
      <c r="BK77" s="60" t="s">
        <v>66</v>
      </c>
      <c r="BL77" s="57" t="n">
        <v>62</v>
      </c>
      <c r="BW77" s="57" t="n">
        <v>12</v>
      </c>
      <c r="BX77" s="16" t="s">
        <v>215</v>
      </c>
    </row>
    <row r="78">
      <c r="A78" s="10" t="s">
        <v>216</v>
      </c>
      <c r="B78" s="11" t="s">
        <v>217</v>
      </c>
      <c r="C78" s="16" t="s">
        <v>218</v>
      </c>
      <c r="D78" s="11"/>
      <c r="E78" s="11" t="s">
        <v>61</v>
      </c>
      <c r="F78" s="57" t="n">
        <v>41.23</v>
      </c>
      <c r="G78" s="58" t="n">
        <v>0</v>
      </c>
      <c r="H78" s="57">
        <f>ROUND(F78*AO78,2)</f>
      </c>
      <c r="I78" s="57">
        <f>ROUND(F78*AP78,2)</f>
      </c>
      <c r="J78" s="57">
        <f>ROUND(F78*G78,2)</f>
      </c>
      <c r="K78" s="59" t="s">
        <v>62</v>
      </c>
      <c r="Z78" s="57">
        <f>ROUND(IF(AQ78="5",BJ78,0),2)</f>
      </c>
      <c r="AB78" s="57">
        <f>ROUND(IF(AQ78="1",BH78,0),2)</f>
      </c>
      <c r="AC78" s="57">
        <f>ROUND(IF(AQ78="1",BI78,0),2)</f>
      </c>
      <c r="AD78" s="57">
        <f>ROUND(IF(AQ78="7",BH78,0),2)</f>
      </c>
      <c r="AE78" s="57">
        <f>ROUND(IF(AQ78="7",BI78,0),2)</f>
      </c>
      <c r="AF78" s="57">
        <f>ROUND(IF(AQ78="2",BH78,0),2)</f>
      </c>
      <c r="AG78" s="57">
        <f>ROUND(IF(AQ78="2",BI78,0),2)</f>
      </c>
      <c r="AH78" s="57">
        <f>ROUND(IF(AQ78="0",BJ78,0),2)</f>
      </c>
      <c r="AI78" s="33" t="s">
        <v>57</v>
      </c>
      <c r="AJ78" s="57">
        <f>IF(AN78=0,J78,0)</f>
      </c>
      <c r="AK78" s="57">
        <f>IF(AN78=12,J78,0)</f>
      </c>
      <c r="AL78" s="57">
        <f>IF(AN78=21,J78,0)</f>
      </c>
      <c r="AN78" s="57" t="n">
        <v>12</v>
      </c>
      <c r="AO78" s="57">
        <f>G78*0.596425674</f>
      </c>
      <c r="AP78" s="57">
        <f>G78*(1-0.596425674)</f>
      </c>
      <c r="AQ78" s="60" t="s">
        <v>58</v>
      </c>
      <c r="AV78" s="57">
        <f>ROUND(AW78+AX78,2)</f>
      </c>
      <c r="AW78" s="57">
        <f>ROUND(F78*AO78,2)</f>
      </c>
      <c r="AX78" s="57">
        <f>ROUND(F78*AP78,2)</f>
      </c>
      <c r="AY78" s="60" t="s">
        <v>166</v>
      </c>
      <c r="AZ78" s="60" t="s">
        <v>167</v>
      </c>
      <c r="BA78" s="33" t="s">
        <v>65</v>
      </c>
      <c r="BB78" s="61" t="n">
        <v>100088</v>
      </c>
      <c r="BC78" s="57">
        <f>AW78+AX78</f>
      </c>
      <c r="BD78" s="57">
        <f>G78/(100-BE78)*100</f>
      </c>
      <c r="BE78" s="57" t="n">
        <v>0</v>
      </c>
      <c r="BF78" s="57">
        <f>78</f>
      </c>
      <c r="BH78" s="57">
        <f>F78*AO78</f>
      </c>
      <c r="BI78" s="57">
        <f>F78*AP78</f>
      </c>
      <c r="BJ78" s="57">
        <f>F78*G78</f>
      </c>
      <c r="BK78" s="60" t="s">
        <v>66</v>
      </c>
      <c r="BL78" s="57" t="n">
        <v>62</v>
      </c>
      <c r="BW78" s="57" t="n">
        <v>12</v>
      </c>
      <c r="BX78" s="16" t="s">
        <v>218</v>
      </c>
    </row>
    <row r="79" customHeight="true" ht="13.5">
      <c r="A79" s="62"/>
      <c r="B79" s="63" t="s">
        <v>106</v>
      </c>
      <c r="C79" s="64" t="s">
        <v>188</v>
      </c>
      <c r="D79" s="65"/>
      <c r="E79" s="65"/>
      <c r="F79" s="65"/>
      <c r="G79" s="66"/>
      <c r="H79" s="65"/>
      <c r="I79" s="65"/>
      <c r="J79" s="65"/>
      <c r="K79" s="67"/>
    </row>
    <row r="80" ht="24.75">
      <c r="A80" s="10" t="s">
        <v>219</v>
      </c>
      <c r="B80" s="11" t="s">
        <v>138</v>
      </c>
      <c r="C80" s="16" t="s">
        <v>190</v>
      </c>
      <c r="D80" s="11"/>
      <c r="E80" s="11" t="s">
        <v>61</v>
      </c>
      <c r="F80" s="57" t="n">
        <v>11.805</v>
      </c>
      <c r="G80" s="58" t="n">
        <v>0</v>
      </c>
      <c r="H80" s="57">
        <f>ROUND(F80*AO80,2)</f>
      </c>
      <c r="I80" s="57">
        <f>ROUND(F80*AP80,2)</f>
      </c>
      <c r="J80" s="57">
        <f>ROUND(F80*G80,2)</f>
      </c>
      <c r="K80" s="59" t="s">
        <v>140</v>
      </c>
      <c r="Z80" s="57">
        <f>ROUND(IF(AQ80="5",BJ80,0),2)</f>
      </c>
      <c r="AB80" s="57">
        <f>ROUND(IF(AQ80="1",BH80,0),2)</f>
      </c>
      <c r="AC80" s="57">
        <f>ROUND(IF(AQ80="1",BI80,0),2)</f>
      </c>
      <c r="AD80" s="57">
        <f>ROUND(IF(AQ80="7",BH80,0),2)</f>
      </c>
      <c r="AE80" s="57">
        <f>ROUND(IF(AQ80="7",BI80,0),2)</f>
      </c>
      <c r="AF80" s="57">
        <f>ROUND(IF(AQ80="2",BH80,0),2)</f>
      </c>
      <c r="AG80" s="57">
        <f>ROUND(IF(AQ80="2",BI80,0),2)</f>
      </c>
      <c r="AH80" s="57">
        <f>ROUND(IF(AQ80="0",BJ80,0),2)</f>
      </c>
      <c r="AI80" s="33" t="s">
        <v>57</v>
      </c>
      <c r="AJ80" s="57">
        <f>IF(AN80=0,J80,0)</f>
      </c>
      <c r="AK80" s="57">
        <f>IF(AN80=12,J80,0)</f>
      </c>
      <c r="AL80" s="57">
        <f>IF(AN80=21,J80,0)</f>
      </c>
      <c r="AN80" s="57" t="n">
        <v>12</v>
      </c>
      <c r="AO80" s="57">
        <f>G80*1</f>
      </c>
      <c r="AP80" s="57">
        <f>G80*(1-1)</f>
      </c>
      <c r="AQ80" s="60" t="s">
        <v>58</v>
      </c>
      <c r="AV80" s="57">
        <f>ROUND(AW80+AX80,2)</f>
      </c>
      <c r="AW80" s="57">
        <f>ROUND(F80*AO80,2)</f>
      </c>
      <c r="AX80" s="57">
        <f>ROUND(F80*AP80,2)</f>
      </c>
      <c r="AY80" s="60" t="s">
        <v>166</v>
      </c>
      <c r="AZ80" s="60" t="s">
        <v>167</v>
      </c>
      <c r="BA80" s="33" t="s">
        <v>65</v>
      </c>
      <c r="BB80" s="61" t="n">
        <v>100088</v>
      </c>
      <c r="BC80" s="57">
        <f>AW80+AX80</f>
      </c>
      <c r="BD80" s="57">
        <f>G80/(100-BE80)*100</f>
      </c>
      <c r="BE80" s="57" t="n">
        <v>0</v>
      </c>
      <c r="BF80" s="57">
        <f>80</f>
      </c>
      <c r="BH80" s="57">
        <f>F80*AO80</f>
      </c>
      <c r="BI80" s="57">
        <f>F80*AP80</f>
      </c>
      <c r="BJ80" s="57">
        <f>F80*G80</f>
      </c>
      <c r="BK80" s="60" t="s">
        <v>66</v>
      </c>
      <c r="BL80" s="57" t="n">
        <v>62</v>
      </c>
      <c r="BW80" s="57" t="n">
        <v>12</v>
      </c>
      <c r="BX80" s="16" t="s">
        <v>190</v>
      </c>
    </row>
    <row r="81" customHeight="true" ht="13.5">
      <c r="A81" s="62"/>
      <c r="B81" s="63" t="s">
        <v>106</v>
      </c>
      <c r="C81" s="64" t="s">
        <v>191</v>
      </c>
      <c r="D81" s="65"/>
      <c r="E81" s="65"/>
      <c r="F81" s="65"/>
      <c r="G81" s="66"/>
      <c r="H81" s="65"/>
      <c r="I81" s="65"/>
      <c r="J81" s="65"/>
      <c r="K81" s="67"/>
    </row>
    <row r="82" ht="24.75">
      <c r="A82" s="10" t="s">
        <v>220</v>
      </c>
      <c r="B82" s="11" t="s">
        <v>138</v>
      </c>
      <c r="C82" s="16" t="s">
        <v>139</v>
      </c>
      <c r="D82" s="11"/>
      <c r="E82" s="11" t="s">
        <v>61</v>
      </c>
      <c r="F82" s="57" t="n">
        <v>29.425</v>
      </c>
      <c r="G82" s="58" t="n">
        <v>0</v>
      </c>
      <c r="H82" s="57">
        <f>ROUND(F82*AO82,2)</f>
      </c>
      <c r="I82" s="57">
        <f>ROUND(F82*AP82,2)</f>
      </c>
      <c r="J82" s="57">
        <f>ROUND(F82*G82,2)</f>
      </c>
      <c r="K82" s="59" t="s">
        <v>140</v>
      </c>
      <c r="Z82" s="57">
        <f>ROUND(IF(AQ82="5",BJ82,0),2)</f>
      </c>
      <c r="AB82" s="57">
        <f>ROUND(IF(AQ82="1",BH82,0),2)</f>
      </c>
      <c r="AC82" s="57">
        <f>ROUND(IF(AQ82="1",BI82,0),2)</f>
      </c>
      <c r="AD82" s="57">
        <f>ROUND(IF(AQ82="7",BH82,0),2)</f>
      </c>
      <c r="AE82" s="57">
        <f>ROUND(IF(AQ82="7",BI82,0),2)</f>
      </c>
      <c r="AF82" s="57">
        <f>ROUND(IF(AQ82="2",BH82,0),2)</f>
      </c>
      <c r="AG82" s="57">
        <f>ROUND(IF(AQ82="2",BI82,0),2)</f>
      </c>
      <c r="AH82" s="57">
        <f>ROUND(IF(AQ82="0",BJ82,0),2)</f>
      </c>
      <c r="AI82" s="33" t="s">
        <v>57</v>
      </c>
      <c r="AJ82" s="57">
        <f>IF(AN82=0,J82,0)</f>
      </c>
      <c r="AK82" s="57">
        <f>IF(AN82=12,J82,0)</f>
      </c>
      <c r="AL82" s="57">
        <f>IF(AN82=21,J82,0)</f>
      </c>
      <c r="AN82" s="57" t="n">
        <v>12</v>
      </c>
      <c r="AO82" s="57">
        <f>G82*1</f>
      </c>
      <c r="AP82" s="57">
        <f>G82*(1-1)</f>
      </c>
      <c r="AQ82" s="60" t="s">
        <v>58</v>
      </c>
      <c r="AV82" s="57">
        <f>ROUND(AW82+AX82,2)</f>
      </c>
      <c r="AW82" s="57">
        <f>ROUND(F82*AO82,2)</f>
      </c>
      <c r="AX82" s="57">
        <f>ROUND(F82*AP82,2)</f>
      </c>
      <c r="AY82" s="60" t="s">
        <v>166</v>
      </c>
      <c r="AZ82" s="60" t="s">
        <v>167</v>
      </c>
      <c r="BA82" s="33" t="s">
        <v>65</v>
      </c>
      <c r="BB82" s="61" t="n">
        <v>100088</v>
      </c>
      <c r="BC82" s="57">
        <f>AW82+AX82</f>
      </c>
      <c r="BD82" s="57">
        <f>G82/(100-BE82)*100</f>
      </c>
      <c r="BE82" s="57" t="n">
        <v>0</v>
      </c>
      <c r="BF82" s="57">
        <f>82</f>
      </c>
      <c r="BH82" s="57">
        <f>F82*AO82</f>
      </c>
      <c r="BI82" s="57">
        <f>F82*AP82</f>
      </c>
      <c r="BJ82" s="57">
        <f>F82*G82</f>
      </c>
      <c r="BK82" s="60" t="s">
        <v>66</v>
      </c>
      <c r="BL82" s="57" t="n">
        <v>62</v>
      </c>
      <c r="BW82" s="57" t="n">
        <v>12</v>
      </c>
      <c r="BX82" s="16" t="s">
        <v>139</v>
      </c>
    </row>
    <row r="83" customHeight="true" ht="13.5">
      <c r="A83" s="62"/>
      <c r="B83" s="63" t="s">
        <v>106</v>
      </c>
      <c r="C83" s="64" t="s">
        <v>141</v>
      </c>
      <c r="D83" s="65"/>
      <c r="E83" s="65"/>
      <c r="F83" s="65"/>
      <c r="G83" s="66"/>
      <c r="H83" s="65"/>
      <c r="I83" s="65"/>
      <c r="J83" s="65"/>
      <c r="K83" s="67"/>
    </row>
    <row r="84">
      <c r="A84" s="10" t="s">
        <v>221</v>
      </c>
      <c r="B84" s="11" t="s">
        <v>222</v>
      </c>
      <c r="C84" s="16" t="s">
        <v>218</v>
      </c>
      <c r="D84" s="11"/>
      <c r="E84" s="11" t="s">
        <v>61</v>
      </c>
      <c r="F84" s="57" t="n">
        <v>9.96</v>
      </c>
      <c r="G84" s="58" t="n">
        <v>0</v>
      </c>
      <c r="H84" s="57">
        <f>ROUND(F84*AO84,2)</f>
      </c>
      <c r="I84" s="57">
        <f>ROUND(F84*AP84,2)</f>
      </c>
      <c r="J84" s="57">
        <f>ROUND(F84*G84,2)</f>
      </c>
      <c r="K84" s="59" t="s">
        <v>62</v>
      </c>
      <c r="Z84" s="57">
        <f>ROUND(IF(AQ84="5",BJ84,0),2)</f>
      </c>
      <c r="AB84" s="57">
        <f>ROUND(IF(AQ84="1",BH84,0),2)</f>
      </c>
      <c r="AC84" s="57">
        <f>ROUND(IF(AQ84="1",BI84,0),2)</f>
      </c>
      <c r="AD84" s="57">
        <f>ROUND(IF(AQ84="7",BH84,0),2)</f>
      </c>
      <c r="AE84" s="57">
        <f>ROUND(IF(AQ84="7",BI84,0),2)</f>
      </c>
      <c r="AF84" s="57">
        <f>ROUND(IF(AQ84="2",BH84,0),2)</f>
      </c>
      <c r="AG84" s="57">
        <f>ROUND(IF(AQ84="2",BI84,0),2)</f>
      </c>
      <c r="AH84" s="57">
        <f>ROUND(IF(AQ84="0",BJ84,0),2)</f>
      </c>
      <c r="AI84" s="33" t="s">
        <v>57</v>
      </c>
      <c r="AJ84" s="57">
        <f>IF(AN84=0,J84,0)</f>
      </c>
      <c r="AK84" s="57">
        <f>IF(AN84=12,J84,0)</f>
      </c>
      <c r="AL84" s="57">
        <f>IF(AN84=21,J84,0)</f>
      </c>
      <c r="AN84" s="57" t="n">
        <v>12</v>
      </c>
      <c r="AO84" s="57">
        <f>G84*0.626764938</f>
      </c>
      <c r="AP84" s="57">
        <f>G84*(1-0.626764938)</f>
      </c>
      <c r="AQ84" s="60" t="s">
        <v>58</v>
      </c>
      <c r="AV84" s="57">
        <f>ROUND(AW84+AX84,2)</f>
      </c>
      <c r="AW84" s="57">
        <f>ROUND(F84*AO84,2)</f>
      </c>
      <c r="AX84" s="57">
        <f>ROUND(F84*AP84,2)</f>
      </c>
      <c r="AY84" s="60" t="s">
        <v>166</v>
      </c>
      <c r="AZ84" s="60" t="s">
        <v>167</v>
      </c>
      <c r="BA84" s="33" t="s">
        <v>65</v>
      </c>
      <c r="BB84" s="61" t="n">
        <v>100088</v>
      </c>
      <c r="BC84" s="57">
        <f>AW84+AX84</f>
      </c>
      <c r="BD84" s="57">
        <f>G84/(100-BE84)*100</f>
      </c>
      <c r="BE84" s="57" t="n">
        <v>0</v>
      </c>
      <c r="BF84" s="57">
        <f>84</f>
      </c>
      <c r="BH84" s="57">
        <f>F84*AO84</f>
      </c>
      <c r="BI84" s="57">
        <f>F84*AP84</f>
      </c>
      <c r="BJ84" s="57">
        <f>F84*G84</f>
      </c>
      <c r="BK84" s="60" t="s">
        <v>66</v>
      </c>
      <c r="BL84" s="57" t="n">
        <v>62</v>
      </c>
      <c r="BW84" s="57" t="n">
        <v>12</v>
      </c>
      <c r="BX84" s="16" t="s">
        <v>218</v>
      </c>
    </row>
    <row r="85" customHeight="true" ht="13.5">
      <c r="A85" s="62"/>
      <c r="B85" s="63" t="s">
        <v>106</v>
      </c>
      <c r="C85" s="64" t="s">
        <v>204</v>
      </c>
      <c r="D85" s="65"/>
      <c r="E85" s="65"/>
      <c r="F85" s="65"/>
      <c r="G85" s="66"/>
      <c r="H85" s="65"/>
      <c r="I85" s="65"/>
      <c r="J85" s="65"/>
      <c r="K85" s="67"/>
    </row>
    <row r="86">
      <c r="A86" s="10" t="s">
        <v>223</v>
      </c>
      <c r="B86" s="11" t="s">
        <v>224</v>
      </c>
      <c r="C86" s="16" t="s">
        <v>225</v>
      </c>
      <c r="D86" s="11"/>
      <c r="E86" s="11" t="s">
        <v>61</v>
      </c>
      <c r="F86" s="57" t="n">
        <v>185.0475</v>
      </c>
      <c r="G86" s="58" t="n">
        <v>0</v>
      </c>
      <c r="H86" s="57">
        <f>ROUND(F86*AO86,2)</f>
      </c>
      <c r="I86" s="57">
        <f>ROUND(F86*AP86,2)</f>
      </c>
      <c r="J86" s="57">
        <f>ROUND(F86*G86,2)</f>
      </c>
      <c r="K86" s="59" t="s">
        <v>62</v>
      </c>
      <c r="Z86" s="57">
        <f>ROUND(IF(AQ86="5",BJ86,0),2)</f>
      </c>
      <c r="AB86" s="57">
        <f>ROUND(IF(AQ86="1",BH86,0),2)</f>
      </c>
      <c r="AC86" s="57">
        <f>ROUND(IF(AQ86="1",BI86,0),2)</f>
      </c>
      <c r="AD86" s="57">
        <f>ROUND(IF(AQ86="7",BH86,0),2)</f>
      </c>
      <c r="AE86" s="57">
        <f>ROUND(IF(AQ86="7",BI86,0),2)</f>
      </c>
      <c r="AF86" s="57">
        <f>ROUND(IF(AQ86="2",BH86,0),2)</f>
      </c>
      <c r="AG86" s="57">
        <f>ROUND(IF(AQ86="2",BI86,0),2)</f>
      </c>
      <c r="AH86" s="57">
        <f>ROUND(IF(AQ86="0",BJ86,0),2)</f>
      </c>
      <c r="AI86" s="33" t="s">
        <v>57</v>
      </c>
      <c r="AJ86" s="57">
        <f>IF(AN86=0,J86,0)</f>
      </c>
      <c r="AK86" s="57">
        <f>IF(AN86=12,J86,0)</f>
      </c>
      <c r="AL86" s="57">
        <f>IF(AN86=21,J86,0)</f>
      </c>
      <c r="AN86" s="57" t="n">
        <v>12</v>
      </c>
      <c r="AO86" s="57">
        <f>G86*1</f>
      </c>
      <c r="AP86" s="57">
        <f>G86*(1-1)</f>
      </c>
      <c r="AQ86" s="60" t="s">
        <v>58</v>
      </c>
      <c r="AV86" s="57">
        <f>ROUND(AW86+AX86,2)</f>
      </c>
      <c r="AW86" s="57">
        <f>ROUND(F86*AO86,2)</f>
      </c>
      <c r="AX86" s="57">
        <f>ROUND(F86*AP86,2)</f>
      </c>
      <c r="AY86" s="60" t="s">
        <v>166</v>
      </c>
      <c r="AZ86" s="60" t="s">
        <v>167</v>
      </c>
      <c r="BA86" s="33" t="s">
        <v>65</v>
      </c>
      <c r="BB86" s="61" t="n">
        <v>100088</v>
      </c>
      <c r="BC86" s="57">
        <f>AW86+AX86</f>
      </c>
      <c r="BD86" s="57">
        <f>G86/(100-BE86)*100</f>
      </c>
      <c r="BE86" s="57" t="n">
        <v>0</v>
      </c>
      <c r="BF86" s="57">
        <f>86</f>
      </c>
      <c r="BH86" s="57">
        <f>F86*AO86</f>
      </c>
      <c r="BI86" s="57">
        <f>F86*AP86</f>
      </c>
      <c r="BJ86" s="57">
        <f>F86*G86</f>
      </c>
      <c r="BK86" s="60" t="s">
        <v>66</v>
      </c>
      <c r="BL86" s="57" t="n">
        <v>62</v>
      </c>
      <c r="BW86" s="57" t="n">
        <v>12</v>
      </c>
      <c r="BX86" s="16" t="s">
        <v>225</v>
      </c>
    </row>
    <row r="87">
      <c r="A87" s="10" t="s">
        <v>226</v>
      </c>
      <c r="B87" s="11" t="s">
        <v>227</v>
      </c>
      <c r="C87" s="16" t="s">
        <v>228</v>
      </c>
      <c r="D87" s="11"/>
      <c r="E87" s="11" t="s">
        <v>126</v>
      </c>
      <c r="F87" s="57" t="n">
        <v>662.4</v>
      </c>
      <c r="G87" s="58" t="n">
        <v>0</v>
      </c>
      <c r="H87" s="57">
        <f>ROUND(F87*AO87,2)</f>
      </c>
      <c r="I87" s="57">
        <f>ROUND(F87*AP87,2)</f>
      </c>
      <c r="J87" s="57">
        <f>ROUND(F87*G87,2)</f>
      </c>
      <c r="K87" s="59" t="s">
        <v>62</v>
      </c>
      <c r="Z87" s="57">
        <f>ROUND(IF(AQ87="5",BJ87,0),2)</f>
      </c>
      <c r="AB87" s="57">
        <f>ROUND(IF(AQ87="1",BH87,0),2)</f>
      </c>
      <c r="AC87" s="57">
        <f>ROUND(IF(AQ87="1",BI87,0),2)</f>
      </c>
      <c r="AD87" s="57">
        <f>ROUND(IF(AQ87="7",BH87,0),2)</f>
      </c>
      <c r="AE87" s="57">
        <f>ROUND(IF(AQ87="7",BI87,0),2)</f>
      </c>
      <c r="AF87" s="57">
        <f>ROUND(IF(AQ87="2",BH87,0),2)</f>
      </c>
      <c r="AG87" s="57">
        <f>ROUND(IF(AQ87="2",BI87,0),2)</f>
      </c>
      <c r="AH87" s="57">
        <f>ROUND(IF(AQ87="0",BJ87,0),2)</f>
      </c>
      <c r="AI87" s="33" t="s">
        <v>57</v>
      </c>
      <c r="AJ87" s="57">
        <f>IF(AN87=0,J87,0)</f>
      </c>
      <c r="AK87" s="57">
        <f>IF(AN87=12,J87,0)</f>
      </c>
      <c r="AL87" s="57">
        <f>IF(AN87=21,J87,0)</f>
      </c>
      <c r="AN87" s="57" t="n">
        <v>12</v>
      </c>
      <c r="AO87" s="57">
        <f>G87*0.410930718</f>
      </c>
      <c r="AP87" s="57">
        <f>G87*(1-0.410930718)</f>
      </c>
      <c r="AQ87" s="60" t="s">
        <v>58</v>
      </c>
      <c r="AV87" s="57">
        <f>ROUND(AW87+AX87,2)</f>
      </c>
      <c r="AW87" s="57">
        <f>ROUND(F87*AO87,2)</f>
      </c>
      <c r="AX87" s="57">
        <f>ROUND(F87*AP87,2)</f>
      </c>
      <c r="AY87" s="60" t="s">
        <v>166</v>
      </c>
      <c r="AZ87" s="60" t="s">
        <v>167</v>
      </c>
      <c r="BA87" s="33" t="s">
        <v>65</v>
      </c>
      <c r="BB87" s="61" t="n">
        <v>100088</v>
      </c>
      <c r="BC87" s="57">
        <f>AW87+AX87</f>
      </c>
      <c r="BD87" s="57">
        <f>G87/(100-BE87)*100</f>
      </c>
      <c r="BE87" s="57" t="n">
        <v>0</v>
      </c>
      <c r="BF87" s="57">
        <f>87</f>
      </c>
      <c r="BH87" s="57">
        <f>F87*AO87</f>
      </c>
      <c r="BI87" s="57">
        <f>F87*AP87</f>
      </c>
      <c r="BJ87" s="57">
        <f>F87*G87</f>
      </c>
      <c r="BK87" s="60" t="s">
        <v>66</v>
      </c>
      <c r="BL87" s="57" t="n">
        <v>62</v>
      </c>
      <c r="BW87" s="57" t="n">
        <v>12</v>
      </c>
      <c r="BX87" s="16" t="s">
        <v>228</v>
      </c>
    </row>
    <row r="88" customHeight="true" ht="13.5">
      <c r="A88" s="62"/>
      <c r="B88" s="63" t="s">
        <v>106</v>
      </c>
      <c r="C88" s="64" t="s">
        <v>229</v>
      </c>
      <c r="D88" s="65"/>
      <c r="E88" s="65"/>
      <c r="F88" s="65"/>
      <c r="G88" s="66"/>
      <c r="H88" s="65"/>
      <c r="I88" s="65"/>
      <c r="J88" s="65"/>
      <c r="K88" s="67"/>
    </row>
    <row r="89">
      <c r="A89" s="10" t="s">
        <v>230</v>
      </c>
      <c r="B89" s="11" t="s">
        <v>231</v>
      </c>
      <c r="C89" s="16" t="s">
        <v>228</v>
      </c>
      <c r="D89" s="11"/>
      <c r="E89" s="11" t="s">
        <v>126</v>
      </c>
      <c r="F89" s="57" t="n">
        <v>156.1</v>
      </c>
      <c r="G89" s="58" t="n">
        <v>0</v>
      </c>
      <c r="H89" s="57">
        <f>ROUND(F89*AO89,2)</f>
      </c>
      <c r="I89" s="57">
        <f>ROUND(F89*AP89,2)</f>
      </c>
      <c r="J89" s="57">
        <f>ROUND(F89*G89,2)</f>
      </c>
      <c r="K89" s="59" t="s">
        <v>62</v>
      </c>
      <c r="Z89" s="57">
        <f>ROUND(IF(AQ89="5",BJ89,0),2)</f>
      </c>
      <c r="AB89" s="57">
        <f>ROUND(IF(AQ89="1",BH89,0),2)</f>
      </c>
      <c r="AC89" s="57">
        <f>ROUND(IF(AQ89="1",BI89,0),2)</f>
      </c>
      <c r="AD89" s="57">
        <f>ROUND(IF(AQ89="7",BH89,0),2)</f>
      </c>
      <c r="AE89" s="57">
        <f>ROUND(IF(AQ89="7",BI89,0),2)</f>
      </c>
      <c r="AF89" s="57">
        <f>ROUND(IF(AQ89="2",BH89,0),2)</f>
      </c>
      <c r="AG89" s="57">
        <f>ROUND(IF(AQ89="2",BI89,0),2)</f>
      </c>
      <c r="AH89" s="57">
        <f>ROUND(IF(AQ89="0",BJ89,0),2)</f>
      </c>
      <c r="AI89" s="33" t="s">
        <v>57</v>
      </c>
      <c r="AJ89" s="57">
        <f>IF(AN89=0,J89,0)</f>
      </c>
      <c r="AK89" s="57">
        <f>IF(AN89=12,J89,0)</f>
      </c>
      <c r="AL89" s="57">
        <f>IF(AN89=21,J89,0)</f>
      </c>
      <c r="AN89" s="57" t="n">
        <v>12</v>
      </c>
      <c r="AO89" s="57">
        <f>G89*0.456509764</f>
      </c>
      <c r="AP89" s="57">
        <f>G89*(1-0.456509764)</f>
      </c>
      <c r="AQ89" s="60" t="s">
        <v>58</v>
      </c>
      <c r="AV89" s="57">
        <f>ROUND(AW89+AX89,2)</f>
      </c>
      <c r="AW89" s="57">
        <f>ROUND(F89*AO89,2)</f>
      </c>
      <c r="AX89" s="57">
        <f>ROUND(F89*AP89,2)</f>
      </c>
      <c r="AY89" s="60" t="s">
        <v>166</v>
      </c>
      <c r="AZ89" s="60" t="s">
        <v>167</v>
      </c>
      <c r="BA89" s="33" t="s">
        <v>65</v>
      </c>
      <c r="BB89" s="61" t="n">
        <v>100088</v>
      </c>
      <c r="BC89" s="57">
        <f>AW89+AX89</f>
      </c>
      <c r="BD89" s="57">
        <f>G89/(100-BE89)*100</f>
      </c>
      <c r="BE89" s="57" t="n">
        <v>0</v>
      </c>
      <c r="BF89" s="57">
        <f>89</f>
      </c>
      <c r="BH89" s="57">
        <f>F89*AO89</f>
      </c>
      <c r="BI89" s="57">
        <f>F89*AP89</f>
      </c>
      <c r="BJ89" s="57">
        <f>F89*G89</f>
      </c>
      <c r="BK89" s="60" t="s">
        <v>66</v>
      </c>
      <c r="BL89" s="57" t="n">
        <v>62</v>
      </c>
      <c r="BW89" s="57" t="n">
        <v>12</v>
      </c>
      <c r="BX89" s="16" t="s">
        <v>228</v>
      </c>
    </row>
    <row r="90" customHeight="true" ht="13.5">
      <c r="A90" s="62"/>
      <c r="B90" s="63" t="s">
        <v>106</v>
      </c>
      <c r="C90" s="64" t="s">
        <v>232</v>
      </c>
      <c r="D90" s="65"/>
      <c r="E90" s="65"/>
      <c r="F90" s="65"/>
      <c r="G90" s="66"/>
      <c r="H90" s="65"/>
      <c r="I90" s="65"/>
      <c r="J90" s="65"/>
      <c r="K90" s="67"/>
    </row>
    <row r="91" ht="24.75">
      <c r="A91" s="10" t="s">
        <v>233</v>
      </c>
      <c r="B91" s="11" t="s">
        <v>138</v>
      </c>
      <c r="C91" s="16" t="s">
        <v>139</v>
      </c>
      <c r="D91" s="11"/>
      <c r="E91" s="11" t="s">
        <v>61</v>
      </c>
      <c r="F91" s="57" t="n">
        <v>163.32</v>
      </c>
      <c r="G91" s="58" t="n">
        <v>0</v>
      </c>
      <c r="H91" s="57">
        <f>ROUND(F91*AO91,2)</f>
      </c>
      <c r="I91" s="57">
        <f>ROUND(F91*AP91,2)</f>
      </c>
      <c r="J91" s="57">
        <f>ROUND(F91*G91,2)</f>
      </c>
      <c r="K91" s="59" t="s">
        <v>140</v>
      </c>
      <c r="Z91" s="57">
        <f>ROUND(IF(AQ91="5",BJ91,0),2)</f>
      </c>
      <c r="AB91" s="57">
        <f>ROUND(IF(AQ91="1",BH91,0),2)</f>
      </c>
      <c r="AC91" s="57">
        <f>ROUND(IF(AQ91="1",BI91,0),2)</f>
      </c>
      <c r="AD91" s="57">
        <f>ROUND(IF(AQ91="7",BH91,0),2)</f>
      </c>
      <c r="AE91" s="57">
        <f>ROUND(IF(AQ91="7",BI91,0),2)</f>
      </c>
      <c r="AF91" s="57">
        <f>ROUND(IF(AQ91="2",BH91,0),2)</f>
      </c>
      <c r="AG91" s="57">
        <f>ROUND(IF(AQ91="2",BI91,0),2)</f>
      </c>
      <c r="AH91" s="57">
        <f>ROUND(IF(AQ91="0",BJ91,0),2)</f>
      </c>
      <c r="AI91" s="33" t="s">
        <v>57</v>
      </c>
      <c r="AJ91" s="57">
        <f>IF(AN91=0,J91,0)</f>
      </c>
      <c r="AK91" s="57">
        <f>IF(AN91=12,J91,0)</f>
      </c>
      <c r="AL91" s="57">
        <f>IF(AN91=21,J91,0)</f>
      </c>
      <c r="AN91" s="57" t="n">
        <v>12</v>
      </c>
      <c r="AO91" s="57">
        <f>G91*1</f>
      </c>
      <c r="AP91" s="57">
        <f>G91*(1-1)</f>
      </c>
      <c r="AQ91" s="60" t="s">
        <v>58</v>
      </c>
      <c r="AV91" s="57">
        <f>ROUND(AW91+AX91,2)</f>
      </c>
      <c r="AW91" s="57">
        <f>ROUND(F91*AO91,2)</f>
      </c>
      <c r="AX91" s="57">
        <f>ROUND(F91*AP91,2)</f>
      </c>
      <c r="AY91" s="60" t="s">
        <v>166</v>
      </c>
      <c r="AZ91" s="60" t="s">
        <v>167</v>
      </c>
      <c r="BA91" s="33" t="s">
        <v>65</v>
      </c>
      <c r="BB91" s="61" t="n">
        <v>100088</v>
      </c>
      <c r="BC91" s="57">
        <f>AW91+AX91</f>
      </c>
      <c r="BD91" s="57">
        <f>G91/(100-BE91)*100</f>
      </c>
      <c r="BE91" s="57" t="n">
        <v>0</v>
      </c>
      <c r="BF91" s="57">
        <f>91</f>
      </c>
      <c r="BH91" s="57">
        <f>F91*AO91</f>
      </c>
      <c r="BI91" s="57">
        <f>F91*AP91</f>
      </c>
      <c r="BJ91" s="57">
        <f>F91*G91</f>
      </c>
      <c r="BK91" s="60" t="s">
        <v>66</v>
      </c>
      <c r="BL91" s="57" t="n">
        <v>62</v>
      </c>
      <c r="BW91" s="57" t="n">
        <v>12</v>
      </c>
      <c r="BX91" s="16" t="s">
        <v>139</v>
      </c>
    </row>
    <row r="92" customHeight="true" ht="13.5">
      <c r="A92" s="62"/>
      <c r="B92" s="63" t="s">
        <v>106</v>
      </c>
      <c r="C92" s="64" t="s">
        <v>141</v>
      </c>
      <c r="D92" s="65"/>
      <c r="E92" s="65"/>
      <c r="F92" s="65"/>
      <c r="G92" s="66"/>
      <c r="H92" s="65"/>
      <c r="I92" s="65"/>
      <c r="J92" s="65"/>
      <c r="K92" s="67"/>
    </row>
    <row r="93">
      <c r="A93" s="10" t="s">
        <v>234</v>
      </c>
      <c r="B93" s="11" t="s">
        <v>138</v>
      </c>
      <c r="C93" s="16" t="s">
        <v>235</v>
      </c>
      <c r="D93" s="11"/>
      <c r="E93" s="11" t="s">
        <v>126</v>
      </c>
      <c r="F93" s="57" t="n">
        <v>30.85</v>
      </c>
      <c r="G93" s="58" t="n">
        <v>0</v>
      </c>
      <c r="H93" s="57">
        <f>ROUND(F93*AO93,2)</f>
      </c>
      <c r="I93" s="57">
        <f>ROUND(F93*AP93,2)</f>
      </c>
      <c r="J93" s="57">
        <f>ROUND(F93*G93,2)</f>
      </c>
      <c r="K93" s="59" t="s">
        <v>140</v>
      </c>
      <c r="Z93" s="57">
        <f>ROUND(IF(AQ93="5",BJ93,0),2)</f>
      </c>
      <c r="AB93" s="57">
        <f>ROUND(IF(AQ93="1",BH93,0),2)</f>
      </c>
      <c r="AC93" s="57">
        <f>ROUND(IF(AQ93="1",BI93,0),2)</f>
      </c>
      <c r="AD93" s="57">
        <f>ROUND(IF(AQ93="7",BH93,0),2)</f>
      </c>
      <c r="AE93" s="57">
        <f>ROUND(IF(AQ93="7",BI93,0),2)</f>
      </c>
      <c r="AF93" s="57">
        <f>ROUND(IF(AQ93="2",BH93,0),2)</f>
      </c>
      <c r="AG93" s="57">
        <f>ROUND(IF(AQ93="2",BI93,0),2)</f>
      </c>
      <c r="AH93" s="57">
        <f>ROUND(IF(AQ93="0",BJ93,0),2)</f>
      </c>
      <c r="AI93" s="33" t="s">
        <v>57</v>
      </c>
      <c r="AJ93" s="57">
        <f>IF(AN93=0,J93,0)</f>
      </c>
      <c r="AK93" s="57">
        <f>IF(AN93=12,J93,0)</f>
      </c>
      <c r="AL93" s="57">
        <f>IF(AN93=21,J93,0)</f>
      </c>
      <c r="AN93" s="57" t="n">
        <v>12</v>
      </c>
      <c r="AO93" s="57">
        <f>G93*0.520025982</f>
      </c>
      <c r="AP93" s="57">
        <f>G93*(1-0.520025982)</f>
      </c>
      <c r="AQ93" s="60" t="s">
        <v>58</v>
      </c>
      <c r="AV93" s="57">
        <f>ROUND(AW93+AX93,2)</f>
      </c>
      <c r="AW93" s="57">
        <f>ROUND(F93*AO93,2)</f>
      </c>
      <c r="AX93" s="57">
        <f>ROUND(F93*AP93,2)</f>
      </c>
      <c r="AY93" s="60" t="s">
        <v>166</v>
      </c>
      <c r="AZ93" s="60" t="s">
        <v>167</v>
      </c>
      <c r="BA93" s="33" t="s">
        <v>65</v>
      </c>
      <c r="BB93" s="61" t="n">
        <v>100088</v>
      </c>
      <c r="BC93" s="57">
        <f>AW93+AX93</f>
      </c>
      <c r="BD93" s="57">
        <f>G93/(100-BE93)*100</f>
      </c>
      <c r="BE93" s="57" t="n">
        <v>0</v>
      </c>
      <c r="BF93" s="57">
        <f>93</f>
      </c>
      <c r="BH93" s="57">
        <f>F93*AO93</f>
      </c>
      <c r="BI93" s="57">
        <f>F93*AP93</f>
      </c>
      <c r="BJ93" s="57">
        <f>F93*G93</f>
      </c>
      <c r="BK93" s="60" t="s">
        <v>66</v>
      </c>
      <c r="BL93" s="57" t="n">
        <v>62</v>
      </c>
      <c r="BW93" s="57" t="n">
        <v>12</v>
      </c>
      <c r="BX93" s="16" t="s">
        <v>235</v>
      </c>
    </row>
    <row r="94">
      <c r="A94" s="10" t="s">
        <v>236</v>
      </c>
      <c r="B94" s="11" t="s">
        <v>237</v>
      </c>
      <c r="C94" s="16" t="s">
        <v>238</v>
      </c>
      <c r="D94" s="11"/>
      <c r="E94" s="11" t="s">
        <v>61</v>
      </c>
      <c r="F94" s="57" t="n">
        <v>164.955</v>
      </c>
      <c r="G94" s="58" t="n">
        <v>0</v>
      </c>
      <c r="H94" s="57">
        <f>ROUND(F94*AO94,2)</f>
      </c>
      <c r="I94" s="57">
        <f>ROUND(F94*AP94,2)</f>
      </c>
      <c r="J94" s="57">
        <f>ROUND(F94*G94,2)</f>
      </c>
      <c r="K94" s="59" t="s">
        <v>62</v>
      </c>
      <c r="Z94" s="57">
        <f>ROUND(IF(AQ94="5",BJ94,0),2)</f>
      </c>
      <c r="AB94" s="57">
        <f>ROUND(IF(AQ94="1",BH94,0),2)</f>
      </c>
      <c r="AC94" s="57">
        <f>ROUND(IF(AQ94="1",BI94,0),2)</f>
      </c>
      <c r="AD94" s="57">
        <f>ROUND(IF(AQ94="7",BH94,0),2)</f>
      </c>
      <c r="AE94" s="57">
        <f>ROUND(IF(AQ94="7",BI94,0),2)</f>
      </c>
      <c r="AF94" s="57">
        <f>ROUND(IF(AQ94="2",BH94,0),2)</f>
      </c>
      <c r="AG94" s="57">
        <f>ROUND(IF(AQ94="2",BI94,0),2)</f>
      </c>
      <c r="AH94" s="57">
        <f>ROUND(IF(AQ94="0",BJ94,0),2)</f>
      </c>
      <c r="AI94" s="33" t="s">
        <v>57</v>
      </c>
      <c r="AJ94" s="57">
        <f>IF(AN94=0,J94,0)</f>
      </c>
      <c r="AK94" s="57">
        <f>IF(AN94=12,J94,0)</f>
      </c>
      <c r="AL94" s="57">
        <f>IF(AN94=21,J94,0)</f>
      </c>
      <c r="AN94" s="57" t="n">
        <v>12</v>
      </c>
      <c r="AO94" s="57">
        <f>G94*0.51689927</f>
      </c>
      <c r="AP94" s="57">
        <f>G94*(1-0.51689927)</f>
      </c>
      <c r="AQ94" s="60" t="s">
        <v>58</v>
      </c>
      <c r="AV94" s="57">
        <f>ROUND(AW94+AX94,2)</f>
      </c>
      <c r="AW94" s="57">
        <f>ROUND(F94*AO94,2)</f>
      </c>
      <c r="AX94" s="57">
        <f>ROUND(F94*AP94,2)</f>
      </c>
      <c r="AY94" s="60" t="s">
        <v>166</v>
      </c>
      <c r="AZ94" s="60" t="s">
        <v>167</v>
      </c>
      <c r="BA94" s="33" t="s">
        <v>65</v>
      </c>
      <c r="BB94" s="61" t="n">
        <v>100088</v>
      </c>
      <c r="BC94" s="57">
        <f>AW94+AX94</f>
      </c>
      <c r="BD94" s="57">
        <f>G94/(100-BE94)*100</f>
      </c>
      <c r="BE94" s="57" t="n">
        <v>0</v>
      </c>
      <c r="BF94" s="57">
        <f>94</f>
      </c>
      <c r="BH94" s="57">
        <f>F94*AO94</f>
      </c>
      <c r="BI94" s="57">
        <f>F94*AP94</f>
      </c>
      <c r="BJ94" s="57">
        <f>F94*G94</f>
      </c>
      <c r="BK94" s="60" t="s">
        <v>66</v>
      </c>
      <c r="BL94" s="57" t="n">
        <v>62</v>
      </c>
      <c r="BW94" s="57" t="n">
        <v>12</v>
      </c>
      <c r="BX94" s="16" t="s">
        <v>238</v>
      </c>
    </row>
    <row r="95" customHeight="true" ht="13.5">
      <c r="A95" s="62"/>
      <c r="B95" s="63" t="s">
        <v>106</v>
      </c>
      <c r="C95" s="64" t="s">
        <v>239</v>
      </c>
      <c r="D95" s="65"/>
      <c r="E95" s="65"/>
      <c r="F95" s="65"/>
      <c r="G95" s="66"/>
      <c r="H95" s="65"/>
      <c r="I95" s="65"/>
      <c r="J95" s="65"/>
      <c r="K95" s="67"/>
    </row>
    <row r="96">
      <c r="A96" s="10" t="s">
        <v>240</v>
      </c>
      <c r="B96" s="11" t="s">
        <v>241</v>
      </c>
      <c r="C96" s="16" t="s">
        <v>242</v>
      </c>
      <c r="D96" s="11"/>
      <c r="E96" s="11" t="s">
        <v>61</v>
      </c>
      <c r="F96" s="57" t="n">
        <v>88.995</v>
      </c>
      <c r="G96" s="58" t="n">
        <v>0</v>
      </c>
      <c r="H96" s="57">
        <f>ROUND(F96*AO96,2)</f>
      </c>
      <c r="I96" s="57">
        <f>ROUND(F96*AP96,2)</f>
      </c>
      <c r="J96" s="57">
        <f>ROUND(F96*G96,2)</f>
      </c>
      <c r="K96" s="59" t="s">
        <v>62</v>
      </c>
      <c r="Z96" s="57">
        <f>ROUND(IF(AQ96="5",BJ96,0),2)</f>
      </c>
      <c r="AB96" s="57">
        <f>ROUND(IF(AQ96="1",BH96,0),2)</f>
      </c>
      <c r="AC96" s="57">
        <f>ROUND(IF(AQ96="1",BI96,0),2)</f>
      </c>
      <c r="AD96" s="57">
        <f>ROUND(IF(AQ96="7",BH96,0),2)</f>
      </c>
      <c r="AE96" s="57">
        <f>ROUND(IF(AQ96="7",BI96,0),2)</f>
      </c>
      <c r="AF96" s="57">
        <f>ROUND(IF(AQ96="2",BH96,0),2)</f>
      </c>
      <c r="AG96" s="57">
        <f>ROUND(IF(AQ96="2",BI96,0),2)</f>
      </c>
      <c r="AH96" s="57">
        <f>ROUND(IF(AQ96="0",BJ96,0),2)</f>
      </c>
      <c r="AI96" s="33" t="s">
        <v>57</v>
      </c>
      <c r="AJ96" s="57">
        <f>IF(AN96=0,J96,0)</f>
      </c>
      <c r="AK96" s="57">
        <f>IF(AN96=12,J96,0)</f>
      </c>
      <c r="AL96" s="57">
        <f>IF(AN96=21,J96,0)</f>
      </c>
      <c r="AN96" s="57" t="n">
        <v>12</v>
      </c>
      <c r="AO96" s="57">
        <f>G96*0.251246529</f>
      </c>
      <c r="AP96" s="57">
        <f>G96*(1-0.251246529)</f>
      </c>
      <c r="AQ96" s="60" t="s">
        <v>58</v>
      </c>
      <c r="AV96" s="57">
        <f>ROUND(AW96+AX96,2)</f>
      </c>
      <c r="AW96" s="57">
        <f>ROUND(F96*AO96,2)</f>
      </c>
      <c r="AX96" s="57">
        <f>ROUND(F96*AP96,2)</f>
      </c>
      <c r="AY96" s="60" t="s">
        <v>166</v>
      </c>
      <c r="AZ96" s="60" t="s">
        <v>167</v>
      </c>
      <c r="BA96" s="33" t="s">
        <v>65</v>
      </c>
      <c r="BB96" s="61" t="n">
        <v>100088</v>
      </c>
      <c r="BC96" s="57">
        <f>AW96+AX96</f>
      </c>
      <c r="BD96" s="57">
        <f>G96/(100-BE96)*100</f>
      </c>
      <c r="BE96" s="57" t="n">
        <v>0</v>
      </c>
      <c r="BF96" s="57">
        <f>96</f>
      </c>
      <c r="BH96" s="57">
        <f>F96*AO96</f>
      </c>
      <c r="BI96" s="57">
        <f>F96*AP96</f>
      </c>
      <c r="BJ96" s="57">
        <f>F96*G96</f>
      </c>
      <c r="BK96" s="60" t="s">
        <v>66</v>
      </c>
      <c r="BL96" s="57" t="n">
        <v>62</v>
      </c>
      <c r="BW96" s="57" t="n">
        <v>12</v>
      </c>
      <c r="BX96" s="16" t="s">
        <v>242</v>
      </c>
    </row>
    <row r="97" customHeight="true" ht="13.5">
      <c r="A97" s="62"/>
      <c r="B97" s="63" t="s">
        <v>106</v>
      </c>
      <c r="C97" s="64" t="s">
        <v>243</v>
      </c>
      <c r="D97" s="65"/>
      <c r="E97" s="65"/>
      <c r="F97" s="65"/>
      <c r="G97" s="66"/>
      <c r="H97" s="65"/>
      <c r="I97" s="65"/>
      <c r="J97" s="65"/>
      <c r="K97" s="67"/>
    </row>
    <row r="98">
      <c r="A98" s="10" t="s">
        <v>244</v>
      </c>
      <c r="B98" s="11" t="s">
        <v>245</v>
      </c>
      <c r="C98" s="16" t="s">
        <v>246</v>
      </c>
      <c r="D98" s="11"/>
      <c r="E98" s="11" t="s">
        <v>126</v>
      </c>
      <c r="F98" s="57" t="n">
        <v>50.4</v>
      </c>
      <c r="G98" s="58" t="n">
        <v>0</v>
      </c>
      <c r="H98" s="57">
        <f>ROUND(F98*AO98,2)</f>
      </c>
      <c r="I98" s="57">
        <f>ROUND(F98*AP98,2)</f>
      </c>
      <c r="J98" s="57">
        <f>ROUND(F98*G98,2)</f>
      </c>
      <c r="K98" s="59" t="s">
        <v>62</v>
      </c>
      <c r="Z98" s="57">
        <f>ROUND(IF(AQ98="5",BJ98,0),2)</f>
      </c>
      <c r="AB98" s="57">
        <f>ROUND(IF(AQ98="1",BH98,0),2)</f>
      </c>
      <c r="AC98" s="57">
        <f>ROUND(IF(AQ98="1",BI98,0),2)</f>
      </c>
      <c r="AD98" s="57">
        <f>ROUND(IF(AQ98="7",BH98,0),2)</f>
      </c>
      <c r="AE98" s="57">
        <f>ROUND(IF(AQ98="7",BI98,0),2)</f>
      </c>
      <c r="AF98" s="57">
        <f>ROUND(IF(AQ98="2",BH98,0),2)</f>
      </c>
      <c r="AG98" s="57">
        <f>ROUND(IF(AQ98="2",BI98,0),2)</f>
      </c>
      <c r="AH98" s="57">
        <f>ROUND(IF(AQ98="0",BJ98,0),2)</f>
      </c>
      <c r="AI98" s="33" t="s">
        <v>57</v>
      </c>
      <c r="AJ98" s="57">
        <f>IF(AN98=0,J98,0)</f>
      </c>
      <c r="AK98" s="57">
        <f>IF(AN98=12,J98,0)</f>
      </c>
      <c r="AL98" s="57">
        <f>IF(AN98=21,J98,0)</f>
      </c>
      <c r="AN98" s="57" t="n">
        <v>12</v>
      </c>
      <c r="AO98" s="57">
        <f>G98*0</f>
      </c>
      <c r="AP98" s="57">
        <f>G98*(1-0)</f>
      </c>
      <c r="AQ98" s="60" t="s">
        <v>58</v>
      </c>
      <c r="AV98" s="57">
        <f>ROUND(AW98+AX98,2)</f>
      </c>
      <c r="AW98" s="57">
        <f>ROUND(F98*AO98,2)</f>
      </c>
      <c r="AX98" s="57">
        <f>ROUND(F98*AP98,2)</f>
      </c>
      <c r="AY98" s="60" t="s">
        <v>166</v>
      </c>
      <c r="AZ98" s="60" t="s">
        <v>167</v>
      </c>
      <c r="BA98" s="33" t="s">
        <v>65</v>
      </c>
      <c r="BB98" s="61" t="n">
        <v>100088</v>
      </c>
      <c r="BC98" s="57">
        <f>AW98+AX98</f>
      </c>
      <c r="BD98" s="57">
        <f>G98/(100-BE98)*100</f>
      </c>
      <c r="BE98" s="57" t="n">
        <v>0</v>
      </c>
      <c r="BF98" s="57">
        <f>98</f>
      </c>
      <c r="BH98" s="57">
        <f>F98*AO98</f>
      </c>
      <c r="BI98" s="57">
        <f>F98*AP98</f>
      </c>
      <c r="BJ98" s="57">
        <f>F98*G98</f>
      </c>
      <c r="BK98" s="60" t="s">
        <v>66</v>
      </c>
      <c r="BL98" s="57" t="n">
        <v>62</v>
      </c>
      <c r="BW98" s="57" t="n">
        <v>12</v>
      </c>
      <c r="BX98" s="16" t="s">
        <v>246</v>
      </c>
    </row>
    <row r="99">
      <c r="A99" s="10" t="s">
        <v>247</v>
      </c>
      <c r="B99" s="11" t="s">
        <v>248</v>
      </c>
      <c r="C99" s="16" t="s">
        <v>249</v>
      </c>
      <c r="D99" s="11"/>
      <c r="E99" s="11" t="s">
        <v>97</v>
      </c>
      <c r="F99" s="57" t="n">
        <v>30.24</v>
      </c>
      <c r="G99" s="58" t="n">
        <v>0</v>
      </c>
      <c r="H99" s="57">
        <f>ROUND(F99*AO99,2)</f>
      </c>
      <c r="I99" s="57">
        <f>ROUND(F99*AP99,2)</f>
      </c>
      <c r="J99" s="57">
        <f>ROUND(F99*G99,2)</f>
      </c>
      <c r="K99" s="59" t="s">
        <v>62</v>
      </c>
      <c r="Z99" s="57">
        <f>ROUND(IF(AQ99="5",BJ99,0),2)</f>
      </c>
      <c r="AB99" s="57">
        <f>ROUND(IF(AQ99="1",BH99,0),2)</f>
      </c>
      <c r="AC99" s="57">
        <f>ROUND(IF(AQ99="1",BI99,0),2)</f>
      </c>
      <c r="AD99" s="57">
        <f>ROUND(IF(AQ99="7",BH99,0),2)</f>
      </c>
      <c r="AE99" s="57">
        <f>ROUND(IF(AQ99="7",BI99,0),2)</f>
      </c>
      <c r="AF99" s="57">
        <f>ROUND(IF(AQ99="2",BH99,0),2)</f>
      </c>
      <c r="AG99" s="57">
        <f>ROUND(IF(AQ99="2",BI99,0),2)</f>
      </c>
      <c r="AH99" s="57">
        <f>ROUND(IF(AQ99="0",BJ99,0),2)</f>
      </c>
      <c r="AI99" s="33" t="s">
        <v>57</v>
      </c>
      <c r="AJ99" s="57">
        <f>IF(AN99=0,J99,0)</f>
      </c>
      <c r="AK99" s="57">
        <f>IF(AN99=12,J99,0)</f>
      </c>
      <c r="AL99" s="57">
        <f>IF(AN99=21,J99,0)</f>
      </c>
      <c r="AN99" s="57" t="n">
        <v>12</v>
      </c>
      <c r="AO99" s="57">
        <f>G99*1</f>
      </c>
      <c r="AP99" s="57">
        <f>G99*(1-1)</f>
      </c>
      <c r="AQ99" s="60" t="s">
        <v>58</v>
      </c>
      <c r="AV99" s="57">
        <f>ROUND(AW99+AX99,2)</f>
      </c>
      <c r="AW99" s="57">
        <f>ROUND(F99*AO99,2)</f>
      </c>
      <c r="AX99" s="57">
        <f>ROUND(F99*AP99,2)</f>
      </c>
      <c r="AY99" s="60" t="s">
        <v>166</v>
      </c>
      <c r="AZ99" s="60" t="s">
        <v>167</v>
      </c>
      <c r="BA99" s="33" t="s">
        <v>65</v>
      </c>
      <c r="BC99" s="57">
        <f>AW99+AX99</f>
      </c>
      <c r="BD99" s="57">
        <f>G99/(100-BE99)*100</f>
      </c>
      <c r="BE99" s="57" t="n">
        <v>0</v>
      </c>
      <c r="BF99" s="57">
        <f>99</f>
      </c>
      <c r="BH99" s="57">
        <f>F99*AO99</f>
      </c>
      <c r="BI99" s="57">
        <f>F99*AP99</f>
      </c>
      <c r="BJ99" s="57">
        <f>F99*G99</f>
      </c>
      <c r="BK99" s="60" t="s">
        <v>98</v>
      </c>
      <c r="BL99" s="57" t="n">
        <v>62</v>
      </c>
      <c r="BW99" s="57" t="n">
        <v>12</v>
      </c>
      <c r="BX99" s="16" t="s">
        <v>249</v>
      </c>
    </row>
    <row r="100">
      <c r="A100" s="10" t="s">
        <v>250</v>
      </c>
      <c r="B100" s="11" t="s">
        <v>251</v>
      </c>
      <c r="C100" s="16" t="s">
        <v>252</v>
      </c>
      <c r="D100" s="11"/>
      <c r="E100" s="11" t="s">
        <v>126</v>
      </c>
      <c r="F100" s="57" t="n">
        <v>55.44</v>
      </c>
      <c r="G100" s="58" t="n">
        <v>0</v>
      </c>
      <c r="H100" s="57">
        <f>ROUND(F100*AO100,2)</f>
      </c>
      <c r="I100" s="57">
        <f>ROUND(F100*AP100,2)</f>
      </c>
      <c r="J100" s="57">
        <f>ROUND(F100*G100,2)</f>
      </c>
      <c r="K100" s="59" t="s">
        <v>62</v>
      </c>
      <c r="Z100" s="57">
        <f>ROUND(IF(AQ100="5",BJ100,0),2)</f>
      </c>
      <c r="AB100" s="57">
        <f>ROUND(IF(AQ100="1",BH100,0),2)</f>
      </c>
      <c r="AC100" s="57">
        <f>ROUND(IF(AQ100="1",BI100,0),2)</f>
      </c>
      <c r="AD100" s="57">
        <f>ROUND(IF(AQ100="7",BH100,0),2)</f>
      </c>
      <c r="AE100" s="57">
        <f>ROUND(IF(AQ100="7",BI100,0),2)</f>
      </c>
      <c r="AF100" s="57">
        <f>ROUND(IF(AQ100="2",BH100,0),2)</f>
      </c>
      <c r="AG100" s="57">
        <f>ROUND(IF(AQ100="2",BI100,0),2)</f>
      </c>
      <c r="AH100" s="57">
        <f>ROUND(IF(AQ100="0",BJ100,0),2)</f>
      </c>
      <c r="AI100" s="33" t="s">
        <v>57</v>
      </c>
      <c r="AJ100" s="57">
        <f>IF(AN100=0,J100,0)</f>
      </c>
      <c r="AK100" s="57">
        <f>IF(AN100=12,J100,0)</f>
      </c>
      <c r="AL100" s="57">
        <f>IF(AN100=21,J100,0)</f>
      </c>
      <c r="AN100" s="57" t="n">
        <v>12</v>
      </c>
      <c r="AO100" s="57">
        <f>G100*1</f>
      </c>
      <c r="AP100" s="57">
        <f>G100*(1-1)</f>
      </c>
      <c r="AQ100" s="60" t="s">
        <v>58</v>
      </c>
      <c r="AV100" s="57">
        <f>ROUND(AW100+AX100,2)</f>
      </c>
      <c r="AW100" s="57">
        <f>ROUND(F100*AO100,2)</f>
      </c>
      <c r="AX100" s="57">
        <f>ROUND(F100*AP100,2)</f>
      </c>
      <c r="AY100" s="60" t="s">
        <v>166</v>
      </c>
      <c r="AZ100" s="60" t="s">
        <v>167</v>
      </c>
      <c r="BA100" s="33" t="s">
        <v>65</v>
      </c>
      <c r="BC100" s="57">
        <f>AW100+AX100</f>
      </c>
      <c r="BD100" s="57">
        <f>G100/(100-BE100)*100</f>
      </c>
      <c r="BE100" s="57" t="n">
        <v>0</v>
      </c>
      <c r="BF100" s="57">
        <f>100</f>
      </c>
      <c r="BH100" s="57">
        <f>F100*AO100</f>
      </c>
      <c r="BI100" s="57">
        <f>F100*AP100</f>
      </c>
      <c r="BJ100" s="57">
        <f>F100*G100</f>
      </c>
      <c r="BK100" s="60" t="s">
        <v>98</v>
      </c>
      <c r="BL100" s="57" t="n">
        <v>62</v>
      </c>
      <c r="BW100" s="57" t="n">
        <v>12</v>
      </c>
      <c r="BX100" s="16" t="s">
        <v>252</v>
      </c>
    </row>
    <row r="101">
      <c r="A101" s="10" t="s">
        <v>253</v>
      </c>
      <c r="B101" s="11" t="s">
        <v>254</v>
      </c>
      <c r="C101" s="16" t="s">
        <v>255</v>
      </c>
      <c r="D101" s="11"/>
      <c r="E101" s="11" t="s">
        <v>126</v>
      </c>
      <c r="F101" s="57" t="n">
        <v>777.84</v>
      </c>
      <c r="G101" s="58" t="n">
        <v>0</v>
      </c>
      <c r="H101" s="57">
        <f>ROUND(F101*AO101,2)</f>
      </c>
      <c r="I101" s="57">
        <f>ROUND(F101*AP101,2)</f>
      </c>
      <c r="J101" s="57">
        <f>ROUND(F101*G101,2)</f>
      </c>
      <c r="K101" s="59" t="s">
        <v>62</v>
      </c>
      <c r="Z101" s="57">
        <f>ROUND(IF(AQ101="5",BJ101,0),2)</f>
      </c>
      <c r="AB101" s="57">
        <f>ROUND(IF(AQ101="1",BH101,0),2)</f>
      </c>
      <c r="AC101" s="57">
        <f>ROUND(IF(AQ101="1",BI101,0),2)</f>
      </c>
      <c r="AD101" s="57">
        <f>ROUND(IF(AQ101="7",BH101,0),2)</f>
      </c>
      <c r="AE101" s="57">
        <f>ROUND(IF(AQ101="7",BI101,0),2)</f>
      </c>
      <c r="AF101" s="57">
        <f>ROUND(IF(AQ101="2",BH101,0),2)</f>
      </c>
      <c r="AG101" s="57">
        <f>ROUND(IF(AQ101="2",BI101,0),2)</f>
      </c>
      <c r="AH101" s="57">
        <f>ROUND(IF(AQ101="0",BJ101,0),2)</f>
      </c>
      <c r="AI101" s="33" t="s">
        <v>57</v>
      </c>
      <c r="AJ101" s="57">
        <f>IF(AN101=0,J101,0)</f>
      </c>
      <c r="AK101" s="57">
        <f>IF(AN101=12,J101,0)</f>
      </c>
      <c r="AL101" s="57">
        <f>IF(AN101=21,J101,0)</f>
      </c>
      <c r="AN101" s="57" t="n">
        <v>12</v>
      </c>
      <c r="AO101" s="57">
        <f>G101*0</f>
      </c>
      <c r="AP101" s="57">
        <f>G101*(1-0)</f>
      </c>
      <c r="AQ101" s="60" t="s">
        <v>58</v>
      </c>
      <c r="AV101" s="57">
        <f>ROUND(AW101+AX101,2)</f>
      </c>
      <c r="AW101" s="57">
        <f>ROUND(F101*AO101,2)</f>
      </c>
      <c r="AX101" s="57">
        <f>ROUND(F101*AP101,2)</f>
      </c>
      <c r="AY101" s="60" t="s">
        <v>166</v>
      </c>
      <c r="AZ101" s="60" t="s">
        <v>167</v>
      </c>
      <c r="BA101" s="33" t="s">
        <v>65</v>
      </c>
      <c r="BB101" s="61" t="n">
        <v>100088</v>
      </c>
      <c r="BC101" s="57">
        <f>AW101+AX101</f>
      </c>
      <c r="BD101" s="57">
        <f>G101/(100-BE101)*100</f>
      </c>
      <c r="BE101" s="57" t="n">
        <v>0</v>
      </c>
      <c r="BF101" s="57">
        <f>101</f>
      </c>
      <c r="BH101" s="57">
        <f>F101*AO101</f>
      </c>
      <c r="BI101" s="57">
        <f>F101*AP101</f>
      </c>
      <c r="BJ101" s="57">
        <f>F101*G101</f>
      </c>
      <c r="BK101" s="60" t="s">
        <v>66</v>
      </c>
      <c r="BL101" s="57" t="n">
        <v>62</v>
      </c>
      <c r="BW101" s="57" t="n">
        <v>12</v>
      </c>
      <c r="BX101" s="16" t="s">
        <v>255</v>
      </c>
    </row>
    <row r="102">
      <c r="A102" s="10" t="s">
        <v>99</v>
      </c>
      <c r="B102" s="11" t="s">
        <v>248</v>
      </c>
      <c r="C102" s="16" t="s">
        <v>249</v>
      </c>
      <c r="D102" s="11"/>
      <c r="E102" s="11" t="s">
        <v>97</v>
      </c>
      <c r="F102" s="57" t="n">
        <v>466.704</v>
      </c>
      <c r="G102" s="58" t="n">
        <v>0</v>
      </c>
      <c r="H102" s="57">
        <f>ROUND(F102*AO102,2)</f>
      </c>
      <c r="I102" s="57">
        <f>ROUND(F102*AP102,2)</f>
      </c>
      <c r="J102" s="57">
        <f>ROUND(F102*G102,2)</f>
      </c>
      <c r="K102" s="59" t="s">
        <v>62</v>
      </c>
      <c r="Z102" s="57">
        <f>ROUND(IF(AQ102="5",BJ102,0),2)</f>
      </c>
      <c r="AB102" s="57">
        <f>ROUND(IF(AQ102="1",BH102,0),2)</f>
      </c>
      <c r="AC102" s="57">
        <f>ROUND(IF(AQ102="1",BI102,0),2)</f>
      </c>
      <c r="AD102" s="57">
        <f>ROUND(IF(AQ102="7",BH102,0),2)</f>
      </c>
      <c r="AE102" s="57">
        <f>ROUND(IF(AQ102="7",BI102,0),2)</f>
      </c>
      <c r="AF102" s="57">
        <f>ROUND(IF(AQ102="2",BH102,0),2)</f>
      </c>
      <c r="AG102" s="57">
        <f>ROUND(IF(AQ102="2",BI102,0),2)</f>
      </c>
      <c r="AH102" s="57">
        <f>ROUND(IF(AQ102="0",BJ102,0),2)</f>
      </c>
      <c r="AI102" s="33" t="s">
        <v>57</v>
      </c>
      <c r="AJ102" s="57">
        <f>IF(AN102=0,J102,0)</f>
      </c>
      <c r="AK102" s="57">
        <f>IF(AN102=12,J102,0)</f>
      </c>
      <c r="AL102" s="57">
        <f>IF(AN102=21,J102,0)</f>
      </c>
      <c r="AN102" s="57" t="n">
        <v>12</v>
      </c>
      <c r="AO102" s="57">
        <f>G102*1</f>
      </c>
      <c r="AP102" s="57">
        <f>G102*(1-1)</f>
      </c>
      <c r="AQ102" s="60" t="s">
        <v>58</v>
      </c>
      <c r="AV102" s="57">
        <f>ROUND(AW102+AX102,2)</f>
      </c>
      <c r="AW102" s="57">
        <f>ROUND(F102*AO102,2)</f>
      </c>
      <c r="AX102" s="57">
        <f>ROUND(F102*AP102,2)</f>
      </c>
      <c r="AY102" s="60" t="s">
        <v>166</v>
      </c>
      <c r="AZ102" s="60" t="s">
        <v>167</v>
      </c>
      <c r="BA102" s="33" t="s">
        <v>65</v>
      </c>
      <c r="BC102" s="57">
        <f>AW102+AX102</f>
      </c>
      <c r="BD102" s="57">
        <f>G102/(100-BE102)*100</f>
      </c>
      <c r="BE102" s="57" t="n">
        <v>0</v>
      </c>
      <c r="BF102" s="57">
        <f>102</f>
      </c>
      <c r="BH102" s="57">
        <f>F102*AO102</f>
      </c>
      <c r="BI102" s="57">
        <f>F102*AP102</f>
      </c>
      <c r="BJ102" s="57">
        <f>F102*G102</f>
      </c>
      <c r="BK102" s="60" t="s">
        <v>98</v>
      </c>
      <c r="BL102" s="57" t="n">
        <v>62</v>
      </c>
      <c r="BW102" s="57" t="n">
        <v>12</v>
      </c>
      <c r="BX102" s="16" t="s">
        <v>249</v>
      </c>
    </row>
    <row r="103">
      <c r="A103" s="10" t="s">
        <v>256</v>
      </c>
      <c r="B103" s="11" t="s">
        <v>257</v>
      </c>
      <c r="C103" s="16" t="s">
        <v>258</v>
      </c>
      <c r="D103" s="11"/>
      <c r="E103" s="11" t="s">
        <v>126</v>
      </c>
      <c r="F103" s="57" t="n">
        <v>196.174</v>
      </c>
      <c r="G103" s="58" t="n">
        <v>0</v>
      </c>
      <c r="H103" s="57">
        <f>ROUND(F103*AO103,2)</f>
      </c>
      <c r="I103" s="57">
        <f>ROUND(F103*AP103,2)</f>
      </c>
      <c r="J103" s="57">
        <f>ROUND(F103*G103,2)</f>
      </c>
      <c r="K103" s="59" t="s">
        <v>62</v>
      </c>
      <c r="Z103" s="57">
        <f>ROUND(IF(AQ103="5",BJ103,0),2)</f>
      </c>
      <c r="AB103" s="57">
        <f>ROUND(IF(AQ103="1",BH103,0),2)</f>
      </c>
      <c r="AC103" s="57">
        <f>ROUND(IF(AQ103="1",BI103,0),2)</f>
      </c>
      <c r="AD103" s="57">
        <f>ROUND(IF(AQ103="7",BH103,0),2)</f>
      </c>
      <c r="AE103" s="57">
        <f>ROUND(IF(AQ103="7",BI103,0),2)</f>
      </c>
      <c r="AF103" s="57">
        <f>ROUND(IF(AQ103="2",BH103,0),2)</f>
      </c>
      <c r="AG103" s="57">
        <f>ROUND(IF(AQ103="2",BI103,0),2)</f>
      </c>
      <c r="AH103" s="57">
        <f>ROUND(IF(AQ103="0",BJ103,0),2)</f>
      </c>
      <c r="AI103" s="33" t="s">
        <v>57</v>
      </c>
      <c r="AJ103" s="57">
        <f>IF(AN103=0,J103,0)</f>
      </c>
      <c r="AK103" s="57">
        <f>IF(AN103=12,J103,0)</f>
      </c>
      <c r="AL103" s="57">
        <f>IF(AN103=21,J103,0)</f>
      </c>
      <c r="AN103" s="57" t="n">
        <v>12</v>
      </c>
      <c r="AO103" s="57">
        <f>G103*1</f>
      </c>
      <c r="AP103" s="57">
        <f>G103*(1-1)</f>
      </c>
      <c r="AQ103" s="60" t="s">
        <v>58</v>
      </c>
      <c r="AV103" s="57">
        <f>ROUND(AW103+AX103,2)</f>
      </c>
      <c r="AW103" s="57">
        <f>ROUND(F103*AO103,2)</f>
      </c>
      <c r="AX103" s="57">
        <f>ROUND(F103*AP103,2)</f>
      </c>
      <c r="AY103" s="60" t="s">
        <v>166</v>
      </c>
      <c r="AZ103" s="60" t="s">
        <v>167</v>
      </c>
      <c r="BA103" s="33" t="s">
        <v>65</v>
      </c>
      <c r="BC103" s="57">
        <f>AW103+AX103</f>
      </c>
      <c r="BD103" s="57">
        <f>G103/(100-BE103)*100</f>
      </c>
      <c r="BE103" s="57" t="n">
        <v>0</v>
      </c>
      <c r="BF103" s="57">
        <f>103</f>
      </c>
      <c r="BH103" s="57">
        <f>F103*AO103</f>
      </c>
      <c r="BI103" s="57">
        <f>F103*AP103</f>
      </c>
      <c r="BJ103" s="57">
        <f>F103*G103</f>
      </c>
      <c r="BK103" s="60" t="s">
        <v>98</v>
      </c>
      <c r="BL103" s="57" t="n">
        <v>62</v>
      </c>
      <c r="BW103" s="57" t="n">
        <v>12</v>
      </c>
      <c r="BX103" s="16" t="s">
        <v>258</v>
      </c>
    </row>
    <row r="104">
      <c r="A104" s="10" t="s">
        <v>259</v>
      </c>
      <c r="B104" s="11" t="s">
        <v>260</v>
      </c>
      <c r="C104" s="16" t="s">
        <v>261</v>
      </c>
      <c r="D104" s="11"/>
      <c r="E104" s="11" t="s">
        <v>126</v>
      </c>
      <c r="F104" s="57" t="n">
        <v>316.58</v>
      </c>
      <c r="G104" s="58" t="n">
        <v>0</v>
      </c>
      <c r="H104" s="57">
        <f>ROUND(F104*AO104,2)</f>
      </c>
      <c r="I104" s="57">
        <f>ROUND(F104*AP104,2)</f>
      </c>
      <c r="J104" s="57">
        <f>ROUND(F104*G104,2)</f>
      </c>
      <c r="K104" s="59" t="s">
        <v>62</v>
      </c>
      <c r="Z104" s="57">
        <f>ROUND(IF(AQ104="5",BJ104,0),2)</f>
      </c>
      <c r="AB104" s="57">
        <f>ROUND(IF(AQ104="1",BH104,0),2)</f>
      </c>
      <c r="AC104" s="57">
        <f>ROUND(IF(AQ104="1",BI104,0),2)</f>
      </c>
      <c r="AD104" s="57">
        <f>ROUND(IF(AQ104="7",BH104,0),2)</f>
      </c>
      <c r="AE104" s="57">
        <f>ROUND(IF(AQ104="7",BI104,0),2)</f>
      </c>
      <c r="AF104" s="57">
        <f>ROUND(IF(AQ104="2",BH104,0),2)</f>
      </c>
      <c r="AG104" s="57">
        <f>ROUND(IF(AQ104="2",BI104,0),2)</f>
      </c>
      <c r="AH104" s="57">
        <f>ROUND(IF(AQ104="0",BJ104,0),2)</f>
      </c>
      <c r="AI104" s="33" t="s">
        <v>57</v>
      </c>
      <c r="AJ104" s="57">
        <f>IF(AN104=0,J104,0)</f>
      </c>
      <c r="AK104" s="57">
        <f>IF(AN104=12,J104,0)</f>
      </c>
      <c r="AL104" s="57">
        <f>IF(AN104=21,J104,0)</f>
      </c>
      <c r="AN104" s="57" t="n">
        <v>12</v>
      </c>
      <c r="AO104" s="57">
        <f>G104*1</f>
      </c>
      <c r="AP104" s="57">
        <f>G104*(1-1)</f>
      </c>
      <c r="AQ104" s="60" t="s">
        <v>58</v>
      </c>
      <c r="AV104" s="57">
        <f>ROUND(AW104+AX104,2)</f>
      </c>
      <c r="AW104" s="57">
        <f>ROUND(F104*AO104,2)</f>
      </c>
      <c r="AX104" s="57">
        <f>ROUND(F104*AP104,2)</f>
      </c>
      <c r="AY104" s="60" t="s">
        <v>166</v>
      </c>
      <c r="AZ104" s="60" t="s">
        <v>167</v>
      </c>
      <c r="BA104" s="33" t="s">
        <v>65</v>
      </c>
      <c r="BC104" s="57">
        <f>AW104+AX104</f>
      </c>
      <c r="BD104" s="57">
        <f>G104/(100-BE104)*100</f>
      </c>
      <c r="BE104" s="57" t="n">
        <v>0</v>
      </c>
      <c r="BF104" s="57">
        <f>104</f>
      </c>
      <c r="BH104" s="57">
        <f>F104*AO104</f>
      </c>
      <c r="BI104" s="57">
        <f>F104*AP104</f>
      </c>
      <c r="BJ104" s="57">
        <f>F104*G104</f>
      </c>
      <c r="BK104" s="60" t="s">
        <v>98</v>
      </c>
      <c r="BL104" s="57" t="n">
        <v>62</v>
      </c>
      <c r="BW104" s="57" t="n">
        <v>12</v>
      </c>
      <c r="BX104" s="16" t="s">
        <v>261</v>
      </c>
    </row>
    <row r="105" ht="24.75">
      <c r="A105" s="10" t="s">
        <v>108</v>
      </c>
      <c r="B105" s="11" t="s">
        <v>262</v>
      </c>
      <c r="C105" s="16" t="s">
        <v>263</v>
      </c>
      <c r="D105" s="11"/>
      <c r="E105" s="11" t="s">
        <v>126</v>
      </c>
      <c r="F105" s="57" t="n">
        <v>342.87</v>
      </c>
      <c r="G105" s="58" t="n">
        <v>0</v>
      </c>
      <c r="H105" s="57">
        <f>ROUND(F105*AO105,2)</f>
      </c>
      <c r="I105" s="57">
        <f>ROUND(F105*AP105,2)</f>
      </c>
      <c r="J105" s="57">
        <f>ROUND(F105*G105,2)</f>
      </c>
      <c r="K105" s="59" t="s">
        <v>140</v>
      </c>
      <c r="Z105" s="57">
        <f>ROUND(IF(AQ105="5",BJ105,0),2)</f>
      </c>
      <c r="AB105" s="57">
        <f>ROUND(IF(AQ105="1",BH105,0),2)</f>
      </c>
      <c r="AC105" s="57">
        <f>ROUND(IF(AQ105="1",BI105,0),2)</f>
      </c>
      <c r="AD105" s="57">
        <f>ROUND(IF(AQ105="7",BH105,0),2)</f>
      </c>
      <c r="AE105" s="57">
        <f>ROUND(IF(AQ105="7",BI105,0),2)</f>
      </c>
      <c r="AF105" s="57">
        <f>ROUND(IF(AQ105="2",BH105,0),2)</f>
      </c>
      <c r="AG105" s="57">
        <f>ROUND(IF(AQ105="2",BI105,0),2)</f>
      </c>
      <c r="AH105" s="57">
        <f>ROUND(IF(AQ105="0",BJ105,0),2)</f>
      </c>
      <c r="AI105" s="33" t="s">
        <v>57</v>
      </c>
      <c r="AJ105" s="57">
        <f>IF(AN105=0,J105,0)</f>
      </c>
      <c r="AK105" s="57">
        <f>IF(AN105=12,J105,0)</f>
      </c>
      <c r="AL105" s="57">
        <f>IF(AN105=21,J105,0)</f>
      </c>
      <c r="AN105" s="57" t="n">
        <v>12</v>
      </c>
      <c r="AO105" s="57">
        <f>G105*1</f>
      </c>
      <c r="AP105" s="57">
        <f>G105*(1-1)</f>
      </c>
      <c r="AQ105" s="60" t="s">
        <v>58</v>
      </c>
      <c r="AV105" s="57">
        <f>ROUND(AW105+AX105,2)</f>
      </c>
      <c r="AW105" s="57">
        <f>ROUND(F105*AO105,2)</f>
      </c>
      <c r="AX105" s="57">
        <f>ROUND(F105*AP105,2)</f>
      </c>
      <c r="AY105" s="60" t="s">
        <v>166</v>
      </c>
      <c r="AZ105" s="60" t="s">
        <v>167</v>
      </c>
      <c r="BA105" s="33" t="s">
        <v>65</v>
      </c>
      <c r="BC105" s="57">
        <f>AW105+AX105</f>
      </c>
      <c r="BD105" s="57">
        <f>G105/(100-BE105)*100</f>
      </c>
      <c r="BE105" s="57" t="n">
        <v>0</v>
      </c>
      <c r="BF105" s="57">
        <f>105</f>
      </c>
      <c r="BH105" s="57">
        <f>F105*AO105</f>
      </c>
      <c r="BI105" s="57">
        <f>F105*AP105</f>
      </c>
      <c r="BJ105" s="57">
        <f>F105*G105</f>
      </c>
      <c r="BK105" s="60" t="s">
        <v>98</v>
      </c>
      <c r="BL105" s="57" t="n">
        <v>62</v>
      </c>
      <c r="BW105" s="57" t="n">
        <v>12</v>
      </c>
      <c r="BX105" s="16" t="s">
        <v>263</v>
      </c>
    </row>
    <row r="106">
      <c r="A106" s="10" t="s">
        <v>127</v>
      </c>
      <c r="B106" s="11" t="s">
        <v>264</v>
      </c>
      <c r="C106" s="16" t="s">
        <v>265</v>
      </c>
      <c r="D106" s="11"/>
      <c r="E106" s="11" t="s">
        <v>126</v>
      </c>
      <c r="F106" s="57" t="n">
        <v>177.99</v>
      </c>
      <c r="G106" s="58" t="n">
        <v>0</v>
      </c>
      <c r="H106" s="57">
        <f>ROUND(F106*AO106,2)</f>
      </c>
      <c r="I106" s="57">
        <f>ROUND(F106*AP106,2)</f>
      </c>
      <c r="J106" s="57">
        <f>ROUND(F106*G106,2)</f>
      </c>
      <c r="K106" s="59" t="s">
        <v>62</v>
      </c>
      <c r="Z106" s="57">
        <f>ROUND(IF(AQ106="5",BJ106,0),2)</f>
      </c>
      <c r="AB106" s="57">
        <f>ROUND(IF(AQ106="1",BH106,0),2)</f>
      </c>
      <c r="AC106" s="57">
        <f>ROUND(IF(AQ106="1",BI106,0),2)</f>
      </c>
      <c r="AD106" s="57">
        <f>ROUND(IF(AQ106="7",BH106,0),2)</f>
      </c>
      <c r="AE106" s="57">
        <f>ROUND(IF(AQ106="7",BI106,0),2)</f>
      </c>
      <c r="AF106" s="57">
        <f>ROUND(IF(AQ106="2",BH106,0),2)</f>
      </c>
      <c r="AG106" s="57">
        <f>ROUND(IF(AQ106="2",BI106,0),2)</f>
      </c>
      <c r="AH106" s="57">
        <f>ROUND(IF(AQ106="0",BJ106,0),2)</f>
      </c>
      <c r="AI106" s="33" t="s">
        <v>57</v>
      </c>
      <c r="AJ106" s="57">
        <f>IF(AN106=0,J106,0)</f>
      </c>
      <c r="AK106" s="57">
        <f>IF(AN106=12,J106,0)</f>
      </c>
      <c r="AL106" s="57">
        <f>IF(AN106=21,J106,0)</f>
      </c>
      <c r="AN106" s="57" t="n">
        <v>12</v>
      </c>
      <c r="AO106" s="57">
        <f>G106*0.115243604</f>
      </c>
      <c r="AP106" s="57">
        <f>G106*(1-0.115243604)</f>
      </c>
      <c r="AQ106" s="60" t="s">
        <v>58</v>
      </c>
      <c r="AV106" s="57">
        <f>ROUND(AW106+AX106,2)</f>
      </c>
      <c r="AW106" s="57">
        <f>ROUND(F106*AO106,2)</f>
      </c>
      <c r="AX106" s="57">
        <f>ROUND(F106*AP106,2)</f>
      </c>
      <c r="AY106" s="60" t="s">
        <v>166</v>
      </c>
      <c r="AZ106" s="60" t="s">
        <v>167</v>
      </c>
      <c r="BA106" s="33" t="s">
        <v>65</v>
      </c>
      <c r="BB106" s="61" t="n">
        <v>100088</v>
      </c>
      <c r="BC106" s="57">
        <f>AW106+AX106</f>
      </c>
      <c r="BD106" s="57">
        <f>G106/(100-BE106)*100</f>
      </c>
      <c r="BE106" s="57" t="n">
        <v>0</v>
      </c>
      <c r="BF106" s="57">
        <f>106</f>
      </c>
      <c r="BH106" s="57">
        <f>F106*AO106</f>
      </c>
      <c r="BI106" s="57">
        <f>F106*AP106</f>
      </c>
      <c r="BJ106" s="57">
        <f>F106*G106</f>
      </c>
      <c r="BK106" s="60" t="s">
        <v>66</v>
      </c>
      <c r="BL106" s="57" t="n">
        <v>62</v>
      </c>
      <c r="BW106" s="57" t="n">
        <v>12</v>
      </c>
      <c r="BX106" s="16" t="s">
        <v>265</v>
      </c>
    </row>
    <row r="107">
      <c r="A107" s="10" t="s">
        <v>147</v>
      </c>
      <c r="B107" s="11" t="s">
        <v>138</v>
      </c>
      <c r="C107" s="16" t="s">
        <v>266</v>
      </c>
      <c r="D107" s="11"/>
      <c r="E107" s="11" t="s">
        <v>126</v>
      </c>
      <c r="F107" s="57" t="n">
        <v>195.789</v>
      </c>
      <c r="G107" s="58" t="n">
        <v>0</v>
      </c>
      <c r="H107" s="57">
        <f>ROUND(F107*AO107,2)</f>
      </c>
      <c r="I107" s="57">
        <f>ROUND(F107*AP107,2)</f>
      </c>
      <c r="J107" s="57">
        <f>ROUND(F107*G107,2)</f>
      </c>
      <c r="K107" s="59" t="s">
        <v>140</v>
      </c>
      <c r="Z107" s="57">
        <f>ROUND(IF(AQ107="5",BJ107,0),2)</f>
      </c>
      <c r="AB107" s="57">
        <f>ROUND(IF(AQ107="1",BH107,0),2)</f>
      </c>
      <c r="AC107" s="57">
        <f>ROUND(IF(AQ107="1",BI107,0),2)</f>
      </c>
      <c r="AD107" s="57">
        <f>ROUND(IF(AQ107="7",BH107,0),2)</f>
      </c>
      <c r="AE107" s="57">
        <f>ROUND(IF(AQ107="7",BI107,0),2)</f>
      </c>
      <c r="AF107" s="57">
        <f>ROUND(IF(AQ107="2",BH107,0),2)</f>
      </c>
      <c r="AG107" s="57">
        <f>ROUND(IF(AQ107="2",BI107,0),2)</f>
      </c>
      <c r="AH107" s="57">
        <f>ROUND(IF(AQ107="0",BJ107,0),2)</f>
      </c>
      <c r="AI107" s="33" t="s">
        <v>57</v>
      </c>
      <c r="AJ107" s="57">
        <f>IF(AN107=0,J107,0)</f>
      </c>
      <c r="AK107" s="57">
        <f>IF(AN107=12,J107,0)</f>
      </c>
      <c r="AL107" s="57">
        <f>IF(AN107=21,J107,0)</f>
      </c>
      <c r="AN107" s="57" t="n">
        <v>12</v>
      </c>
      <c r="AO107" s="57">
        <f>G107*1</f>
      </c>
      <c r="AP107" s="57">
        <f>G107*(1-1)</f>
      </c>
      <c r="AQ107" s="60" t="s">
        <v>58</v>
      </c>
      <c r="AV107" s="57">
        <f>ROUND(AW107+AX107,2)</f>
      </c>
      <c r="AW107" s="57">
        <f>ROUND(F107*AO107,2)</f>
      </c>
      <c r="AX107" s="57">
        <f>ROUND(F107*AP107,2)</f>
      </c>
      <c r="AY107" s="60" t="s">
        <v>166</v>
      </c>
      <c r="AZ107" s="60" t="s">
        <v>167</v>
      </c>
      <c r="BA107" s="33" t="s">
        <v>65</v>
      </c>
      <c r="BC107" s="57">
        <f>AW107+AX107</f>
      </c>
      <c r="BD107" s="57">
        <f>G107/(100-BE107)*100</f>
      </c>
      <c r="BE107" s="57" t="n">
        <v>0</v>
      </c>
      <c r="BF107" s="57">
        <f>107</f>
      </c>
      <c r="BH107" s="57">
        <f>F107*AO107</f>
      </c>
      <c r="BI107" s="57">
        <f>F107*AP107</f>
      </c>
      <c r="BJ107" s="57">
        <f>F107*G107</f>
      </c>
      <c r="BK107" s="60" t="s">
        <v>98</v>
      </c>
      <c r="BL107" s="57" t="n">
        <v>62</v>
      </c>
      <c r="BW107" s="57" t="n">
        <v>12</v>
      </c>
      <c r="BX107" s="16" t="s">
        <v>266</v>
      </c>
    </row>
    <row r="108">
      <c r="A108" s="10" t="s">
        <v>161</v>
      </c>
      <c r="B108" s="11" t="s">
        <v>267</v>
      </c>
      <c r="C108" s="16" t="s">
        <v>268</v>
      </c>
      <c r="D108" s="11"/>
      <c r="E108" s="11" t="s">
        <v>126</v>
      </c>
      <c r="F108" s="57" t="n">
        <v>112.2</v>
      </c>
      <c r="G108" s="58" t="n">
        <v>0</v>
      </c>
      <c r="H108" s="57">
        <f>ROUND(F108*AO108,2)</f>
      </c>
      <c r="I108" s="57">
        <f>ROUND(F108*AP108,2)</f>
      </c>
      <c r="J108" s="57">
        <f>ROUND(F108*G108,2)</f>
      </c>
      <c r="K108" s="59" t="s">
        <v>62</v>
      </c>
      <c r="Z108" s="57">
        <f>ROUND(IF(AQ108="5",BJ108,0),2)</f>
      </c>
      <c r="AB108" s="57">
        <f>ROUND(IF(AQ108="1",BH108,0),2)</f>
      </c>
      <c r="AC108" s="57">
        <f>ROUND(IF(AQ108="1",BI108,0),2)</f>
      </c>
      <c r="AD108" s="57">
        <f>ROUND(IF(AQ108="7",BH108,0),2)</f>
      </c>
      <c r="AE108" s="57">
        <f>ROUND(IF(AQ108="7",BI108,0),2)</f>
      </c>
      <c r="AF108" s="57">
        <f>ROUND(IF(AQ108="2",BH108,0),2)</f>
      </c>
      <c r="AG108" s="57">
        <f>ROUND(IF(AQ108="2",BI108,0),2)</f>
      </c>
      <c r="AH108" s="57">
        <f>ROUND(IF(AQ108="0",BJ108,0),2)</f>
      </c>
      <c r="AI108" s="33" t="s">
        <v>57</v>
      </c>
      <c r="AJ108" s="57">
        <f>IF(AN108=0,J108,0)</f>
      </c>
      <c r="AK108" s="57">
        <f>IF(AN108=12,J108,0)</f>
      </c>
      <c r="AL108" s="57">
        <f>IF(AN108=21,J108,0)</f>
      </c>
      <c r="AN108" s="57" t="n">
        <v>12</v>
      </c>
      <c r="AO108" s="57">
        <f>G108*0.115243985</f>
      </c>
      <c r="AP108" s="57">
        <f>G108*(1-0.115243985)</f>
      </c>
      <c r="AQ108" s="60" t="s">
        <v>58</v>
      </c>
      <c r="AV108" s="57">
        <f>ROUND(AW108+AX108,2)</f>
      </c>
      <c r="AW108" s="57">
        <f>ROUND(F108*AO108,2)</f>
      </c>
      <c r="AX108" s="57">
        <f>ROUND(F108*AP108,2)</f>
      </c>
      <c r="AY108" s="60" t="s">
        <v>166</v>
      </c>
      <c r="AZ108" s="60" t="s">
        <v>167</v>
      </c>
      <c r="BA108" s="33" t="s">
        <v>65</v>
      </c>
      <c r="BB108" s="61" t="n">
        <v>100088</v>
      </c>
      <c r="BC108" s="57">
        <f>AW108+AX108</f>
      </c>
      <c r="BD108" s="57">
        <f>G108/(100-BE108)*100</f>
      </c>
      <c r="BE108" s="57" t="n">
        <v>0</v>
      </c>
      <c r="BF108" s="57">
        <f>108</f>
      </c>
      <c r="BH108" s="57">
        <f>F108*AO108</f>
      </c>
      <c r="BI108" s="57">
        <f>F108*AP108</f>
      </c>
      <c r="BJ108" s="57">
        <f>F108*G108</f>
      </c>
      <c r="BK108" s="60" t="s">
        <v>66</v>
      </c>
      <c r="BL108" s="57" t="n">
        <v>62</v>
      </c>
      <c r="BW108" s="57" t="n">
        <v>12</v>
      </c>
      <c r="BX108" s="16" t="s">
        <v>268</v>
      </c>
    </row>
    <row r="109">
      <c r="A109" s="10" t="s">
        <v>269</v>
      </c>
      <c r="B109" s="11" t="s">
        <v>138</v>
      </c>
      <c r="C109" s="16" t="s">
        <v>270</v>
      </c>
      <c r="D109" s="11"/>
      <c r="E109" s="11" t="s">
        <v>126</v>
      </c>
      <c r="F109" s="57" t="n">
        <v>123.42</v>
      </c>
      <c r="G109" s="58" t="n">
        <v>0</v>
      </c>
      <c r="H109" s="57">
        <f>ROUND(F109*AO109,2)</f>
      </c>
      <c r="I109" s="57">
        <f>ROUND(F109*AP109,2)</f>
      </c>
      <c r="J109" s="57">
        <f>ROUND(F109*G109,2)</f>
      </c>
      <c r="K109" s="59" t="s">
        <v>140</v>
      </c>
      <c r="Z109" s="57">
        <f>ROUND(IF(AQ109="5",BJ109,0),2)</f>
      </c>
      <c r="AB109" s="57">
        <f>ROUND(IF(AQ109="1",BH109,0),2)</f>
      </c>
      <c r="AC109" s="57">
        <f>ROUND(IF(AQ109="1",BI109,0),2)</f>
      </c>
      <c r="AD109" s="57">
        <f>ROUND(IF(AQ109="7",BH109,0),2)</f>
      </c>
      <c r="AE109" s="57">
        <f>ROUND(IF(AQ109="7",BI109,0),2)</f>
      </c>
      <c r="AF109" s="57">
        <f>ROUND(IF(AQ109="2",BH109,0),2)</f>
      </c>
      <c r="AG109" s="57">
        <f>ROUND(IF(AQ109="2",BI109,0),2)</f>
      </c>
      <c r="AH109" s="57">
        <f>ROUND(IF(AQ109="0",BJ109,0),2)</f>
      </c>
      <c r="AI109" s="33" t="s">
        <v>57</v>
      </c>
      <c r="AJ109" s="57">
        <f>IF(AN109=0,J109,0)</f>
      </c>
      <c r="AK109" s="57">
        <f>IF(AN109=12,J109,0)</f>
      </c>
      <c r="AL109" s="57">
        <f>IF(AN109=21,J109,0)</f>
      </c>
      <c r="AN109" s="57" t="n">
        <v>12</v>
      </c>
      <c r="AO109" s="57">
        <f>G109*1</f>
      </c>
      <c r="AP109" s="57">
        <f>G109*(1-1)</f>
      </c>
      <c r="AQ109" s="60" t="s">
        <v>58</v>
      </c>
      <c r="AV109" s="57">
        <f>ROUND(AW109+AX109,2)</f>
      </c>
      <c r="AW109" s="57">
        <f>ROUND(F109*AO109,2)</f>
      </c>
      <c r="AX109" s="57">
        <f>ROUND(F109*AP109,2)</f>
      </c>
      <c r="AY109" s="60" t="s">
        <v>166</v>
      </c>
      <c r="AZ109" s="60" t="s">
        <v>167</v>
      </c>
      <c r="BA109" s="33" t="s">
        <v>65</v>
      </c>
      <c r="BC109" s="57">
        <f>AW109+AX109</f>
      </c>
      <c r="BD109" s="57">
        <f>G109/(100-BE109)*100</f>
      </c>
      <c r="BE109" s="57" t="n">
        <v>0</v>
      </c>
      <c r="BF109" s="57">
        <f>109</f>
      </c>
      <c r="BH109" s="57">
        <f>F109*AO109</f>
      </c>
      <c r="BI109" s="57">
        <f>F109*AP109</f>
      </c>
      <c r="BJ109" s="57">
        <f>F109*G109</f>
      </c>
      <c r="BK109" s="60" t="s">
        <v>98</v>
      </c>
      <c r="BL109" s="57" t="n">
        <v>62</v>
      </c>
      <c r="BW109" s="57" t="n">
        <v>12</v>
      </c>
      <c r="BX109" s="16" t="s">
        <v>270</v>
      </c>
    </row>
    <row r="110">
      <c r="A110" s="10" t="s">
        <v>271</v>
      </c>
      <c r="B110" s="11" t="s">
        <v>272</v>
      </c>
      <c r="C110" s="16" t="s">
        <v>273</v>
      </c>
      <c r="D110" s="11"/>
      <c r="E110" s="11" t="s">
        <v>126</v>
      </c>
      <c r="F110" s="57" t="n">
        <v>112.8</v>
      </c>
      <c r="G110" s="58" t="n">
        <v>0</v>
      </c>
      <c r="H110" s="57">
        <f>ROUND(F110*AO110,2)</f>
      </c>
      <c r="I110" s="57">
        <f>ROUND(F110*AP110,2)</f>
      </c>
      <c r="J110" s="57">
        <f>ROUND(F110*G110,2)</f>
      </c>
      <c r="K110" s="59" t="s">
        <v>62</v>
      </c>
      <c r="Z110" s="57">
        <f>ROUND(IF(AQ110="5",BJ110,0),2)</f>
      </c>
      <c r="AB110" s="57">
        <f>ROUND(IF(AQ110="1",BH110,0),2)</f>
      </c>
      <c r="AC110" s="57">
        <f>ROUND(IF(AQ110="1",BI110,0),2)</f>
      </c>
      <c r="AD110" s="57">
        <f>ROUND(IF(AQ110="7",BH110,0),2)</f>
      </c>
      <c r="AE110" s="57">
        <f>ROUND(IF(AQ110="7",BI110,0),2)</f>
      </c>
      <c r="AF110" s="57">
        <f>ROUND(IF(AQ110="2",BH110,0),2)</f>
      </c>
      <c r="AG110" s="57">
        <f>ROUND(IF(AQ110="2",BI110,0),2)</f>
      </c>
      <c r="AH110" s="57">
        <f>ROUND(IF(AQ110="0",BJ110,0),2)</f>
      </c>
      <c r="AI110" s="33" t="s">
        <v>57</v>
      </c>
      <c r="AJ110" s="57">
        <f>IF(AN110=0,J110,0)</f>
      </c>
      <c r="AK110" s="57">
        <f>IF(AN110=12,J110,0)</f>
      </c>
      <c r="AL110" s="57">
        <f>IF(AN110=21,J110,0)</f>
      </c>
      <c r="AN110" s="57" t="n">
        <v>12</v>
      </c>
      <c r="AO110" s="57">
        <f>G110*0.670819725</f>
      </c>
      <c r="AP110" s="57">
        <f>G110*(1-0.670819725)</f>
      </c>
      <c r="AQ110" s="60" t="s">
        <v>58</v>
      </c>
      <c r="AV110" s="57">
        <f>ROUND(AW110+AX110,2)</f>
      </c>
      <c r="AW110" s="57">
        <f>ROUND(F110*AO110,2)</f>
      </c>
      <c r="AX110" s="57">
        <f>ROUND(F110*AP110,2)</f>
      </c>
      <c r="AY110" s="60" t="s">
        <v>166</v>
      </c>
      <c r="AZ110" s="60" t="s">
        <v>167</v>
      </c>
      <c r="BA110" s="33" t="s">
        <v>65</v>
      </c>
      <c r="BB110" s="61" t="n">
        <v>100088</v>
      </c>
      <c r="BC110" s="57">
        <f>AW110+AX110</f>
      </c>
      <c r="BD110" s="57">
        <f>G110/(100-BE110)*100</f>
      </c>
      <c r="BE110" s="57" t="n">
        <v>0</v>
      </c>
      <c r="BF110" s="57">
        <f>110</f>
      </c>
      <c r="BH110" s="57">
        <f>F110*AO110</f>
      </c>
      <c r="BI110" s="57">
        <f>F110*AP110</f>
      </c>
      <c r="BJ110" s="57">
        <f>F110*G110</f>
      </c>
      <c r="BK110" s="60" t="s">
        <v>66</v>
      </c>
      <c r="BL110" s="57" t="n">
        <v>62</v>
      </c>
      <c r="BW110" s="57" t="n">
        <v>12</v>
      </c>
      <c r="BX110" s="16" t="s">
        <v>273</v>
      </c>
    </row>
    <row r="111">
      <c r="A111" s="10" t="s">
        <v>274</v>
      </c>
      <c r="B111" s="11" t="s">
        <v>138</v>
      </c>
      <c r="C111" s="16" t="s">
        <v>275</v>
      </c>
      <c r="D111" s="11"/>
      <c r="E111" s="11" t="s">
        <v>126</v>
      </c>
      <c r="F111" s="57" t="n">
        <v>124.08</v>
      </c>
      <c r="G111" s="58" t="n">
        <v>0</v>
      </c>
      <c r="H111" s="57">
        <f>ROUND(F111*AO111,2)</f>
      </c>
      <c r="I111" s="57">
        <f>ROUND(F111*AP111,2)</f>
      </c>
      <c r="J111" s="57">
        <f>ROUND(F111*G111,2)</f>
      </c>
      <c r="K111" s="59" t="s">
        <v>140</v>
      </c>
      <c r="Z111" s="57">
        <f>ROUND(IF(AQ111="5",BJ111,0),2)</f>
      </c>
      <c r="AB111" s="57">
        <f>ROUND(IF(AQ111="1",BH111,0),2)</f>
      </c>
      <c r="AC111" s="57">
        <f>ROUND(IF(AQ111="1",BI111,0),2)</f>
      </c>
      <c r="AD111" s="57">
        <f>ROUND(IF(AQ111="7",BH111,0),2)</f>
      </c>
      <c r="AE111" s="57">
        <f>ROUND(IF(AQ111="7",BI111,0),2)</f>
      </c>
      <c r="AF111" s="57">
        <f>ROUND(IF(AQ111="2",BH111,0),2)</f>
      </c>
      <c r="AG111" s="57">
        <f>ROUND(IF(AQ111="2",BI111,0),2)</f>
      </c>
      <c r="AH111" s="57">
        <f>ROUND(IF(AQ111="0",BJ111,0),2)</f>
      </c>
      <c r="AI111" s="33" t="s">
        <v>57</v>
      </c>
      <c r="AJ111" s="57">
        <f>IF(AN111=0,J111,0)</f>
      </c>
      <c r="AK111" s="57">
        <f>IF(AN111=12,J111,0)</f>
      </c>
      <c r="AL111" s="57">
        <f>IF(AN111=21,J111,0)</f>
      </c>
      <c r="AN111" s="57" t="n">
        <v>12</v>
      </c>
      <c r="AO111" s="57">
        <f>G111*1</f>
      </c>
      <c r="AP111" s="57">
        <f>G111*(1-1)</f>
      </c>
      <c r="AQ111" s="60" t="s">
        <v>58</v>
      </c>
      <c r="AV111" s="57">
        <f>ROUND(AW111+AX111,2)</f>
      </c>
      <c r="AW111" s="57">
        <f>ROUND(F111*AO111,2)</f>
      </c>
      <c r="AX111" s="57">
        <f>ROUND(F111*AP111,2)</f>
      </c>
      <c r="AY111" s="60" t="s">
        <v>166</v>
      </c>
      <c r="AZ111" s="60" t="s">
        <v>167</v>
      </c>
      <c r="BA111" s="33" t="s">
        <v>65</v>
      </c>
      <c r="BC111" s="57">
        <f>AW111+AX111</f>
      </c>
      <c r="BD111" s="57">
        <f>G111/(100-BE111)*100</f>
      </c>
      <c r="BE111" s="57" t="n">
        <v>0</v>
      </c>
      <c r="BF111" s="57">
        <f>111</f>
      </c>
      <c r="BH111" s="57">
        <f>F111*AO111</f>
      </c>
      <c r="BI111" s="57">
        <f>F111*AP111</f>
      </c>
      <c r="BJ111" s="57">
        <f>F111*G111</f>
      </c>
      <c r="BK111" s="60" t="s">
        <v>98</v>
      </c>
      <c r="BL111" s="57" t="n">
        <v>62</v>
      </c>
      <c r="BW111" s="57" t="n">
        <v>12</v>
      </c>
      <c r="BX111" s="16" t="s">
        <v>275</v>
      </c>
    </row>
    <row r="112">
      <c r="A112" s="10" t="s">
        <v>276</v>
      </c>
      <c r="B112" s="11" t="s">
        <v>138</v>
      </c>
      <c r="C112" s="16" t="s">
        <v>277</v>
      </c>
      <c r="D112" s="11"/>
      <c r="E112" s="11" t="s">
        <v>126</v>
      </c>
      <c r="F112" s="57" t="n">
        <v>46.48</v>
      </c>
      <c r="G112" s="58" t="n">
        <v>0</v>
      </c>
      <c r="H112" s="57">
        <f>ROUND(F112*AO112,2)</f>
      </c>
      <c r="I112" s="57">
        <f>ROUND(F112*AP112,2)</f>
      </c>
      <c r="J112" s="57">
        <f>ROUND(F112*G112,2)</f>
      </c>
      <c r="K112" s="59" t="s">
        <v>140</v>
      </c>
      <c r="Z112" s="57">
        <f>ROUND(IF(AQ112="5",BJ112,0),2)</f>
      </c>
      <c r="AB112" s="57">
        <f>ROUND(IF(AQ112="1",BH112,0),2)</f>
      </c>
      <c r="AC112" s="57">
        <f>ROUND(IF(AQ112="1",BI112,0),2)</f>
      </c>
      <c r="AD112" s="57">
        <f>ROUND(IF(AQ112="7",BH112,0),2)</f>
      </c>
      <c r="AE112" s="57">
        <f>ROUND(IF(AQ112="7",BI112,0),2)</f>
      </c>
      <c r="AF112" s="57">
        <f>ROUND(IF(AQ112="2",BH112,0),2)</f>
      </c>
      <c r="AG112" s="57">
        <f>ROUND(IF(AQ112="2",BI112,0),2)</f>
      </c>
      <c r="AH112" s="57">
        <f>ROUND(IF(AQ112="0",BJ112,0),2)</f>
      </c>
      <c r="AI112" s="33" t="s">
        <v>57</v>
      </c>
      <c r="AJ112" s="57">
        <f>IF(AN112=0,J112,0)</f>
      </c>
      <c r="AK112" s="57">
        <f>IF(AN112=12,J112,0)</f>
      </c>
      <c r="AL112" s="57">
        <f>IF(AN112=21,J112,0)</f>
      </c>
      <c r="AN112" s="57" t="n">
        <v>12</v>
      </c>
      <c r="AO112" s="57">
        <f>G112*0.185597654</f>
      </c>
      <c r="AP112" s="57">
        <f>G112*(1-0.185597654)</f>
      </c>
      <c r="AQ112" s="60" t="s">
        <v>58</v>
      </c>
      <c r="AV112" s="57">
        <f>ROUND(AW112+AX112,2)</f>
      </c>
      <c r="AW112" s="57">
        <f>ROUND(F112*AO112,2)</f>
      </c>
      <c r="AX112" s="57">
        <f>ROUND(F112*AP112,2)</f>
      </c>
      <c r="AY112" s="60" t="s">
        <v>166</v>
      </c>
      <c r="AZ112" s="60" t="s">
        <v>167</v>
      </c>
      <c r="BA112" s="33" t="s">
        <v>65</v>
      </c>
      <c r="BB112" s="61" t="n">
        <v>100088</v>
      </c>
      <c r="BC112" s="57">
        <f>AW112+AX112</f>
      </c>
      <c r="BD112" s="57">
        <f>G112/(100-BE112)*100</f>
      </c>
      <c r="BE112" s="57" t="n">
        <v>0</v>
      </c>
      <c r="BF112" s="57">
        <f>112</f>
      </c>
      <c r="BH112" s="57">
        <f>F112*AO112</f>
      </c>
      <c r="BI112" s="57">
        <f>F112*AP112</f>
      </c>
      <c r="BJ112" s="57">
        <f>F112*G112</f>
      </c>
      <c r="BK112" s="60" t="s">
        <v>66</v>
      </c>
      <c r="BL112" s="57" t="n">
        <v>62</v>
      </c>
      <c r="BW112" s="57" t="n">
        <v>12</v>
      </c>
      <c r="BX112" s="16" t="s">
        <v>277</v>
      </c>
    </row>
    <row r="113">
      <c r="A113" s="10" t="s">
        <v>278</v>
      </c>
      <c r="B113" s="11" t="s">
        <v>138</v>
      </c>
      <c r="C113" s="16" t="s">
        <v>279</v>
      </c>
      <c r="D113" s="11"/>
      <c r="E113" s="11" t="s">
        <v>126</v>
      </c>
      <c r="F113" s="57" t="n">
        <v>51.128</v>
      </c>
      <c r="G113" s="58" t="n">
        <v>0</v>
      </c>
      <c r="H113" s="57">
        <f>ROUND(F113*AO113,2)</f>
      </c>
      <c r="I113" s="57">
        <f>ROUND(F113*AP113,2)</f>
      </c>
      <c r="J113" s="57">
        <f>ROUND(F113*G113,2)</f>
      </c>
      <c r="K113" s="59" t="s">
        <v>140</v>
      </c>
      <c r="Z113" s="57">
        <f>ROUND(IF(AQ113="5",BJ113,0),2)</f>
      </c>
      <c r="AB113" s="57">
        <f>ROUND(IF(AQ113="1",BH113,0),2)</f>
      </c>
      <c r="AC113" s="57">
        <f>ROUND(IF(AQ113="1",BI113,0),2)</f>
      </c>
      <c r="AD113" s="57">
        <f>ROUND(IF(AQ113="7",BH113,0),2)</f>
      </c>
      <c r="AE113" s="57">
        <f>ROUND(IF(AQ113="7",BI113,0),2)</f>
      </c>
      <c r="AF113" s="57">
        <f>ROUND(IF(AQ113="2",BH113,0),2)</f>
      </c>
      <c r="AG113" s="57">
        <f>ROUND(IF(AQ113="2",BI113,0),2)</f>
      </c>
      <c r="AH113" s="57">
        <f>ROUND(IF(AQ113="0",BJ113,0),2)</f>
      </c>
      <c r="AI113" s="33" t="s">
        <v>57</v>
      </c>
      <c r="AJ113" s="57">
        <f>IF(AN113=0,J113,0)</f>
      </c>
      <c r="AK113" s="57">
        <f>IF(AN113=12,J113,0)</f>
      </c>
      <c r="AL113" s="57">
        <f>IF(AN113=21,J113,0)</f>
      </c>
      <c r="AN113" s="57" t="n">
        <v>12</v>
      </c>
      <c r="AO113" s="57">
        <f>G113*1</f>
      </c>
      <c r="AP113" s="57">
        <f>G113*(1-1)</f>
      </c>
      <c r="AQ113" s="60" t="s">
        <v>58</v>
      </c>
      <c r="AV113" s="57">
        <f>ROUND(AW113+AX113,2)</f>
      </c>
      <c r="AW113" s="57">
        <f>ROUND(F113*AO113,2)</f>
      </c>
      <c r="AX113" s="57">
        <f>ROUND(F113*AP113,2)</f>
      </c>
      <c r="AY113" s="60" t="s">
        <v>166</v>
      </c>
      <c r="AZ113" s="60" t="s">
        <v>167</v>
      </c>
      <c r="BA113" s="33" t="s">
        <v>65</v>
      </c>
      <c r="BC113" s="57">
        <f>AW113+AX113</f>
      </c>
      <c r="BD113" s="57">
        <f>G113/(100-BE113)*100</f>
      </c>
      <c r="BE113" s="57" t="n">
        <v>0</v>
      </c>
      <c r="BF113" s="57">
        <f>113</f>
      </c>
      <c r="BH113" s="57">
        <f>F113*AO113</f>
      </c>
      <c r="BI113" s="57">
        <f>F113*AP113</f>
      </c>
      <c r="BJ113" s="57">
        <f>F113*G113</f>
      </c>
      <c r="BK113" s="60" t="s">
        <v>98</v>
      </c>
      <c r="BL113" s="57" t="n">
        <v>62</v>
      </c>
      <c r="BW113" s="57" t="n">
        <v>12</v>
      </c>
      <c r="BX113" s="16" t="s">
        <v>279</v>
      </c>
    </row>
    <row r="114">
      <c r="A114" s="10" t="s">
        <v>280</v>
      </c>
      <c r="B114" s="11" t="s">
        <v>138</v>
      </c>
      <c r="C114" s="16" t="s">
        <v>281</v>
      </c>
      <c r="D114" s="11"/>
      <c r="E114" s="11" t="s">
        <v>126</v>
      </c>
      <c r="F114" s="57" t="n">
        <v>444.585</v>
      </c>
      <c r="G114" s="58" t="n">
        <v>0</v>
      </c>
      <c r="H114" s="57">
        <f>ROUND(F114*AO114,2)</f>
      </c>
      <c r="I114" s="57">
        <f>ROUND(F114*AP114,2)</f>
      </c>
      <c r="J114" s="57">
        <f>ROUND(F114*G114,2)</f>
      </c>
      <c r="K114" s="59" t="s">
        <v>140</v>
      </c>
      <c r="Z114" s="57">
        <f>ROUND(IF(AQ114="5",BJ114,0),2)</f>
      </c>
      <c r="AB114" s="57">
        <f>ROUND(IF(AQ114="1",BH114,0),2)</f>
      </c>
      <c r="AC114" s="57">
        <f>ROUND(IF(AQ114="1",BI114,0),2)</f>
      </c>
      <c r="AD114" s="57">
        <f>ROUND(IF(AQ114="7",BH114,0),2)</f>
      </c>
      <c r="AE114" s="57">
        <f>ROUND(IF(AQ114="7",BI114,0),2)</f>
      </c>
      <c r="AF114" s="57">
        <f>ROUND(IF(AQ114="2",BH114,0),2)</f>
      </c>
      <c r="AG114" s="57">
        <f>ROUND(IF(AQ114="2",BI114,0),2)</f>
      </c>
      <c r="AH114" s="57">
        <f>ROUND(IF(AQ114="0",BJ114,0),2)</f>
      </c>
      <c r="AI114" s="33" t="s">
        <v>57</v>
      </c>
      <c r="AJ114" s="57">
        <f>IF(AN114=0,J114,0)</f>
      </c>
      <c r="AK114" s="57">
        <f>IF(AN114=12,J114,0)</f>
      </c>
      <c r="AL114" s="57">
        <f>IF(AN114=21,J114,0)</f>
      </c>
      <c r="AN114" s="57" t="n">
        <v>12</v>
      </c>
      <c r="AO114" s="57">
        <f>G114*0.103867409</f>
      </c>
      <c r="AP114" s="57">
        <f>G114*(1-0.103867409)</f>
      </c>
      <c r="AQ114" s="60" t="s">
        <v>58</v>
      </c>
      <c r="AV114" s="57">
        <f>ROUND(AW114+AX114,2)</f>
      </c>
      <c r="AW114" s="57">
        <f>ROUND(F114*AO114,2)</f>
      </c>
      <c r="AX114" s="57">
        <f>ROUND(F114*AP114,2)</f>
      </c>
      <c r="AY114" s="60" t="s">
        <v>166</v>
      </c>
      <c r="AZ114" s="60" t="s">
        <v>167</v>
      </c>
      <c r="BA114" s="33" t="s">
        <v>65</v>
      </c>
      <c r="BB114" s="61" t="n">
        <v>100088</v>
      </c>
      <c r="BC114" s="57">
        <f>AW114+AX114</f>
      </c>
      <c r="BD114" s="57">
        <f>G114/(100-BE114)*100</f>
      </c>
      <c r="BE114" s="57" t="n">
        <v>0</v>
      </c>
      <c r="BF114" s="57">
        <f>114</f>
      </c>
      <c r="BH114" s="57">
        <f>F114*AO114</f>
      </c>
      <c r="BI114" s="57">
        <f>F114*AP114</f>
      </c>
      <c r="BJ114" s="57">
        <f>F114*G114</f>
      </c>
      <c r="BK114" s="60" t="s">
        <v>66</v>
      </c>
      <c r="BL114" s="57" t="n">
        <v>62</v>
      </c>
      <c r="BW114" s="57" t="n">
        <v>12</v>
      </c>
      <c r="BX114" s="16" t="s">
        <v>281</v>
      </c>
    </row>
    <row r="115">
      <c r="A115" s="10" t="s">
        <v>282</v>
      </c>
      <c r="B115" s="11" t="s">
        <v>283</v>
      </c>
      <c r="C115" s="16" t="s">
        <v>284</v>
      </c>
      <c r="D115" s="11"/>
      <c r="E115" s="11" t="s">
        <v>61</v>
      </c>
      <c r="F115" s="57" t="n">
        <v>3107.35997</v>
      </c>
      <c r="G115" s="58" t="n">
        <v>0</v>
      </c>
      <c r="H115" s="57">
        <f>ROUND(F115*AO115,2)</f>
      </c>
      <c r="I115" s="57">
        <f>ROUND(F115*AP115,2)</f>
      </c>
      <c r="J115" s="57">
        <f>ROUND(F115*G115,2)</f>
      </c>
      <c r="K115" s="59" t="s">
        <v>62</v>
      </c>
      <c r="Z115" s="57">
        <f>ROUND(IF(AQ115="5",BJ115,0),2)</f>
      </c>
      <c r="AB115" s="57">
        <f>ROUND(IF(AQ115="1",BH115,0),2)</f>
      </c>
      <c r="AC115" s="57">
        <f>ROUND(IF(AQ115="1",BI115,0),2)</f>
      </c>
      <c r="AD115" s="57">
        <f>ROUND(IF(AQ115="7",BH115,0),2)</f>
      </c>
      <c r="AE115" s="57">
        <f>ROUND(IF(AQ115="7",BI115,0),2)</f>
      </c>
      <c r="AF115" s="57">
        <f>ROUND(IF(AQ115="2",BH115,0),2)</f>
      </c>
      <c r="AG115" s="57">
        <f>ROUND(IF(AQ115="2",BI115,0),2)</f>
      </c>
      <c r="AH115" s="57">
        <f>ROUND(IF(AQ115="0",BJ115,0),2)</f>
      </c>
      <c r="AI115" s="33" t="s">
        <v>57</v>
      </c>
      <c r="AJ115" s="57">
        <f>IF(AN115=0,J115,0)</f>
      </c>
      <c r="AK115" s="57">
        <f>IF(AN115=12,J115,0)</f>
      </c>
      <c r="AL115" s="57">
        <f>IF(AN115=21,J115,0)</f>
      </c>
      <c r="AN115" s="57" t="n">
        <v>12</v>
      </c>
      <c r="AO115" s="57">
        <f>G115*0.059556085</f>
      </c>
      <c r="AP115" s="57">
        <f>G115*(1-0.059556085)</f>
      </c>
      <c r="AQ115" s="60" t="s">
        <v>58</v>
      </c>
      <c r="AV115" s="57">
        <f>ROUND(AW115+AX115,2)</f>
      </c>
      <c r="AW115" s="57">
        <f>ROUND(F115*AO115,2)</f>
      </c>
      <c r="AX115" s="57">
        <f>ROUND(F115*AP115,2)</f>
      </c>
      <c r="AY115" s="60" t="s">
        <v>166</v>
      </c>
      <c r="AZ115" s="60" t="s">
        <v>167</v>
      </c>
      <c r="BA115" s="33" t="s">
        <v>65</v>
      </c>
      <c r="BB115" s="61" t="n">
        <v>100088</v>
      </c>
      <c r="BC115" s="57">
        <f>AW115+AX115</f>
      </c>
      <c r="BD115" s="57">
        <f>G115/(100-BE115)*100</f>
      </c>
      <c r="BE115" s="57" t="n">
        <v>0</v>
      </c>
      <c r="BF115" s="57">
        <f>115</f>
      </c>
      <c r="BH115" s="57">
        <f>F115*AO115</f>
      </c>
      <c r="BI115" s="57">
        <f>F115*AP115</f>
      </c>
      <c r="BJ115" s="57">
        <f>F115*G115</f>
      </c>
      <c r="BK115" s="60" t="s">
        <v>66</v>
      </c>
      <c r="BL115" s="57" t="n">
        <v>62</v>
      </c>
      <c r="BW115" s="57" t="n">
        <v>12</v>
      </c>
      <c r="BX115" s="16" t="s">
        <v>284</v>
      </c>
    </row>
    <row r="116">
      <c r="A116" s="10" t="s">
        <v>285</v>
      </c>
      <c r="B116" s="11" t="s">
        <v>286</v>
      </c>
      <c r="C116" s="16" t="s">
        <v>287</v>
      </c>
      <c r="D116" s="11"/>
      <c r="E116" s="11" t="s">
        <v>61</v>
      </c>
      <c r="F116" s="57" t="n">
        <v>42.05625</v>
      </c>
      <c r="G116" s="58" t="n">
        <v>0</v>
      </c>
      <c r="H116" s="57">
        <f>ROUND(F116*AO116,2)</f>
      </c>
      <c r="I116" s="57">
        <f>ROUND(F116*AP116,2)</f>
      </c>
      <c r="J116" s="57">
        <f>ROUND(F116*G116,2)</f>
      </c>
      <c r="K116" s="59" t="s">
        <v>62</v>
      </c>
      <c r="Z116" s="57">
        <f>ROUND(IF(AQ116="5",BJ116,0),2)</f>
      </c>
      <c r="AB116" s="57">
        <f>ROUND(IF(AQ116="1",BH116,0),2)</f>
      </c>
      <c r="AC116" s="57">
        <f>ROUND(IF(AQ116="1",BI116,0),2)</f>
      </c>
      <c r="AD116" s="57">
        <f>ROUND(IF(AQ116="7",BH116,0),2)</f>
      </c>
      <c r="AE116" s="57">
        <f>ROUND(IF(AQ116="7",BI116,0),2)</f>
      </c>
      <c r="AF116" s="57">
        <f>ROUND(IF(AQ116="2",BH116,0),2)</f>
      </c>
      <c r="AG116" s="57">
        <f>ROUND(IF(AQ116="2",BI116,0),2)</f>
      </c>
      <c r="AH116" s="57">
        <f>ROUND(IF(AQ116="0",BJ116,0),2)</f>
      </c>
      <c r="AI116" s="33" t="s">
        <v>57</v>
      </c>
      <c r="AJ116" s="57">
        <f>IF(AN116=0,J116,0)</f>
      </c>
      <c r="AK116" s="57">
        <f>IF(AN116=12,J116,0)</f>
      </c>
      <c r="AL116" s="57">
        <f>IF(AN116=21,J116,0)</f>
      </c>
      <c r="AN116" s="57" t="n">
        <v>12</v>
      </c>
      <c r="AO116" s="57">
        <f>G116*0</f>
      </c>
      <c r="AP116" s="57">
        <f>G116*(1-0)</f>
      </c>
      <c r="AQ116" s="60" t="s">
        <v>58</v>
      </c>
      <c r="AV116" s="57">
        <f>ROUND(AW116+AX116,2)</f>
      </c>
      <c r="AW116" s="57">
        <f>ROUND(F116*AO116,2)</f>
      </c>
      <c r="AX116" s="57">
        <f>ROUND(F116*AP116,2)</f>
      </c>
      <c r="AY116" s="60" t="s">
        <v>166</v>
      </c>
      <c r="AZ116" s="60" t="s">
        <v>167</v>
      </c>
      <c r="BA116" s="33" t="s">
        <v>65</v>
      </c>
      <c r="BB116" s="61" t="n">
        <v>100088</v>
      </c>
      <c r="BC116" s="57">
        <f>AW116+AX116</f>
      </c>
      <c r="BD116" s="57">
        <f>G116/(100-BE116)*100</f>
      </c>
      <c r="BE116" s="57" t="n">
        <v>0</v>
      </c>
      <c r="BF116" s="57">
        <f>116</f>
      </c>
      <c r="BH116" s="57">
        <f>F116*AO116</f>
      </c>
      <c r="BI116" s="57">
        <f>F116*AP116</f>
      </c>
      <c r="BJ116" s="57">
        <f>F116*G116</f>
      </c>
      <c r="BK116" s="60" t="s">
        <v>66</v>
      </c>
      <c r="BL116" s="57" t="n">
        <v>62</v>
      </c>
      <c r="BW116" s="57" t="n">
        <v>12</v>
      </c>
      <c r="BX116" s="16" t="s">
        <v>287</v>
      </c>
    </row>
    <row r="117">
      <c r="A117" s="51" t="s">
        <v>53</v>
      </c>
      <c r="B117" s="52" t="s">
        <v>288</v>
      </c>
      <c r="C117" s="53" t="s">
        <v>289</v>
      </c>
      <c r="D117" s="52"/>
      <c r="E117" s="54" t="s">
        <v>4</v>
      </c>
      <c r="F117" s="54" t="s">
        <v>4</v>
      </c>
      <c r="G117" s="55" t="s">
        <v>4</v>
      </c>
      <c r="H117" s="2">
        <f>ROUND(SUM(H118:H125),2)</f>
      </c>
      <c r="I117" s="2">
        <f>ROUND(SUM(I118:I125),2)</f>
      </c>
      <c r="J117" s="2">
        <f>ROUND(SUM(J118:J125),2)</f>
      </c>
      <c r="K117" s="56" t="s">
        <v>53</v>
      </c>
      <c r="AI117" s="33" t="s">
        <v>57</v>
      </c>
      <c r="AS117" s="2">
        <f>SUM(AJ118:AJ125)</f>
      </c>
      <c r="AT117" s="2">
        <f>SUM(AK118:AK125)</f>
      </c>
      <c r="AU117" s="2">
        <f>SUM(AL118:AL125)</f>
      </c>
    </row>
    <row r="118">
      <c r="A118" s="10" t="s">
        <v>290</v>
      </c>
      <c r="B118" s="11" t="s">
        <v>291</v>
      </c>
      <c r="C118" s="16" t="s">
        <v>292</v>
      </c>
      <c r="D118" s="11"/>
      <c r="E118" s="11" t="s">
        <v>61</v>
      </c>
      <c r="F118" s="57" t="n">
        <v>100.935</v>
      </c>
      <c r="G118" s="58" t="n">
        <v>0</v>
      </c>
      <c r="H118" s="57">
        <f>ROUND(F118*AO118,2)</f>
      </c>
      <c r="I118" s="57">
        <f>ROUND(F118*AP118,2)</f>
      </c>
      <c r="J118" s="57">
        <f>ROUND(F118*G118,2)</f>
      </c>
      <c r="K118" s="59" t="s">
        <v>62</v>
      </c>
      <c r="Z118" s="57">
        <f>ROUND(IF(AQ118="5",BJ118,0),2)</f>
      </c>
      <c r="AB118" s="57">
        <f>ROUND(IF(AQ118="1",BH118,0),2)</f>
      </c>
      <c r="AC118" s="57">
        <f>ROUND(IF(AQ118="1",BI118,0),2)</f>
      </c>
      <c r="AD118" s="57">
        <f>ROUND(IF(AQ118="7",BH118,0),2)</f>
      </c>
      <c r="AE118" s="57">
        <f>ROUND(IF(AQ118="7",BI118,0),2)</f>
      </c>
      <c r="AF118" s="57">
        <f>ROUND(IF(AQ118="2",BH118,0),2)</f>
      </c>
      <c r="AG118" s="57">
        <f>ROUND(IF(AQ118="2",BI118,0),2)</f>
      </c>
      <c r="AH118" s="57">
        <f>ROUND(IF(AQ118="0",BJ118,0),2)</f>
      </c>
      <c r="AI118" s="33" t="s">
        <v>57</v>
      </c>
      <c r="AJ118" s="57">
        <f>IF(AN118=0,J118,0)</f>
      </c>
      <c r="AK118" s="57">
        <f>IF(AN118=12,J118,0)</f>
      </c>
      <c r="AL118" s="57">
        <f>IF(AN118=21,J118,0)</f>
      </c>
      <c r="AN118" s="57" t="n">
        <v>12</v>
      </c>
      <c r="AO118" s="57">
        <f>G118*0.135113836</f>
      </c>
      <c r="AP118" s="57">
        <f>G118*(1-0.135113836)</f>
      </c>
      <c r="AQ118" s="60" t="s">
        <v>89</v>
      </c>
      <c r="AV118" s="57">
        <f>ROUND(AW118+AX118,2)</f>
      </c>
      <c r="AW118" s="57">
        <f>ROUND(F118*AO118,2)</f>
      </c>
      <c r="AX118" s="57">
        <f>ROUND(F118*AP118,2)</f>
      </c>
      <c r="AY118" s="60" t="s">
        <v>293</v>
      </c>
      <c r="AZ118" s="60" t="s">
        <v>294</v>
      </c>
      <c r="BA118" s="33" t="s">
        <v>65</v>
      </c>
      <c r="BB118" s="61" t="n">
        <v>100089</v>
      </c>
      <c r="BC118" s="57">
        <f>AW118+AX118</f>
      </c>
      <c r="BD118" s="57">
        <f>G118/(100-BE118)*100</f>
      </c>
      <c r="BE118" s="57" t="n">
        <v>0</v>
      </c>
      <c r="BF118" s="57">
        <f>118</f>
      </c>
      <c r="BH118" s="57">
        <f>F118*AO118</f>
      </c>
      <c r="BI118" s="57">
        <f>F118*AP118</f>
      </c>
      <c r="BJ118" s="57">
        <f>F118*G118</f>
      </c>
      <c r="BK118" s="60" t="s">
        <v>66</v>
      </c>
      <c r="BL118" s="57" t="n">
        <v>711</v>
      </c>
      <c r="BW118" s="57" t="n">
        <v>12</v>
      </c>
      <c r="BX118" s="16" t="s">
        <v>292</v>
      </c>
    </row>
    <row r="119">
      <c r="A119" s="10" t="s">
        <v>295</v>
      </c>
      <c r="B119" s="11" t="s">
        <v>296</v>
      </c>
      <c r="C119" s="16" t="s">
        <v>297</v>
      </c>
      <c r="D119" s="11"/>
      <c r="E119" s="11" t="s">
        <v>97</v>
      </c>
      <c r="F119" s="57" t="n">
        <v>40.374</v>
      </c>
      <c r="G119" s="58" t="n">
        <v>0</v>
      </c>
      <c r="H119" s="57">
        <f>ROUND(F119*AO119,2)</f>
      </c>
      <c r="I119" s="57">
        <f>ROUND(F119*AP119,2)</f>
      </c>
      <c r="J119" s="57">
        <f>ROUND(F119*G119,2)</f>
      </c>
      <c r="K119" s="59" t="s">
        <v>62</v>
      </c>
      <c r="Z119" s="57">
        <f>ROUND(IF(AQ119="5",BJ119,0),2)</f>
      </c>
      <c r="AB119" s="57">
        <f>ROUND(IF(AQ119="1",BH119,0),2)</f>
      </c>
      <c r="AC119" s="57">
        <f>ROUND(IF(AQ119="1",BI119,0),2)</f>
      </c>
      <c r="AD119" s="57">
        <f>ROUND(IF(AQ119="7",BH119,0),2)</f>
      </c>
      <c r="AE119" s="57">
        <f>ROUND(IF(AQ119="7",BI119,0),2)</f>
      </c>
      <c r="AF119" s="57">
        <f>ROUND(IF(AQ119="2",BH119,0),2)</f>
      </c>
      <c r="AG119" s="57">
        <f>ROUND(IF(AQ119="2",BI119,0),2)</f>
      </c>
      <c r="AH119" s="57">
        <f>ROUND(IF(AQ119="0",BJ119,0),2)</f>
      </c>
      <c r="AI119" s="33" t="s">
        <v>57</v>
      </c>
      <c r="AJ119" s="57">
        <f>IF(AN119=0,J119,0)</f>
      </c>
      <c r="AK119" s="57">
        <f>IF(AN119=12,J119,0)</f>
      </c>
      <c r="AL119" s="57">
        <f>IF(AN119=21,J119,0)</f>
      </c>
      <c r="AN119" s="57" t="n">
        <v>12</v>
      </c>
      <c r="AO119" s="57">
        <f>G119*1</f>
      </c>
      <c r="AP119" s="57">
        <f>G119*(1-1)</f>
      </c>
      <c r="AQ119" s="60" t="s">
        <v>89</v>
      </c>
      <c r="AV119" s="57">
        <f>ROUND(AW119+AX119,2)</f>
      </c>
      <c r="AW119" s="57">
        <f>ROUND(F119*AO119,2)</f>
      </c>
      <c r="AX119" s="57">
        <f>ROUND(F119*AP119,2)</f>
      </c>
      <c r="AY119" s="60" t="s">
        <v>293</v>
      </c>
      <c r="AZ119" s="60" t="s">
        <v>294</v>
      </c>
      <c r="BA119" s="33" t="s">
        <v>65</v>
      </c>
      <c r="BC119" s="57">
        <f>AW119+AX119</f>
      </c>
      <c r="BD119" s="57">
        <f>G119/(100-BE119)*100</f>
      </c>
      <c r="BE119" s="57" t="n">
        <v>0</v>
      </c>
      <c r="BF119" s="57">
        <f>119</f>
      </c>
      <c r="BH119" s="57">
        <f>F119*AO119</f>
      </c>
      <c r="BI119" s="57">
        <f>F119*AP119</f>
      </c>
      <c r="BJ119" s="57">
        <f>F119*G119</f>
      </c>
      <c r="BK119" s="60" t="s">
        <v>98</v>
      </c>
      <c r="BL119" s="57" t="n">
        <v>711</v>
      </c>
      <c r="BW119" s="57" t="n">
        <v>12</v>
      </c>
      <c r="BX119" s="16" t="s">
        <v>297</v>
      </c>
    </row>
    <row r="120">
      <c r="A120" s="10" t="s">
        <v>298</v>
      </c>
      <c r="B120" s="11" t="s">
        <v>299</v>
      </c>
      <c r="C120" s="16" t="s">
        <v>300</v>
      </c>
      <c r="D120" s="11"/>
      <c r="E120" s="11" t="s">
        <v>61</v>
      </c>
      <c r="F120" s="57" t="n">
        <v>67.29</v>
      </c>
      <c r="G120" s="58" t="n">
        <v>0</v>
      </c>
      <c r="H120" s="57">
        <f>ROUND(F120*AO120,2)</f>
      </c>
      <c r="I120" s="57">
        <f>ROUND(F120*AP120,2)</f>
      </c>
      <c r="J120" s="57">
        <f>ROUND(F120*G120,2)</f>
      </c>
      <c r="K120" s="59" t="s">
        <v>62</v>
      </c>
      <c r="Z120" s="57">
        <f>ROUND(IF(AQ120="5",BJ120,0),2)</f>
      </c>
      <c r="AB120" s="57">
        <f>ROUND(IF(AQ120="1",BH120,0),2)</f>
      </c>
      <c r="AC120" s="57">
        <f>ROUND(IF(AQ120="1",BI120,0),2)</f>
      </c>
      <c r="AD120" s="57">
        <f>ROUND(IF(AQ120="7",BH120,0),2)</f>
      </c>
      <c r="AE120" s="57">
        <f>ROUND(IF(AQ120="7",BI120,0),2)</f>
      </c>
      <c r="AF120" s="57">
        <f>ROUND(IF(AQ120="2",BH120,0),2)</f>
      </c>
      <c r="AG120" s="57">
        <f>ROUND(IF(AQ120="2",BI120,0),2)</f>
      </c>
      <c r="AH120" s="57">
        <f>ROUND(IF(AQ120="0",BJ120,0),2)</f>
      </c>
      <c r="AI120" s="33" t="s">
        <v>57</v>
      </c>
      <c r="AJ120" s="57">
        <f>IF(AN120=0,J120,0)</f>
      </c>
      <c r="AK120" s="57">
        <f>IF(AN120=12,J120,0)</f>
      </c>
      <c r="AL120" s="57">
        <f>IF(AN120=21,J120,0)</f>
      </c>
      <c r="AN120" s="57" t="n">
        <v>12</v>
      </c>
      <c r="AO120" s="57">
        <f>G120*0.204535019</f>
      </c>
      <c r="AP120" s="57">
        <f>G120*(1-0.204535019)</f>
      </c>
      <c r="AQ120" s="60" t="s">
        <v>89</v>
      </c>
      <c r="AV120" s="57">
        <f>ROUND(AW120+AX120,2)</f>
      </c>
      <c r="AW120" s="57">
        <f>ROUND(F120*AO120,2)</f>
      </c>
      <c r="AX120" s="57">
        <f>ROUND(F120*AP120,2)</f>
      </c>
      <c r="AY120" s="60" t="s">
        <v>293</v>
      </c>
      <c r="AZ120" s="60" t="s">
        <v>294</v>
      </c>
      <c r="BA120" s="33" t="s">
        <v>65</v>
      </c>
      <c r="BB120" s="61" t="n">
        <v>100089</v>
      </c>
      <c r="BC120" s="57">
        <f>AW120+AX120</f>
      </c>
      <c r="BD120" s="57">
        <f>G120/(100-BE120)*100</f>
      </c>
      <c r="BE120" s="57" t="n">
        <v>0</v>
      </c>
      <c r="BF120" s="57">
        <f>120</f>
      </c>
      <c r="BH120" s="57">
        <f>F120*AO120</f>
      </c>
      <c r="BI120" s="57">
        <f>F120*AP120</f>
      </c>
      <c r="BJ120" s="57">
        <f>F120*G120</f>
      </c>
      <c r="BK120" s="60" t="s">
        <v>66</v>
      </c>
      <c r="BL120" s="57" t="n">
        <v>711</v>
      </c>
      <c r="BW120" s="57" t="n">
        <v>12</v>
      </c>
      <c r="BX120" s="16" t="s">
        <v>300</v>
      </c>
    </row>
    <row r="121">
      <c r="A121" s="10" t="s">
        <v>301</v>
      </c>
      <c r="B121" s="11" t="s">
        <v>302</v>
      </c>
      <c r="C121" s="16" t="s">
        <v>303</v>
      </c>
      <c r="D121" s="11"/>
      <c r="E121" s="11" t="s">
        <v>61</v>
      </c>
      <c r="F121" s="57" t="n">
        <v>84.1125</v>
      </c>
      <c r="G121" s="58" t="n">
        <v>0</v>
      </c>
      <c r="H121" s="57">
        <f>ROUND(F121*AO121,2)</f>
      </c>
      <c r="I121" s="57">
        <f>ROUND(F121*AP121,2)</f>
      </c>
      <c r="J121" s="57">
        <f>ROUND(F121*G121,2)</f>
      </c>
      <c r="K121" s="59" t="s">
        <v>62</v>
      </c>
      <c r="Z121" s="57">
        <f>ROUND(IF(AQ121="5",BJ121,0),2)</f>
      </c>
      <c r="AB121" s="57">
        <f>ROUND(IF(AQ121="1",BH121,0),2)</f>
      </c>
      <c r="AC121" s="57">
        <f>ROUND(IF(AQ121="1",BI121,0),2)</f>
      </c>
      <c r="AD121" s="57">
        <f>ROUND(IF(AQ121="7",BH121,0),2)</f>
      </c>
      <c r="AE121" s="57">
        <f>ROUND(IF(AQ121="7",BI121,0),2)</f>
      </c>
      <c r="AF121" s="57">
        <f>ROUND(IF(AQ121="2",BH121,0),2)</f>
      </c>
      <c r="AG121" s="57">
        <f>ROUND(IF(AQ121="2",BI121,0),2)</f>
      </c>
      <c r="AH121" s="57">
        <f>ROUND(IF(AQ121="0",BJ121,0),2)</f>
      </c>
      <c r="AI121" s="33" t="s">
        <v>57</v>
      </c>
      <c r="AJ121" s="57">
        <f>IF(AN121=0,J121,0)</f>
      </c>
      <c r="AK121" s="57">
        <f>IF(AN121=12,J121,0)</f>
      </c>
      <c r="AL121" s="57">
        <f>IF(AN121=21,J121,0)</f>
      </c>
      <c r="AN121" s="57" t="n">
        <v>12</v>
      </c>
      <c r="AO121" s="57">
        <f>G121*0.105276667</f>
      </c>
      <c r="AP121" s="57">
        <f>G121*(1-0.105276667)</f>
      </c>
      <c r="AQ121" s="60" t="s">
        <v>89</v>
      </c>
      <c r="AV121" s="57">
        <f>ROUND(AW121+AX121,2)</f>
      </c>
      <c r="AW121" s="57">
        <f>ROUND(F121*AO121,2)</f>
      </c>
      <c r="AX121" s="57">
        <f>ROUND(F121*AP121,2)</f>
      </c>
      <c r="AY121" s="60" t="s">
        <v>293</v>
      </c>
      <c r="AZ121" s="60" t="s">
        <v>294</v>
      </c>
      <c r="BA121" s="33" t="s">
        <v>65</v>
      </c>
      <c r="BB121" s="61" t="n">
        <v>100089</v>
      </c>
      <c r="BC121" s="57">
        <f>AW121+AX121</f>
      </c>
      <c r="BD121" s="57">
        <f>G121/(100-BE121)*100</f>
      </c>
      <c r="BE121" s="57" t="n">
        <v>0</v>
      </c>
      <c r="BF121" s="57">
        <f>121</f>
      </c>
      <c r="BH121" s="57">
        <f>F121*AO121</f>
      </c>
      <c r="BI121" s="57">
        <f>F121*AP121</f>
      </c>
      <c r="BJ121" s="57">
        <f>F121*G121</f>
      </c>
      <c r="BK121" s="60" t="s">
        <v>66</v>
      </c>
      <c r="BL121" s="57" t="n">
        <v>711</v>
      </c>
      <c r="BW121" s="57" t="n">
        <v>12</v>
      </c>
      <c r="BX121" s="16" t="s">
        <v>303</v>
      </c>
    </row>
    <row r="122" ht="24.75">
      <c r="A122" s="10" t="s">
        <v>304</v>
      </c>
      <c r="B122" s="11" t="s">
        <v>305</v>
      </c>
      <c r="C122" s="16" t="s">
        <v>306</v>
      </c>
      <c r="D122" s="11"/>
      <c r="E122" s="11" t="s">
        <v>61</v>
      </c>
      <c r="F122" s="57" t="n">
        <v>92.52375</v>
      </c>
      <c r="G122" s="58" t="n">
        <v>0</v>
      </c>
      <c r="H122" s="57">
        <f>ROUND(F122*AO122,2)</f>
      </c>
      <c r="I122" s="57">
        <f>ROUND(F122*AP122,2)</f>
      </c>
      <c r="J122" s="57">
        <f>ROUND(F122*G122,2)</f>
      </c>
      <c r="K122" s="59" t="s">
        <v>62</v>
      </c>
      <c r="Z122" s="57">
        <f>ROUND(IF(AQ122="5",BJ122,0),2)</f>
      </c>
      <c r="AB122" s="57">
        <f>ROUND(IF(AQ122="1",BH122,0),2)</f>
      </c>
      <c r="AC122" s="57">
        <f>ROUND(IF(AQ122="1",BI122,0),2)</f>
      </c>
      <c r="AD122" s="57">
        <f>ROUND(IF(AQ122="7",BH122,0),2)</f>
      </c>
      <c r="AE122" s="57">
        <f>ROUND(IF(AQ122="7",BI122,0),2)</f>
      </c>
      <c r="AF122" s="57">
        <f>ROUND(IF(AQ122="2",BH122,0),2)</f>
      </c>
      <c r="AG122" s="57">
        <f>ROUND(IF(AQ122="2",BI122,0),2)</f>
      </c>
      <c r="AH122" s="57">
        <f>ROUND(IF(AQ122="0",BJ122,0),2)</f>
      </c>
      <c r="AI122" s="33" t="s">
        <v>57</v>
      </c>
      <c r="AJ122" s="57">
        <f>IF(AN122=0,J122,0)</f>
      </c>
      <c r="AK122" s="57">
        <f>IF(AN122=12,J122,0)</f>
      </c>
      <c r="AL122" s="57">
        <f>IF(AN122=21,J122,0)</f>
      </c>
      <c r="AN122" s="57" t="n">
        <v>12</v>
      </c>
      <c r="AO122" s="57">
        <f>G122*1</f>
      </c>
      <c r="AP122" s="57">
        <f>G122*(1-1)</f>
      </c>
      <c r="AQ122" s="60" t="s">
        <v>89</v>
      </c>
      <c r="AV122" s="57">
        <f>ROUND(AW122+AX122,2)</f>
      </c>
      <c r="AW122" s="57">
        <f>ROUND(F122*AO122,2)</f>
      </c>
      <c r="AX122" s="57">
        <f>ROUND(F122*AP122,2)</f>
      </c>
      <c r="AY122" s="60" t="s">
        <v>293</v>
      </c>
      <c r="AZ122" s="60" t="s">
        <v>294</v>
      </c>
      <c r="BA122" s="33" t="s">
        <v>65</v>
      </c>
      <c r="BC122" s="57">
        <f>AW122+AX122</f>
      </c>
      <c r="BD122" s="57">
        <f>G122/(100-BE122)*100</f>
      </c>
      <c r="BE122" s="57" t="n">
        <v>0</v>
      </c>
      <c r="BF122" s="57">
        <f>122</f>
      </c>
      <c r="BH122" s="57">
        <f>F122*AO122</f>
      </c>
      <c r="BI122" s="57">
        <f>F122*AP122</f>
      </c>
      <c r="BJ122" s="57">
        <f>F122*G122</f>
      </c>
      <c r="BK122" s="60" t="s">
        <v>98</v>
      </c>
      <c r="BL122" s="57" t="n">
        <v>711</v>
      </c>
      <c r="BW122" s="57" t="n">
        <v>12</v>
      </c>
      <c r="BX122" s="16" t="s">
        <v>306</v>
      </c>
    </row>
    <row r="123">
      <c r="A123" s="10" t="s">
        <v>307</v>
      </c>
      <c r="B123" s="11" t="s">
        <v>308</v>
      </c>
      <c r="C123" s="16" t="s">
        <v>309</v>
      </c>
      <c r="D123" s="11"/>
      <c r="E123" s="11" t="s">
        <v>61</v>
      </c>
      <c r="F123" s="57" t="n">
        <v>84.1125</v>
      </c>
      <c r="G123" s="58" t="n">
        <v>0</v>
      </c>
      <c r="H123" s="57">
        <f>ROUND(F123*AO123,2)</f>
      </c>
      <c r="I123" s="57">
        <f>ROUND(F123*AP123,2)</f>
      </c>
      <c r="J123" s="57">
        <f>ROUND(F123*G123,2)</f>
      </c>
      <c r="K123" s="59" t="s">
        <v>62</v>
      </c>
      <c r="Z123" s="57">
        <f>ROUND(IF(AQ123="5",BJ123,0),2)</f>
      </c>
      <c r="AB123" s="57">
        <f>ROUND(IF(AQ123="1",BH123,0),2)</f>
      </c>
      <c r="AC123" s="57">
        <f>ROUND(IF(AQ123="1",BI123,0),2)</f>
      </c>
      <c r="AD123" s="57">
        <f>ROUND(IF(AQ123="7",BH123,0),2)</f>
      </c>
      <c r="AE123" s="57">
        <f>ROUND(IF(AQ123="7",BI123,0),2)</f>
      </c>
      <c r="AF123" s="57">
        <f>ROUND(IF(AQ123="2",BH123,0),2)</f>
      </c>
      <c r="AG123" s="57">
        <f>ROUND(IF(AQ123="2",BI123,0),2)</f>
      </c>
      <c r="AH123" s="57">
        <f>ROUND(IF(AQ123="0",BJ123,0),2)</f>
      </c>
      <c r="AI123" s="33" t="s">
        <v>57</v>
      </c>
      <c r="AJ123" s="57">
        <f>IF(AN123=0,J123,0)</f>
      </c>
      <c r="AK123" s="57">
        <f>IF(AN123=12,J123,0)</f>
      </c>
      <c r="AL123" s="57">
        <f>IF(AN123=21,J123,0)</f>
      </c>
      <c r="AN123" s="57" t="n">
        <v>12</v>
      </c>
      <c r="AO123" s="57">
        <f>G123*0.279191412</f>
      </c>
      <c r="AP123" s="57">
        <f>G123*(1-0.279191412)</f>
      </c>
      <c r="AQ123" s="60" t="s">
        <v>89</v>
      </c>
      <c r="AV123" s="57">
        <f>ROUND(AW123+AX123,2)</f>
      </c>
      <c r="AW123" s="57">
        <f>ROUND(F123*AO123,2)</f>
      </c>
      <c r="AX123" s="57">
        <f>ROUND(F123*AP123,2)</f>
      </c>
      <c r="AY123" s="60" t="s">
        <v>293</v>
      </c>
      <c r="AZ123" s="60" t="s">
        <v>294</v>
      </c>
      <c r="BA123" s="33" t="s">
        <v>65</v>
      </c>
      <c r="BB123" s="61" t="n">
        <v>100089</v>
      </c>
      <c r="BC123" s="57">
        <f>AW123+AX123</f>
      </c>
      <c r="BD123" s="57">
        <f>G123/(100-BE123)*100</f>
      </c>
      <c r="BE123" s="57" t="n">
        <v>0</v>
      </c>
      <c r="BF123" s="57">
        <f>123</f>
      </c>
      <c r="BH123" s="57">
        <f>F123*AO123</f>
      </c>
      <c r="BI123" s="57">
        <f>F123*AP123</f>
      </c>
      <c r="BJ123" s="57">
        <f>F123*G123</f>
      </c>
      <c r="BK123" s="60" t="s">
        <v>66</v>
      </c>
      <c r="BL123" s="57" t="n">
        <v>711</v>
      </c>
      <c r="BW123" s="57" t="n">
        <v>12</v>
      </c>
      <c r="BX123" s="16" t="s">
        <v>309</v>
      </c>
    </row>
    <row r="124" customHeight="true" ht="13.5">
      <c r="A124" s="62"/>
      <c r="B124" s="63" t="s">
        <v>106</v>
      </c>
      <c r="C124" s="64" t="s">
        <v>310</v>
      </c>
      <c r="D124" s="65"/>
      <c r="E124" s="65"/>
      <c r="F124" s="65"/>
      <c r="G124" s="66"/>
      <c r="H124" s="65"/>
      <c r="I124" s="65"/>
      <c r="J124" s="65"/>
      <c r="K124" s="67"/>
    </row>
    <row r="125">
      <c r="A125" s="10" t="s">
        <v>311</v>
      </c>
      <c r="B125" s="11" t="s">
        <v>312</v>
      </c>
      <c r="C125" s="16" t="s">
        <v>313</v>
      </c>
      <c r="D125" s="11"/>
      <c r="E125" s="11" t="s">
        <v>314</v>
      </c>
      <c r="F125" s="57" t="n">
        <v>0.55497</v>
      </c>
      <c r="G125" s="58" t="n">
        <v>0</v>
      </c>
      <c r="H125" s="57">
        <f>ROUND(F125*AO125,2)</f>
      </c>
      <c r="I125" s="57">
        <f>ROUND(F125*AP125,2)</f>
      </c>
      <c r="J125" s="57">
        <f>ROUND(F125*G125,2)</f>
      </c>
      <c r="K125" s="59" t="s">
        <v>62</v>
      </c>
      <c r="Z125" s="57">
        <f>ROUND(IF(AQ125="5",BJ125,0),2)</f>
      </c>
      <c r="AB125" s="57">
        <f>ROUND(IF(AQ125="1",BH125,0),2)</f>
      </c>
      <c r="AC125" s="57">
        <f>ROUND(IF(AQ125="1",BI125,0),2)</f>
      </c>
      <c r="AD125" s="57">
        <f>ROUND(IF(AQ125="7",BH125,0),2)</f>
      </c>
      <c r="AE125" s="57">
        <f>ROUND(IF(AQ125="7",BI125,0),2)</f>
      </c>
      <c r="AF125" s="57">
        <f>ROUND(IF(AQ125="2",BH125,0),2)</f>
      </c>
      <c r="AG125" s="57">
        <f>ROUND(IF(AQ125="2",BI125,0),2)</f>
      </c>
      <c r="AH125" s="57">
        <f>ROUND(IF(AQ125="0",BJ125,0),2)</f>
      </c>
      <c r="AI125" s="33" t="s">
        <v>57</v>
      </c>
      <c r="AJ125" s="57">
        <f>IF(AN125=0,J125,0)</f>
      </c>
      <c r="AK125" s="57">
        <f>IF(AN125=12,J125,0)</f>
      </c>
      <c r="AL125" s="57">
        <f>IF(AN125=21,J125,0)</f>
      </c>
      <c r="AN125" s="57" t="n">
        <v>12</v>
      </c>
      <c r="AO125" s="57">
        <f>G125*0</f>
      </c>
      <c r="AP125" s="57">
        <f>G125*(1-0)</f>
      </c>
      <c r="AQ125" s="60" t="s">
        <v>76</v>
      </c>
      <c r="AV125" s="57">
        <f>ROUND(AW125+AX125,2)</f>
      </c>
      <c r="AW125" s="57">
        <f>ROUND(F125*AO125,2)</f>
      </c>
      <c r="AX125" s="57">
        <f>ROUND(F125*AP125,2)</f>
      </c>
      <c r="AY125" s="60" t="s">
        <v>293</v>
      </c>
      <c r="AZ125" s="60" t="s">
        <v>294</v>
      </c>
      <c r="BA125" s="33" t="s">
        <v>65</v>
      </c>
      <c r="BB125" s="61" t="n">
        <v>100089</v>
      </c>
      <c r="BC125" s="57">
        <f>AW125+AX125</f>
      </c>
      <c r="BD125" s="57">
        <f>G125/(100-BE125)*100</f>
      </c>
      <c r="BE125" s="57" t="n">
        <v>0</v>
      </c>
      <c r="BF125" s="57">
        <f>125</f>
      </c>
      <c r="BH125" s="57">
        <f>F125*AO125</f>
      </c>
      <c r="BI125" s="57">
        <f>F125*AP125</f>
      </c>
      <c r="BJ125" s="57">
        <f>F125*G125</f>
      </c>
      <c r="BK125" s="60" t="s">
        <v>66</v>
      </c>
      <c r="BL125" s="57" t="n">
        <v>711</v>
      </c>
      <c r="BW125" s="57" t="n">
        <v>12</v>
      </c>
      <c r="BX125" s="16" t="s">
        <v>313</v>
      </c>
    </row>
    <row r="126">
      <c r="A126" s="51" t="s">
        <v>53</v>
      </c>
      <c r="B126" s="52" t="s">
        <v>315</v>
      </c>
      <c r="C126" s="53" t="s">
        <v>316</v>
      </c>
      <c r="D126" s="52"/>
      <c r="E126" s="54" t="s">
        <v>4</v>
      </c>
      <c r="F126" s="54" t="s">
        <v>4</v>
      </c>
      <c r="G126" s="55" t="s">
        <v>4</v>
      </c>
      <c r="H126" s="2">
        <f>ROUND(SUM(H127:H129),2)</f>
      </c>
      <c r="I126" s="2">
        <f>ROUND(SUM(I127:I129),2)</f>
      </c>
      <c r="J126" s="2">
        <f>ROUND(SUM(J127:J129),2)</f>
      </c>
      <c r="K126" s="56" t="s">
        <v>53</v>
      </c>
      <c r="AI126" s="33" t="s">
        <v>57</v>
      </c>
      <c r="AS126" s="2">
        <f>SUM(AJ127:AJ129)</f>
      </c>
      <c r="AT126" s="2">
        <f>SUM(AK127:AK129)</f>
      </c>
      <c r="AU126" s="2">
        <f>SUM(AL127:AL129)</f>
      </c>
    </row>
    <row r="127">
      <c r="A127" s="10" t="s">
        <v>317</v>
      </c>
      <c r="B127" s="11" t="s">
        <v>138</v>
      </c>
      <c r="C127" s="16" t="s">
        <v>318</v>
      </c>
      <c r="D127" s="11"/>
      <c r="E127" s="11" t="s">
        <v>174</v>
      </c>
      <c r="F127" s="57" t="n">
        <v>9</v>
      </c>
      <c r="G127" s="58" t="n">
        <v>0</v>
      </c>
      <c r="H127" s="57">
        <f>ROUND(F127*AO127,2)</f>
      </c>
      <c r="I127" s="57">
        <f>ROUND(F127*AP127,2)</f>
      </c>
      <c r="J127" s="57">
        <f>ROUND(F127*G127,2)</f>
      </c>
      <c r="K127" s="59" t="s">
        <v>140</v>
      </c>
      <c r="Z127" s="57">
        <f>ROUND(IF(AQ127="5",BJ127,0),2)</f>
      </c>
      <c r="AB127" s="57">
        <f>ROUND(IF(AQ127="1",BH127,0),2)</f>
      </c>
      <c r="AC127" s="57">
        <f>ROUND(IF(AQ127="1",BI127,0),2)</f>
      </c>
      <c r="AD127" s="57">
        <f>ROUND(IF(AQ127="7",BH127,0),2)</f>
      </c>
      <c r="AE127" s="57">
        <f>ROUND(IF(AQ127="7",BI127,0),2)</f>
      </c>
      <c r="AF127" s="57">
        <f>ROUND(IF(AQ127="2",BH127,0),2)</f>
      </c>
      <c r="AG127" s="57">
        <f>ROUND(IF(AQ127="2",BI127,0),2)</f>
      </c>
      <c r="AH127" s="57">
        <f>ROUND(IF(AQ127="0",BJ127,0),2)</f>
      </c>
      <c r="AI127" s="33" t="s">
        <v>57</v>
      </c>
      <c r="AJ127" s="57">
        <f>IF(AN127=0,J127,0)</f>
      </c>
      <c r="AK127" s="57">
        <f>IF(AN127=12,J127,0)</f>
      </c>
      <c r="AL127" s="57">
        <f>IF(AN127=21,J127,0)</f>
      </c>
      <c r="AN127" s="57" t="n">
        <v>12</v>
      </c>
      <c r="AO127" s="57">
        <f>G127*0</f>
      </c>
      <c r="AP127" s="57">
        <f>G127*(1-0)</f>
      </c>
      <c r="AQ127" s="60" t="s">
        <v>89</v>
      </c>
      <c r="AV127" s="57">
        <f>ROUND(AW127+AX127,2)</f>
      </c>
      <c r="AW127" s="57">
        <f>ROUND(F127*AO127,2)</f>
      </c>
      <c r="AX127" s="57">
        <f>ROUND(F127*AP127,2)</f>
      </c>
      <c r="AY127" s="60" t="s">
        <v>319</v>
      </c>
      <c r="AZ127" s="60" t="s">
        <v>320</v>
      </c>
      <c r="BA127" s="33" t="s">
        <v>65</v>
      </c>
      <c r="BB127" s="61" t="n">
        <v>100121</v>
      </c>
      <c r="BC127" s="57">
        <f>AW127+AX127</f>
      </c>
      <c r="BD127" s="57">
        <f>G127/(100-BE127)*100</f>
      </c>
      <c r="BE127" s="57" t="n">
        <v>0</v>
      </c>
      <c r="BF127" s="57">
        <f>127</f>
      </c>
      <c r="BH127" s="57">
        <f>F127*AO127</f>
      </c>
      <c r="BI127" s="57">
        <f>F127*AP127</f>
      </c>
      <c r="BJ127" s="57">
        <f>F127*G127</f>
      </c>
      <c r="BK127" s="60" t="s">
        <v>66</v>
      </c>
      <c r="BL127" s="57" t="n">
        <v>721</v>
      </c>
      <c r="BW127" s="57" t="n">
        <v>12</v>
      </c>
      <c r="BX127" s="16" t="s">
        <v>318</v>
      </c>
    </row>
    <row r="128">
      <c r="A128" s="10" t="s">
        <v>321</v>
      </c>
      <c r="B128" s="11" t="s">
        <v>322</v>
      </c>
      <c r="C128" s="16" t="s">
        <v>323</v>
      </c>
      <c r="D128" s="11"/>
      <c r="E128" s="11" t="s">
        <v>174</v>
      </c>
      <c r="F128" s="57" t="n">
        <v>9</v>
      </c>
      <c r="G128" s="58" t="n">
        <v>0</v>
      </c>
      <c r="H128" s="57">
        <f>ROUND(F128*AO128,2)</f>
      </c>
      <c r="I128" s="57">
        <f>ROUND(F128*AP128,2)</f>
      </c>
      <c r="J128" s="57">
        <f>ROUND(F128*G128,2)</f>
      </c>
      <c r="K128" s="59" t="s">
        <v>62</v>
      </c>
      <c r="Z128" s="57">
        <f>ROUND(IF(AQ128="5",BJ128,0),2)</f>
      </c>
      <c r="AB128" s="57">
        <f>ROUND(IF(AQ128="1",BH128,0),2)</f>
      </c>
      <c r="AC128" s="57">
        <f>ROUND(IF(AQ128="1",BI128,0),2)</f>
      </c>
      <c r="AD128" s="57">
        <f>ROUND(IF(AQ128="7",BH128,0),2)</f>
      </c>
      <c r="AE128" s="57">
        <f>ROUND(IF(AQ128="7",BI128,0),2)</f>
      </c>
      <c r="AF128" s="57">
        <f>ROUND(IF(AQ128="2",BH128,0),2)</f>
      </c>
      <c r="AG128" s="57">
        <f>ROUND(IF(AQ128="2",BI128,0),2)</f>
      </c>
      <c r="AH128" s="57">
        <f>ROUND(IF(AQ128="0",BJ128,0),2)</f>
      </c>
      <c r="AI128" s="33" t="s">
        <v>57</v>
      </c>
      <c r="AJ128" s="57">
        <f>IF(AN128=0,J128,0)</f>
      </c>
      <c r="AK128" s="57">
        <f>IF(AN128=12,J128,0)</f>
      </c>
      <c r="AL128" s="57">
        <f>IF(AN128=21,J128,0)</f>
      </c>
      <c r="AN128" s="57" t="n">
        <v>12</v>
      </c>
      <c r="AO128" s="57">
        <f>G128*0</f>
      </c>
      <c r="AP128" s="57">
        <f>G128*(1-0)</f>
      </c>
      <c r="AQ128" s="60" t="s">
        <v>89</v>
      </c>
      <c r="AV128" s="57">
        <f>ROUND(AW128+AX128,2)</f>
      </c>
      <c r="AW128" s="57">
        <f>ROUND(F128*AO128,2)</f>
      </c>
      <c r="AX128" s="57">
        <f>ROUND(F128*AP128,2)</f>
      </c>
      <c r="AY128" s="60" t="s">
        <v>319</v>
      </c>
      <c r="AZ128" s="60" t="s">
        <v>320</v>
      </c>
      <c r="BA128" s="33" t="s">
        <v>65</v>
      </c>
      <c r="BB128" s="61" t="n">
        <v>100121</v>
      </c>
      <c r="BC128" s="57">
        <f>AW128+AX128</f>
      </c>
      <c r="BD128" s="57">
        <f>G128/(100-BE128)*100</f>
      </c>
      <c r="BE128" s="57" t="n">
        <v>0</v>
      </c>
      <c r="BF128" s="57">
        <f>128</f>
      </c>
      <c r="BH128" s="57">
        <f>F128*AO128</f>
      </c>
      <c r="BI128" s="57">
        <f>F128*AP128</f>
      </c>
      <c r="BJ128" s="57">
        <f>F128*G128</f>
      </c>
      <c r="BK128" s="60" t="s">
        <v>66</v>
      </c>
      <c r="BL128" s="57" t="n">
        <v>721</v>
      </c>
      <c r="BW128" s="57" t="n">
        <v>12</v>
      </c>
      <c r="BX128" s="16" t="s">
        <v>323</v>
      </c>
    </row>
    <row r="129">
      <c r="A129" s="10" t="s">
        <v>324</v>
      </c>
      <c r="B129" s="11" t="s">
        <v>325</v>
      </c>
      <c r="C129" s="16" t="s">
        <v>326</v>
      </c>
      <c r="D129" s="11"/>
      <c r="E129" s="11" t="s">
        <v>314</v>
      </c>
      <c r="F129" s="57" t="n">
        <v>0.19017</v>
      </c>
      <c r="G129" s="58" t="n">
        <v>0</v>
      </c>
      <c r="H129" s="57">
        <f>ROUND(F129*AO129,2)</f>
      </c>
      <c r="I129" s="57">
        <f>ROUND(F129*AP129,2)</f>
      </c>
      <c r="J129" s="57">
        <f>ROUND(F129*G129,2)</f>
      </c>
      <c r="K129" s="59" t="s">
        <v>62</v>
      </c>
      <c r="Z129" s="57">
        <f>ROUND(IF(AQ129="5",BJ129,0),2)</f>
      </c>
      <c r="AB129" s="57">
        <f>ROUND(IF(AQ129="1",BH129,0),2)</f>
      </c>
      <c r="AC129" s="57">
        <f>ROUND(IF(AQ129="1",BI129,0),2)</f>
      </c>
      <c r="AD129" s="57">
        <f>ROUND(IF(AQ129="7",BH129,0),2)</f>
      </c>
      <c r="AE129" s="57">
        <f>ROUND(IF(AQ129="7",BI129,0),2)</f>
      </c>
      <c r="AF129" s="57">
        <f>ROUND(IF(AQ129="2",BH129,0),2)</f>
      </c>
      <c r="AG129" s="57">
        <f>ROUND(IF(AQ129="2",BI129,0),2)</f>
      </c>
      <c r="AH129" s="57">
        <f>ROUND(IF(AQ129="0",BJ129,0),2)</f>
      </c>
      <c r="AI129" s="33" t="s">
        <v>57</v>
      </c>
      <c r="AJ129" s="57">
        <f>IF(AN129=0,J129,0)</f>
      </c>
      <c r="AK129" s="57">
        <f>IF(AN129=12,J129,0)</f>
      </c>
      <c r="AL129" s="57">
        <f>IF(AN129=21,J129,0)</f>
      </c>
      <c r="AN129" s="57" t="n">
        <v>12</v>
      </c>
      <c r="AO129" s="57">
        <f>G129*0</f>
      </c>
      <c r="AP129" s="57">
        <f>G129*(1-0)</f>
      </c>
      <c r="AQ129" s="60" t="s">
        <v>76</v>
      </c>
      <c r="AV129" s="57">
        <f>ROUND(AW129+AX129,2)</f>
      </c>
      <c r="AW129" s="57">
        <f>ROUND(F129*AO129,2)</f>
      </c>
      <c r="AX129" s="57">
        <f>ROUND(F129*AP129,2)</f>
      </c>
      <c r="AY129" s="60" t="s">
        <v>319</v>
      </c>
      <c r="AZ129" s="60" t="s">
        <v>320</v>
      </c>
      <c r="BA129" s="33" t="s">
        <v>65</v>
      </c>
      <c r="BB129" s="61" t="n">
        <v>100121</v>
      </c>
      <c r="BC129" s="57">
        <f>AW129+AX129</f>
      </c>
      <c r="BD129" s="57">
        <f>G129/(100-BE129)*100</f>
      </c>
      <c r="BE129" s="57" t="n">
        <v>0</v>
      </c>
      <c r="BF129" s="57">
        <f>129</f>
      </c>
      <c r="BH129" s="57">
        <f>F129*AO129</f>
      </c>
      <c r="BI129" s="57">
        <f>F129*AP129</f>
      </c>
      <c r="BJ129" s="57">
        <f>F129*G129</f>
      </c>
      <c r="BK129" s="60" t="s">
        <v>66</v>
      </c>
      <c r="BL129" s="57" t="n">
        <v>721</v>
      </c>
      <c r="BW129" s="57" t="n">
        <v>12</v>
      </c>
      <c r="BX129" s="16" t="s">
        <v>326</v>
      </c>
    </row>
    <row r="130">
      <c r="A130" s="51" t="s">
        <v>53</v>
      </c>
      <c r="B130" s="52" t="s">
        <v>327</v>
      </c>
      <c r="C130" s="53" t="s">
        <v>328</v>
      </c>
      <c r="D130" s="52"/>
      <c r="E130" s="54" t="s">
        <v>4</v>
      </c>
      <c r="F130" s="54" t="s">
        <v>4</v>
      </c>
      <c r="G130" s="55" t="s">
        <v>4</v>
      </c>
      <c r="H130" s="2">
        <f>ROUND(SUM(H131:H141),2)</f>
      </c>
      <c r="I130" s="2">
        <f>ROUND(SUM(I131:I141),2)</f>
      </c>
      <c r="J130" s="2">
        <f>ROUND(SUM(J131:J141),2)</f>
      </c>
      <c r="K130" s="56" t="s">
        <v>53</v>
      </c>
      <c r="AI130" s="33" t="s">
        <v>57</v>
      </c>
      <c r="AS130" s="2">
        <f>SUM(AJ131:AJ141)</f>
      </c>
      <c r="AT130" s="2">
        <f>SUM(AK131:AK141)</f>
      </c>
      <c r="AU130" s="2">
        <f>SUM(AL131:AL141)</f>
      </c>
    </row>
    <row r="131">
      <c r="A131" s="10" t="s">
        <v>329</v>
      </c>
      <c r="B131" s="11" t="s">
        <v>330</v>
      </c>
      <c r="C131" s="16" t="s">
        <v>331</v>
      </c>
      <c r="D131" s="11"/>
      <c r="E131" s="11" t="s">
        <v>126</v>
      </c>
      <c r="F131" s="57" t="n">
        <v>30</v>
      </c>
      <c r="G131" s="58" t="n">
        <v>0</v>
      </c>
      <c r="H131" s="57">
        <f>ROUND(F131*AO131,2)</f>
      </c>
      <c r="I131" s="57">
        <f>ROUND(F131*AP131,2)</f>
      </c>
      <c r="J131" s="57">
        <f>ROUND(F131*G131,2)</f>
      </c>
      <c r="K131" s="59" t="s">
        <v>62</v>
      </c>
      <c r="Z131" s="57">
        <f>ROUND(IF(AQ131="5",BJ131,0),2)</f>
      </c>
      <c r="AB131" s="57">
        <f>ROUND(IF(AQ131="1",BH131,0),2)</f>
      </c>
      <c r="AC131" s="57">
        <f>ROUND(IF(AQ131="1",BI131,0),2)</f>
      </c>
      <c r="AD131" s="57">
        <f>ROUND(IF(AQ131="7",BH131,0),2)</f>
      </c>
      <c r="AE131" s="57">
        <f>ROUND(IF(AQ131="7",BI131,0),2)</f>
      </c>
      <c r="AF131" s="57">
        <f>ROUND(IF(AQ131="2",BH131,0),2)</f>
      </c>
      <c r="AG131" s="57">
        <f>ROUND(IF(AQ131="2",BI131,0),2)</f>
      </c>
      <c r="AH131" s="57">
        <f>ROUND(IF(AQ131="0",BJ131,0),2)</f>
      </c>
      <c r="AI131" s="33" t="s">
        <v>57</v>
      </c>
      <c r="AJ131" s="57">
        <f>IF(AN131=0,J131,0)</f>
      </c>
      <c r="AK131" s="57">
        <f>IF(AN131=12,J131,0)</f>
      </c>
      <c r="AL131" s="57">
        <f>IF(AN131=21,J131,0)</f>
      </c>
      <c r="AN131" s="57" t="n">
        <v>12</v>
      </c>
      <c r="AO131" s="57">
        <f>G131*0</f>
      </c>
      <c r="AP131" s="57">
        <f>G131*(1-0)</f>
      </c>
      <c r="AQ131" s="60" t="s">
        <v>89</v>
      </c>
      <c r="AV131" s="57">
        <f>ROUND(AW131+AX131,2)</f>
      </c>
      <c r="AW131" s="57">
        <f>ROUND(F131*AO131,2)</f>
      </c>
      <c r="AX131" s="57">
        <f>ROUND(F131*AP131,2)</f>
      </c>
      <c r="AY131" s="60" t="s">
        <v>332</v>
      </c>
      <c r="AZ131" s="60" t="s">
        <v>333</v>
      </c>
      <c r="BA131" s="33" t="s">
        <v>65</v>
      </c>
      <c r="BB131" s="61" t="n">
        <v>100090</v>
      </c>
      <c r="BC131" s="57">
        <f>AW131+AX131</f>
      </c>
      <c r="BD131" s="57">
        <f>G131/(100-BE131)*100</f>
      </c>
      <c r="BE131" s="57" t="n">
        <v>0</v>
      </c>
      <c r="BF131" s="57">
        <f>131</f>
      </c>
      <c r="BH131" s="57">
        <f>F131*AO131</f>
      </c>
      <c r="BI131" s="57">
        <f>F131*AP131</f>
      </c>
      <c r="BJ131" s="57">
        <f>F131*G131</f>
      </c>
      <c r="BK131" s="60" t="s">
        <v>66</v>
      </c>
      <c r="BL131" s="57" t="n">
        <v>728</v>
      </c>
      <c r="BW131" s="57" t="n">
        <v>12</v>
      </c>
      <c r="BX131" s="16" t="s">
        <v>331</v>
      </c>
    </row>
    <row r="132">
      <c r="A132" s="10" t="s">
        <v>334</v>
      </c>
      <c r="B132" s="11" t="s">
        <v>138</v>
      </c>
      <c r="C132" s="16" t="s">
        <v>335</v>
      </c>
      <c r="D132" s="11"/>
      <c r="E132" s="11" t="s">
        <v>174</v>
      </c>
      <c r="F132" s="57" t="n">
        <v>60</v>
      </c>
      <c r="G132" s="58" t="n">
        <v>0</v>
      </c>
      <c r="H132" s="57">
        <f>ROUND(F132*AO132,2)</f>
      </c>
      <c r="I132" s="57">
        <f>ROUND(F132*AP132,2)</f>
      </c>
      <c r="J132" s="57">
        <f>ROUND(F132*G132,2)</f>
      </c>
      <c r="K132" s="59" t="s">
        <v>140</v>
      </c>
      <c r="Z132" s="57">
        <f>ROUND(IF(AQ132="5",BJ132,0),2)</f>
      </c>
      <c r="AB132" s="57">
        <f>ROUND(IF(AQ132="1",BH132,0),2)</f>
      </c>
      <c r="AC132" s="57">
        <f>ROUND(IF(AQ132="1",BI132,0),2)</f>
      </c>
      <c r="AD132" s="57">
        <f>ROUND(IF(AQ132="7",BH132,0),2)</f>
      </c>
      <c r="AE132" s="57">
        <f>ROUND(IF(AQ132="7",BI132,0),2)</f>
      </c>
      <c r="AF132" s="57">
        <f>ROUND(IF(AQ132="2",BH132,0),2)</f>
      </c>
      <c r="AG132" s="57">
        <f>ROUND(IF(AQ132="2",BI132,0),2)</f>
      </c>
      <c r="AH132" s="57">
        <f>ROUND(IF(AQ132="0",BJ132,0),2)</f>
      </c>
      <c r="AI132" s="33" t="s">
        <v>57</v>
      </c>
      <c r="AJ132" s="57">
        <f>IF(AN132=0,J132,0)</f>
      </c>
      <c r="AK132" s="57">
        <f>IF(AN132=12,J132,0)</f>
      </c>
      <c r="AL132" s="57">
        <f>IF(AN132=21,J132,0)</f>
      </c>
      <c r="AN132" s="57" t="n">
        <v>12</v>
      </c>
      <c r="AO132" s="57">
        <f>G132*1</f>
      </c>
      <c r="AP132" s="57">
        <f>G132*(1-1)</f>
      </c>
      <c r="AQ132" s="60" t="s">
        <v>89</v>
      </c>
      <c r="AV132" s="57">
        <f>ROUND(AW132+AX132,2)</f>
      </c>
      <c r="AW132" s="57">
        <f>ROUND(F132*AO132,2)</f>
      </c>
      <c r="AX132" s="57">
        <f>ROUND(F132*AP132,2)</f>
      </c>
      <c r="AY132" s="60" t="s">
        <v>332</v>
      </c>
      <c r="AZ132" s="60" t="s">
        <v>333</v>
      </c>
      <c r="BA132" s="33" t="s">
        <v>65</v>
      </c>
      <c r="BC132" s="57">
        <f>AW132+AX132</f>
      </c>
      <c r="BD132" s="57">
        <f>G132/(100-BE132)*100</f>
      </c>
      <c r="BE132" s="57" t="n">
        <v>0</v>
      </c>
      <c r="BF132" s="57">
        <f>132</f>
      </c>
      <c r="BH132" s="57">
        <f>F132*AO132</f>
      </c>
      <c r="BI132" s="57">
        <f>F132*AP132</f>
      </c>
      <c r="BJ132" s="57">
        <f>F132*G132</f>
      </c>
      <c r="BK132" s="60" t="s">
        <v>98</v>
      </c>
      <c r="BL132" s="57" t="n">
        <v>728</v>
      </c>
      <c r="BW132" s="57" t="n">
        <v>12</v>
      </c>
      <c r="BX132" s="16" t="s">
        <v>335</v>
      </c>
    </row>
    <row r="133">
      <c r="A133" s="10" t="s">
        <v>336</v>
      </c>
      <c r="B133" s="11" t="s">
        <v>337</v>
      </c>
      <c r="C133" s="16" t="s">
        <v>338</v>
      </c>
      <c r="D133" s="11"/>
      <c r="E133" s="11" t="s">
        <v>174</v>
      </c>
      <c r="F133" s="57" t="n">
        <v>60</v>
      </c>
      <c r="G133" s="58" t="n">
        <v>0</v>
      </c>
      <c r="H133" s="57">
        <f>ROUND(F133*AO133,2)</f>
      </c>
      <c r="I133" s="57">
        <f>ROUND(F133*AP133,2)</f>
      </c>
      <c r="J133" s="57">
        <f>ROUND(F133*G133,2)</f>
      </c>
      <c r="K133" s="59" t="s">
        <v>62</v>
      </c>
      <c r="Z133" s="57">
        <f>ROUND(IF(AQ133="5",BJ133,0),2)</f>
      </c>
      <c r="AB133" s="57">
        <f>ROUND(IF(AQ133="1",BH133,0),2)</f>
      </c>
      <c r="AC133" s="57">
        <f>ROUND(IF(AQ133="1",BI133,0),2)</f>
      </c>
      <c r="AD133" s="57">
        <f>ROUND(IF(AQ133="7",BH133,0),2)</f>
      </c>
      <c r="AE133" s="57">
        <f>ROUND(IF(AQ133="7",BI133,0),2)</f>
      </c>
      <c r="AF133" s="57">
        <f>ROUND(IF(AQ133="2",BH133,0),2)</f>
      </c>
      <c r="AG133" s="57">
        <f>ROUND(IF(AQ133="2",BI133,0),2)</f>
      </c>
      <c r="AH133" s="57">
        <f>ROUND(IF(AQ133="0",BJ133,0),2)</f>
      </c>
      <c r="AI133" s="33" t="s">
        <v>57</v>
      </c>
      <c r="AJ133" s="57">
        <f>IF(AN133=0,J133,0)</f>
      </c>
      <c r="AK133" s="57">
        <f>IF(AN133=12,J133,0)</f>
      </c>
      <c r="AL133" s="57">
        <f>IF(AN133=21,J133,0)</f>
      </c>
      <c r="AN133" s="57" t="n">
        <v>12</v>
      </c>
      <c r="AO133" s="57">
        <f>G133*0</f>
      </c>
      <c r="AP133" s="57">
        <f>G133*(1-0)</f>
      </c>
      <c r="AQ133" s="60" t="s">
        <v>89</v>
      </c>
      <c r="AV133" s="57">
        <f>ROUND(AW133+AX133,2)</f>
      </c>
      <c r="AW133" s="57">
        <f>ROUND(F133*AO133,2)</f>
      </c>
      <c r="AX133" s="57">
        <f>ROUND(F133*AP133,2)</f>
      </c>
      <c r="AY133" s="60" t="s">
        <v>332</v>
      </c>
      <c r="AZ133" s="60" t="s">
        <v>333</v>
      </c>
      <c r="BA133" s="33" t="s">
        <v>65</v>
      </c>
      <c r="BB133" s="61" t="n">
        <v>100090</v>
      </c>
      <c r="BC133" s="57">
        <f>AW133+AX133</f>
      </c>
      <c r="BD133" s="57">
        <f>G133/(100-BE133)*100</f>
      </c>
      <c r="BE133" s="57" t="n">
        <v>0</v>
      </c>
      <c r="BF133" s="57">
        <f>133</f>
      </c>
      <c r="BH133" s="57">
        <f>F133*AO133</f>
      </c>
      <c r="BI133" s="57">
        <f>F133*AP133</f>
      </c>
      <c r="BJ133" s="57">
        <f>F133*G133</f>
      </c>
      <c r="BK133" s="60" t="s">
        <v>66</v>
      </c>
      <c r="BL133" s="57" t="n">
        <v>728</v>
      </c>
      <c r="BW133" s="57" t="n">
        <v>12</v>
      </c>
      <c r="BX133" s="16" t="s">
        <v>338</v>
      </c>
    </row>
    <row r="134">
      <c r="A134" s="10" t="s">
        <v>339</v>
      </c>
      <c r="B134" s="11" t="s">
        <v>340</v>
      </c>
      <c r="C134" s="16" t="s">
        <v>341</v>
      </c>
      <c r="D134" s="11"/>
      <c r="E134" s="11" t="s">
        <v>174</v>
      </c>
      <c r="F134" s="57" t="n">
        <v>60</v>
      </c>
      <c r="G134" s="58" t="n">
        <v>0</v>
      </c>
      <c r="H134" s="57">
        <f>ROUND(F134*AO134,2)</f>
      </c>
      <c r="I134" s="57">
        <f>ROUND(F134*AP134,2)</f>
      </c>
      <c r="J134" s="57">
        <f>ROUND(F134*G134,2)</f>
      </c>
      <c r="K134" s="59" t="s">
        <v>62</v>
      </c>
      <c r="Z134" s="57">
        <f>ROUND(IF(AQ134="5",BJ134,0),2)</f>
      </c>
      <c r="AB134" s="57">
        <f>ROUND(IF(AQ134="1",BH134,0),2)</f>
      </c>
      <c r="AC134" s="57">
        <f>ROUND(IF(AQ134="1",BI134,0),2)</f>
      </c>
      <c r="AD134" s="57">
        <f>ROUND(IF(AQ134="7",BH134,0),2)</f>
      </c>
      <c r="AE134" s="57">
        <f>ROUND(IF(AQ134="7",BI134,0),2)</f>
      </c>
      <c r="AF134" s="57">
        <f>ROUND(IF(AQ134="2",BH134,0),2)</f>
      </c>
      <c r="AG134" s="57">
        <f>ROUND(IF(AQ134="2",BI134,0),2)</f>
      </c>
      <c r="AH134" s="57">
        <f>ROUND(IF(AQ134="0",BJ134,0),2)</f>
      </c>
      <c r="AI134" s="33" t="s">
        <v>57</v>
      </c>
      <c r="AJ134" s="57">
        <f>IF(AN134=0,J134,0)</f>
      </c>
      <c r="AK134" s="57">
        <f>IF(AN134=12,J134,0)</f>
      </c>
      <c r="AL134" s="57">
        <f>IF(AN134=21,J134,0)</f>
      </c>
      <c r="AN134" s="57" t="n">
        <v>12</v>
      </c>
      <c r="AO134" s="57">
        <f>G134*1</f>
      </c>
      <c r="AP134" s="57">
        <f>G134*(1-1)</f>
      </c>
      <c r="AQ134" s="60" t="s">
        <v>89</v>
      </c>
      <c r="AV134" s="57">
        <f>ROUND(AW134+AX134,2)</f>
      </c>
      <c r="AW134" s="57">
        <f>ROUND(F134*AO134,2)</f>
      </c>
      <c r="AX134" s="57">
        <f>ROUND(F134*AP134,2)</f>
      </c>
      <c r="AY134" s="60" t="s">
        <v>332</v>
      </c>
      <c r="AZ134" s="60" t="s">
        <v>333</v>
      </c>
      <c r="BA134" s="33" t="s">
        <v>65</v>
      </c>
      <c r="BC134" s="57">
        <f>AW134+AX134</f>
      </c>
      <c r="BD134" s="57">
        <f>G134/(100-BE134)*100</f>
      </c>
      <c r="BE134" s="57" t="n">
        <v>0</v>
      </c>
      <c r="BF134" s="57">
        <f>134</f>
      </c>
      <c r="BH134" s="57">
        <f>F134*AO134</f>
      </c>
      <c r="BI134" s="57">
        <f>F134*AP134</f>
      </c>
      <c r="BJ134" s="57">
        <f>F134*G134</f>
      </c>
      <c r="BK134" s="60" t="s">
        <v>98</v>
      </c>
      <c r="BL134" s="57" t="n">
        <v>728</v>
      </c>
      <c r="BW134" s="57" t="n">
        <v>12</v>
      </c>
      <c r="BX134" s="16" t="s">
        <v>341</v>
      </c>
    </row>
    <row r="135">
      <c r="A135" s="10" t="s">
        <v>342</v>
      </c>
      <c r="B135" s="11" t="s">
        <v>343</v>
      </c>
      <c r="C135" s="16" t="s">
        <v>344</v>
      </c>
      <c r="D135" s="11"/>
      <c r="E135" s="11" t="s">
        <v>174</v>
      </c>
      <c r="F135" s="57" t="n">
        <v>2</v>
      </c>
      <c r="G135" s="58" t="n">
        <v>0</v>
      </c>
      <c r="H135" s="57">
        <f>ROUND(F135*AO135,2)</f>
      </c>
      <c r="I135" s="57">
        <f>ROUND(F135*AP135,2)</f>
      </c>
      <c r="J135" s="57">
        <f>ROUND(F135*G135,2)</f>
      </c>
      <c r="K135" s="59" t="s">
        <v>62</v>
      </c>
      <c r="Z135" s="57">
        <f>ROUND(IF(AQ135="5",BJ135,0),2)</f>
      </c>
      <c r="AB135" s="57">
        <f>ROUND(IF(AQ135="1",BH135,0),2)</f>
      </c>
      <c r="AC135" s="57">
        <f>ROUND(IF(AQ135="1",BI135,0),2)</f>
      </c>
      <c r="AD135" s="57">
        <f>ROUND(IF(AQ135="7",BH135,0),2)</f>
      </c>
      <c r="AE135" s="57">
        <f>ROUND(IF(AQ135="7",BI135,0),2)</f>
      </c>
      <c r="AF135" s="57">
        <f>ROUND(IF(AQ135="2",BH135,0),2)</f>
      </c>
      <c r="AG135" s="57">
        <f>ROUND(IF(AQ135="2",BI135,0),2)</f>
      </c>
      <c r="AH135" s="57">
        <f>ROUND(IF(AQ135="0",BJ135,0),2)</f>
      </c>
      <c r="AI135" s="33" t="s">
        <v>57</v>
      </c>
      <c r="AJ135" s="57">
        <f>IF(AN135=0,J135,0)</f>
      </c>
      <c r="AK135" s="57">
        <f>IF(AN135=12,J135,0)</f>
      </c>
      <c r="AL135" s="57">
        <f>IF(AN135=21,J135,0)</f>
      </c>
      <c r="AN135" s="57" t="n">
        <v>12</v>
      </c>
      <c r="AO135" s="57">
        <f>G135*0</f>
      </c>
      <c r="AP135" s="57">
        <f>G135*(1-0)</f>
      </c>
      <c r="AQ135" s="60" t="s">
        <v>89</v>
      </c>
      <c r="AV135" s="57">
        <f>ROUND(AW135+AX135,2)</f>
      </c>
      <c r="AW135" s="57">
        <f>ROUND(F135*AO135,2)</f>
      </c>
      <c r="AX135" s="57">
        <f>ROUND(F135*AP135,2)</f>
      </c>
      <c r="AY135" s="60" t="s">
        <v>332</v>
      </c>
      <c r="AZ135" s="60" t="s">
        <v>333</v>
      </c>
      <c r="BA135" s="33" t="s">
        <v>65</v>
      </c>
      <c r="BB135" s="61" t="n">
        <v>100090</v>
      </c>
      <c r="BC135" s="57">
        <f>AW135+AX135</f>
      </c>
      <c r="BD135" s="57">
        <f>G135/(100-BE135)*100</f>
      </c>
      <c r="BE135" s="57" t="n">
        <v>0</v>
      </c>
      <c r="BF135" s="57">
        <f>135</f>
      </c>
      <c r="BH135" s="57">
        <f>F135*AO135</f>
      </c>
      <c r="BI135" s="57">
        <f>F135*AP135</f>
      </c>
      <c r="BJ135" s="57">
        <f>F135*G135</f>
      </c>
      <c r="BK135" s="60" t="s">
        <v>66</v>
      </c>
      <c r="BL135" s="57" t="n">
        <v>728</v>
      </c>
      <c r="BW135" s="57" t="n">
        <v>12</v>
      </c>
      <c r="BX135" s="16" t="s">
        <v>344</v>
      </c>
    </row>
    <row r="136">
      <c r="A136" s="10" t="s">
        <v>345</v>
      </c>
      <c r="B136" s="11" t="s">
        <v>138</v>
      </c>
      <c r="C136" s="16" t="s">
        <v>346</v>
      </c>
      <c r="D136" s="11"/>
      <c r="E136" s="11" t="s">
        <v>174</v>
      </c>
      <c r="F136" s="57" t="n">
        <v>2</v>
      </c>
      <c r="G136" s="58" t="n">
        <v>0</v>
      </c>
      <c r="H136" s="57">
        <f>ROUND(F136*AO136,2)</f>
      </c>
      <c r="I136" s="57">
        <f>ROUND(F136*AP136,2)</f>
      </c>
      <c r="J136" s="57">
        <f>ROUND(F136*G136,2)</f>
      </c>
      <c r="K136" s="59" t="s">
        <v>140</v>
      </c>
      <c r="Z136" s="57">
        <f>ROUND(IF(AQ136="5",BJ136,0),2)</f>
      </c>
      <c r="AB136" s="57">
        <f>ROUND(IF(AQ136="1",BH136,0),2)</f>
      </c>
      <c r="AC136" s="57">
        <f>ROUND(IF(AQ136="1",BI136,0),2)</f>
      </c>
      <c r="AD136" s="57">
        <f>ROUND(IF(AQ136="7",BH136,0),2)</f>
      </c>
      <c r="AE136" s="57">
        <f>ROUND(IF(AQ136="7",BI136,0),2)</f>
      </c>
      <c r="AF136" s="57">
        <f>ROUND(IF(AQ136="2",BH136,0),2)</f>
      </c>
      <c r="AG136" s="57">
        <f>ROUND(IF(AQ136="2",BI136,0),2)</f>
      </c>
      <c r="AH136" s="57">
        <f>ROUND(IF(AQ136="0",BJ136,0),2)</f>
      </c>
      <c r="AI136" s="33" t="s">
        <v>57</v>
      </c>
      <c r="AJ136" s="57">
        <f>IF(AN136=0,J136,0)</f>
      </c>
      <c r="AK136" s="57">
        <f>IF(AN136=12,J136,0)</f>
      </c>
      <c r="AL136" s="57">
        <f>IF(AN136=21,J136,0)</f>
      </c>
      <c r="AN136" s="57" t="n">
        <v>12</v>
      </c>
      <c r="AO136" s="57">
        <f>G136*1</f>
      </c>
      <c r="AP136" s="57">
        <f>G136*(1-1)</f>
      </c>
      <c r="AQ136" s="60" t="s">
        <v>89</v>
      </c>
      <c r="AV136" s="57">
        <f>ROUND(AW136+AX136,2)</f>
      </c>
      <c r="AW136" s="57">
        <f>ROUND(F136*AO136,2)</f>
      </c>
      <c r="AX136" s="57">
        <f>ROUND(F136*AP136,2)</f>
      </c>
      <c r="AY136" s="60" t="s">
        <v>332</v>
      </c>
      <c r="AZ136" s="60" t="s">
        <v>333</v>
      </c>
      <c r="BA136" s="33" t="s">
        <v>65</v>
      </c>
      <c r="BC136" s="57">
        <f>AW136+AX136</f>
      </c>
      <c r="BD136" s="57">
        <f>G136/(100-BE136)*100</f>
      </c>
      <c r="BE136" s="57" t="n">
        <v>0</v>
      </c>
      <c r="BF136" s="57">
        <f>136</f>
      </c>
      <c r="BH136" s="57">
        <f>F136*AO136</f>
      </c>
      <c r="BI136" s="57">
        <f>F136*AP136</f>
      </c>
      <c r="BJ136" s="57">
        <f>F136*G136</f>
      </c>
      <c r="BK136" s="60" t="s">
        <v>98</v>
      </c>
      <c r="BL136" s="57" t="n">
        <v>728</v>
      </c>
      <c r="BW136" s="57" t="n">
        <v>12</v>
      </c>
      <c r="BX136" s="16" t="s">
        <v>346</v>
      </c>
    </row>
    <row r="137">
      <c r="A137" s="10" t="s">
        <v>347</v>
      </c>
      <c r="B137" s="11" t="s">
        <v>348</v>
      </c>
      <c r="C137" s="16" t="s">
        <v>349</v>
      </c>
      <c r="D137" s="11"/>
      <c r="E137" s="11" t="s">
        <v>174</v>
      </c>
      <c r="F137" s="57" t="n">
        <v>60</v>
      </c>
      <c r="G137" s="58" t="n">
        <v>0</v>
      </c>
      <c r="H137" s="57">
        <f>ROUND(F137*AO137,2)</f>
      </c>
      <c r="I137" s="57">
        <f>ROUND(F137*AP137,2)</f>
      </c>
      <c r="J137" s="57">
        <f>ROUND(F137*G137,2)</f>
      </c>
      <c r="K137" s="59" t="s">
        <v>62</v>
      </c>
      <c r="Z137" s="57">
        <f>ROUND(IF(AQ137="5",BJ137,0),2)</f>
      </c>
      <c r="AB137" s="57">
        <f>ROUND(IF(AQ137="1",BH137,0),2)</f>
      </c>
      <c r="AC137" s="57">
        <f>ROUND(IF(AQ137="1",BI137,0),2)</f>
      </c>
      <c r="AD137" s="57">
        <f>ROUND(IF(AQ137="7",BH137,0),2)</f>
      </c>
      <c r="AE137" s="57">
        <f>ROUND(IF(AQ137="7",BI137,0),2)</f>
      </c>
      <c r="AF137" s="57">
        <f>ROUND(IF(AQ137="2",BH137,0),2)</f>
      </c>
      <c r="AG137" s="57">
        <f>ROUND(IF(AQ137="2",BI137,0),2)</f>
      </c>
      <c r="AH137" s="57">
        <f>ROUND(IF(AQ137="0",BJ137,0),2)</f>
      </c>
      <c r="AI137" s="33" t="s">
        <v>57</v>
      </c>
      <c r="AJ137" s="57">
        <f>IF(AN137=0,J137,0)</f>
      </c>
      <c r="AK137" s="57">
        <f>IF(AN137=12,J137,0)</f>
      </c>
      <c r="AL137" s="57">
        <f>IF(AN137=21,J137,0)</f>
      </c>
      <c r="AN137" s="57" t="n">
        <v>12</v>
      </c>
      <c r="AO137" s="57">
        <f>G137*0</f>
      </c>
      <c r="AP137" s="57">
        <f>G137*(1-0)</f>
      </c>
      <c r="AQ137" s="60" t="s">
        <v>89</v>
      </c>
      <c r="AV137" s="57">
        <f>ROUND(AW137+AX137,2)</f>
      </c>
      <c r="AW137" s="57">
        <f>ROUND(F137*AO137,2)</f>
      </c>
      <c r="AX137" s="57">
        <f>ROUND(F137*AP137,2)</f>
      </c>
      <c r="AY137" s="60" t="s">
        <v>332</v>
      </c>
      <c r="AZ137" s="60" t="s">
        <v>333</v>
      </c>
      <c r="BA137" s="33" t="s">
        <v>65</v>
      </c>
      <c r="BB137" s="61" t="n">
        <v>100090</v>
      </c>
      <c r="BC137" s="57">
        <f>AW137+AX137</f>
      </c>
      <c r="BD137" s="57">
        <f>G137/(100-BE137)*100</f>
      </c>
      <c r="BE137" s="57" t="n">
        <v>0</v>
      </c>
      <c r="BF137" s="57">
        <f>137</f>
      </c>
      <c r="BH137" s="57">
        <f>F137*AO137</f>
      </c>
      <c r="BI137" s="57">
        <f>F137*AP137</f>
      </c>
      <c r="BJ137" s="57">
        <f>F137*G137</f>
      </c>
      <c r="BK137" s="60" t="s">
        <v>66</v>
      </c>
      <c r="BL137" s="57" t="n">
        <v>728</v>
      </c>
      <c r="BW137" s="57" t="n">
        <v>12</v>
      </c>
      <c r="BX137" s="16" t="s">
        <v>349</v>
      </c>
    </row>
    <row r="138">
      <c r="A138" s="10" t="s">
        <v>350</v>
      </c>
      <c r="B138" s="11" t="s">
        <v>351</v>
      </c>
      <c r="C138" s="16" t="s">
        <v>352</v>
      </c>
      <c r="D138" s="11"/>
      <c r="E138" s="11" t="s">
        <v>174</v>
      </c>
      <c r="F138" s="57" t="n">
        <v>60</v>
      </c>
      <c r="G138" s="58" t="n">
        <v>0</v>
      </c>
      <c r="H138" s="57">
        <f>ROUND(F138*AO138,2)</f>
      </c>
      <c r="I138" s="57">
        <f>ROUND(F138*AP138,2)</f>
      </c>
      <c r="J138" s="57">
        <f>ROUND(F138*G138,2)</f>
      </c>
      <c r="K138" s="59" t="s">
        <v>62</v>
      </c>
      <c r="Z138" s="57">
        <f>ROUND(IF(AQ138="5",BJ138,0),2)</f>
      </c>
      <c r="AB138" s="57">
        <f>ROUND(IF(AQ138="1",BH138,0),2)</f>
      </c>
      <c r="AC138" s="57">
        <f>ROUND(IF(AQ138="1",BI138,0),2)</f>
      </c>
      <c r="AD138" s="57">
        <f>ROUND(IF(AQ138="7",BH138,0),2)</f>
      </c>
      <c r="AE138" s="57">
        <f>ROUND(IF(AQ138="7",BI138,0),2)</f>
      </c>
      <c r="AF138" s="57">
        <f>ROUND(IF(AQ138="2",BH138,0),2)</f>
      </c>
      <c r="AG138" s="57">
        <f>ROUND(IF(AQ138="2",BI138,0),2)</f>
      </c>
      <c r="AH138" s="57">
        <f>ROUND(IF(AQ138="0",BJ138,0),2)</f>
      </c>
      <c r="AI138" s="33" t="s">
        <v>57</v>
      </c>
      <c r="AJ138" s="57">
        <f>IF(AN138=0,J138,0)</f>
      </c>
      <c r="AK138" s="57">
        <f>IF(AN138=12,J138,0)</f>
      </c>
      <c r="AL138" s="57">
        <f>IF(AN138=21,J138,0)</f>
      </c>
      <c r="AN138" s="57" t="n">
        <v>12</v>
      </c>
      <c r="AO138" s="57">
        <f>G138*1</f>
      </c>
      <c r="AP138" s="57">
        <f>G138*(1-1)</f>
      </c>
      <c r="AQ138" s="60" t="s">
        <v>89</v>
      </c>
      <c r="AV138" s="57">
        <f>ROUND(AW138+AX138,2)</f>
      </c>
      <c r="AW138" s="57">
        <f>ROUND(F138*AO138,2)</f>
      </c>
      <c r="AX138" s="57">
        <f>ROUND(F138*AP138,2)</f>
      </c>
      <c r="AY138" s="60" t="s">
        <v>332</v>
      </c>
      <c r="AZ138" s="60" t="s">
        <v>333</v>
      </c>
      <c r="BA138" s="33" t="s">
        <v>65</v>
      </c>
      <c r="BC138" s="57">
        <f>AW138+AX138</f>
      </c>
      <c r="BD138" s="57">
        <f>G138/(100-BE138)*100</f>
      </c>
      <c r="BE138" s="57" t="n">
        <v>0</v>
      </c>
      <c r="BF138" s="57">
        <f>138</f>
      </c>
      <c r="BH138" s="57">
        <f>F138*AO138</f>
      </c>
      <c r="BI138" s="57">
        <f>F138*AP138</f>
      </c>
      <c r="BJ138" s="57">
        <f>F138*G138</f>
      </c>
      <c r="BK138" s="60" t="s">
        <v>98</v>
      </c>
      <c r="BL138" s="57" t="n">
        <v>728</v>
      </c>
      <c r="BW138" s="57" t="n">
        <v>12</v>
      </c>
      <c r="BX138" s="16" t="s">
        <v>352</v>
      </c>
    </row>
    <row r="139">
      <c r="A139" s="10" t="s">
        <v>353</v>
      </c>
      <c r="B139" s="11" t="s">
        <v>354</v>
      </c>
      <c r="C139" s="16" t="s">
        <v>355</v>
      </c>
      <c r="D139" s="11"/>
      <c r="E139" s="11" t="s">
        <v>174</v>
      </c>
      <c r="F139" s="57" t="n">
        <v>60</v>
      </c>
      <c r="G139" s="58" t="n">
        <v>0</v>
      </c>
      <c r="H139" s="57">
        <f>ROUND(F139*AO139,2)</f>
      </c>
      <c r="I139" s="57">
        <f>ROUND(F139*AP139,2)</f>
      </c>
      <c r="J139" s="57">
        <f>ROUND(F139*G139,2)</f>
      </c>
      <c r="K139" s="59" t="s">
        <v>62</v>
      </c>
      <c r="Z139" s="57">
        <f>ROUND(IF(AQ139="5",BJ139,0),2)</f>
      </c>
      <c r="AB139" s="57">
        <f>ROUND(IF(AQ139="1",BH139,0),2)</f>
      </c>
      <c r="AC139" s="57">
        <f>ROUND(IF(AQ139="1",BI139,0),2)</f>
      </c>
      <c r="AD139" s="57">
        <f>ROUND(IF(AQ139="7",BH139,0),2)</f>
      </c>
      <c r="AE139" s="57">
        <f>ROUND(IF(AQ139="7",BI139,0),2)</f>
      </c>
      <c r="AF139" s="57">
        <f>ROUND(IF(AQ139="2",BH139,0),2)</f>
      </c>
      <c r="AG139" s="57">
        <f>ROUND(IF(AQ139="2",BI139,0),2)</f>
      </c>
      <c r="AH139" s="57">
        <f>ROUND(IF(AQ139="0",BJ139,0),2)</f>
      </c>
      <c r="AI139" s="33" t="s">
        <v>57</v>
      </c>
      <c r="AJ139" s="57">
        <f>IF(AN139=0,J139,0)</f>
      </c>
      <c r="AK139" s="57">
        <f>IF(AN139=12,J139,0)</f>
      </c>
      <c r="AL139" s="57">
        <f>IF(AN139=21,J139,0)</f>
      </c>
      <c r="AN139" s="57" t="n">
        <v>12</v>
      </c>
      <c r="AO139" s="57">
        <f>G139*0</f>
      </c>
      <c r="AP139" s="57">
        <f>G139*(1-0)</f>
      </c>
      <c r="AQ139" s="60" t="s">
        <v>89</v>
      </c>
      <c r="AV139" s="57">
        <f>ROUND(AW139+AX139,2)</f>
      </c>
      <c r="AW139" s="57">
        <f>ROUND(F139*AO139,2)</f>
      </c>
      <c r="AX139" s="57">
        <f>ROUND(F139*AP139,2)</f>
      </c>
      <c r="AY139" s="60" t="s">
        <v>332</v>
      </c>
      <c r="AZ139" s="60" t="s">
        <v>333</v>
      </c>
      <c r="BA139" s="33" t="s">
        <v>65</v>
      </c>
      <c r="BB139" s="61" t="n">
        <v>100090</v>
      </c>
      <c r="BC139" s="57">
        <f>AW139+AX139</f>
      </c>
      <c r="BD139" s="57">
        <f>G139/(100-BE139)*100</f>
      </c>
      <c r="BE139" s="57" t="n">
        <v>0</v>
      </c>
      <c r="BF139" s="57">
        <f>139</f>
      </c>
      <c r="BH139" s="57">
        <f>F139*AO139</f>
      </c>
      <c r="BI139" s="57">
        <f>F139*AP139</f>
      </c>
      <c r="BJ139" s="57">
        <f>F139*G139</f>
      </c>
      <c r="BK139" s="60" t="s">
        <v>66</v>
      </c>
      <c r="BL139" s="57" t="n">
        <v>728</v>
      </c>
      <c r="BW139" s="57" t="n">
        <v>12</v>
      </c>
      <c r="BX139" s="16" t="s">
        <v>355</v>
      </c>
    </row>
    <row r="140">
      <c r="A140" s="10" t="s">
        <v>356</v>
      </c>
      <c r="B140" s="11" t="s">
        <v>357</v>
      </c>
      <c r="C140" s="16" t="s">
        <v>358</v>
      </c>
      <c r="D140" s="11"/>
      <c r="E140" s="11" t="s">
        <v>174</v>
      </c>
      <c r="F140" s="57" t="n">
        <v>2</v>
      </c>
      <c r="G140" s="58" t="n">
        <v>0</v>
      </c>
      <c r="H140" s="57">
        <f>ROUND(F140*AO140,2)</f>
      </c>
      <c r="I140" s="57">
        <f>ROUND(F140*AP140,2)</f>
      </c>
      <c r="J140" s="57">
        <f>ROUND(F140*G140,2)</f>
      </c>
      <c r="K140" s="59" t="s">
        <v>62</v>
      </c>
      <c r="Z140" s="57">
        <f>ROUND(IF(AQ140="5",BJ140,0),2)</f>
      </c>
      <c r="AB140" s="57">
        <f>ROUND(IF(AQ140="1",BH140,0),2)</f>
      </c>
      <c r="AC140" s="57">
        <f>ROUND(IF(AQ140="1",BI140,0),2)</f>
      </c>
      <c r="AD140" s="57">
        <f>ROUND(IF(AQ140="7",BH140,0),2)</f>
      </c>
      <c r="AE140" s="57">
        <f>ROUND(IF(AQ140="7",BI140,0),2)</f>
      </c>
      <c r="AF140" s="57">
        <f>ROUND(IF(AQ140="2",BH140,0),2)</f>
      </c>
      <c r="AG140" s="57">
        <f>ROUND(IF(AQ140="2",BI140,0),2)</f>
      </c>
      <c r="AH140" s="57">
        <f>ROUND(IF(AQ140="0",BJ140,0),2)</f>
      </c>
      <c r="AI140" s="33" t="s">
        <v>57</v>
      </c>
      <c r="AJ140" s="57">
        <f>IF(AN140=0,J140,0)</f>
      </c>
      <c r="AK140" s="57">
        <f>IF(AN140=12,J140,0)</f>
      </c>
      <c r="AL140" s="57">
        <f>IF(AN140=21,J140,0)</f>
      </c>
      <c r="AN140" s="57" t="n">
        <v>12</v>
      </c>
      <c r="AO140" s="57">
        <f>G140*0</f>
      </c>
      <c r="AP140" s="57">
        <f>G140*(1-0)</f>
      </c>
      <c r="AQ140" s="60" t="s">
        <v>89</v>
      </c>
      <c r="AV140" s="57">
        <f>ROUND(AW140+AX140,2)</f>
      </c>
      <c r="AW140" s="57">
        <f>ROUND(F140*AO140,2)</f>
      </c>
      <c r="AX140" s="57">
        <f>ROUND(F140*AP140,2)</f>
      </c>
      <c r="AY140" s="60" t="s">
        <v>332</v>
      </c>
      <c r="AZ140" s="60" t="s">
        <v>333</v>
      </c>
      <c r="BA140" s="33" t="s">
        <v>65</v>
      </c>
      <c r="BB140" s="61" t="n">
        <v>100090</v>
      </c>
      <c r="BC140" s="57">
        <f>AW140+AX140</f>
      </c>
      <c r="BD140" s="57">
        <f>G140/(100-BE140)*100</f>
      </c>
      <c r="BE140" s="57" t="n">
        <v>0</v>
      </c>
      <c r="BF140" s="57">
        <f>140</f>
      </c>
      <c r="BH140" s="57">
        <f>F140*AO140</f>
      </c>
      <c r="BI140" s="57">
        <f>F140*AP140</f>
      </c>
      <c r="BJ140" s="57">
        <f>F140*G140</f>
      </c>
      <c r="BK140" s="60" t="s">
        <v>66</v>
      </c>
      <c r="BL140" s="57" t="n">
        <v>728</v>
      </c>
      <c r="BW140" s="57" t="n">
        <v>12</v>
      </c>
      <c r="BX140" s="16" t="s">
        <v>358</v>
      </c>
    </row>
    <row r="141">
      <c r="A141" s="10" t="s">
        <v>359</v>
      </c>
      <c r="B141" s="11" t="s">
        <v>360</v>
      </c>
      <c r="C141" s="16" t="s">
        <v>361</v>
      </c>
      <c r="D141" s="11"/>
      <c r="E141" s="11" t="s">
        <v>314</v>
      </c>
      <c r="F141" s="57" t="n">
        <v>0.084</v>
      </c>
      <c r="G141" s="58" t="n">
        <v>0</v>
      </c>
      <c r="H141" s="57">
        <f>ROUND(F141*AO141,2)</f>
      </c>
      <c r="I141" s="57">
        <f>ROUND(F141*AP141,2)</f>
      </c>
      <c r="J141" s="57">
        <f>ROUND(F141*G141,2)</f>
      </c>
      <c r="K141" s="59" t="s">
        <v>62</v>
      </c>
      <c r="Z141" s="57">
        <f>ROUND(IF(AQ141="5",BJ141,0),2)</f>
      </c>
      <c r="AB141" s="57">
        <f>ROUND(IF(AQ141="1",BH141,0),2)</f>
      </c>
      <c r="AC141" s="57">
        <f>ROUND(IF(AQ141="1",BI141,0),2)</f>
      </c>
      <c r="AD141" s="57">
        <f>ROUND(IF(AQ141="7",BH141,0),2)</f>
      </c>
      <c r="AE141" s="57">
        <f>ROUND(IF(AQ141="7",BI141,0),2)</f>
      </c>
      <c r="AF141" s="57">
        <f>ROUND(IF(AQ141="2",BH141,0),2)</f>
      </c>
      <c r="AG141" s="57">
        <f>ROUND(IF(AQ141="2",BI141,0),2)</f>
      </c>
      <c r="AH141" s="57">
        <f>ROUND(IF(AQ141="0",BJ141,0),2)</f>
      </c>
      <c r="AI141" s="33" t="s">
        <v>57</v>
      </c>
      <c r="AJ141" s="57">
        <f>IF(AN141=0,J141,0)</f>
      </c>
      <c r="AK141" s="57">
        <f>IF(AN141=12,J141,0)</f>
      </c>
      <c r="AL141" s="57">
        <f>IF(AN141=21,J141,0)</f>
      </c>
      <c r="AN141" s="57" t="n">
        <v>12</v>
      </c>
      <c r="AO141" s="57">
        <f>G141*0</f>
      </c>
      <c r="AP141" s="57">
        <f>G141*(1-0)</f>
      </c>
      <c r="AQ141" s="60" t="s">
        <v>76</v>
      </c>
      <c r="AV141" s="57">
        <f>ROUND(AW141+AX141,2)</f>
      </c>
      <c r="AW141" s="57">
        <f>ROUND(F141*AO141,2)</f>
      </c>
      <c r="AX141" s="57">
        <f>ROUND(F141*AP141,2)</f>
      </c>
      <c r="AY141" s="60" t="s">
        <v>332</v>
      </c>
      <c r="AZ141" s="60" t="s">
        <v>333</v>
      </c>
      <c r="BA141" s="33" t="s">
        <v>65</v>
      </c>
      <c r="BB141" s="61" t="n">
        <v>100090</v>
      </c>
      <c r="BC141" s="57">
        <f>AW141+AX141</f>
      </c>
      <c r="BD141" s="57">
        <f>G141/(100-BE141)*100</f>
      </c>
      <c r="BE141" s="57" t="n">
        <v>0</v>
      </c>
      <c r="BF141" s="57">
        <f>141</f>
      </c>
      <c r="BH141" s="57">
        <f>F141*AO141</f>
      </c>
      <c r="BI141" s="57">
        <f>F141*AP141</f>
      </c>
      <c r="BJ141" s="57">
        <f>F141*G141</f>
      </c>
      <c r="BK141" s="60" t="s">
        <v>66</v>
      </c>
      <c r="BL141" s="57" t="n">
        <v>728</v>
      </c>
      <c r="BW141" s="57" t="n">
        <v>12</v>
      </c>
      <c r="BX141" s="16" t="s">
        <v>361</v>
      </c>
    </row>
    <row r="142">
      <c r="A142" s="51" t="s">
        <v>53</v>
      </c>
      <c r="B142" s="52" t="s">
        <v>362</v>
      </c>
      <c r="C142" s="53" t="s">
        <v>363</v>
      </c>
      <c r="D142" s="52"/>
      <c r="E142" s="54" t="s">
        <v>4</v>
      </c>
      <c r="F142" s="54" t="s">
        <v>4</v>
      </c>
      <c r="G142" s="55" t="s">
        <v>4</v>
      </c>
      <c r="H142" s="2">
        <f>ROUND(SUM(H143:H153),2)</f>
      </c>
      <c r="I142" s="2">
        <f>ROUND(SUM(I143:I153),2)</f>
      </c>
      <c r="J142" s="2">
        <f>ROUND(SUM(J143:J153),2)</f>
      </c>
      <c r="K142" s="56" t="s">
        <v>53</v>
      </c>
      <c r="AI142" s="33" t="s">
        <v>57</v>
      </c>
      <c r="AS142" s="2">
        <f>SUM(AJ143:AJ153)</f>
      </c>
      <c r="AT142" s="2">
        <f>SUM(AK143:AK153)</f>
      </c>
      <c r="AU142" s="2">
        <f>SUM(AL143:AL153)</f>
      </c>
    </row>
    <row r="143">
      <c r="A143" s="10" t="s">
        <v>364</v>
      </c>
      <c r="B143" s="11" t="s">
        <v>365</v>
      </c>
      <c r="C143" s="16" t="s">
        <v>366</v>
      </c>
      <c r="D143" s="11"/>
      <c r="E143" s="11" t="s">
        <v>126</v>
      </c>
      <c r="F143" s="57" t="n">
        <v>683.57</v>
      </c>
      <c r="G143" s="58" t="n">
        <v>0</v>
      </c>
      <c r="H143" s="57">
        <f>ROUND(F143*AO143,2)</f>
      </c>
      <c r="I143" s="57">
        <f>ROUND(F143*AP143,2)</f>
      </c>
      <c r="J143" s="57">
        <f>ROUND(F143*G143,2)</f>
      </c>
      <c r="K143" s="59" t="s">
        <v>62</v>
      </c>
      <c r="Z143" s="57">
        <f>ROUND(IF(AQ143="5",BJ143,0),2)</f>
      </c>
      <c r="AB143" s="57">
        <f>ROUND(IF(AQ143="1",BH143,0),2)</f>
      </c>
      <c r="AC143" s="57">
        <f>ROUND(IF(AQ143="1",BI143,0),2)</f>
      </c>
      <c r="AD143" s="57">
        <f>ROUND(IF(AQ143="7",BH143,0),2)</f>
      </c>
      <c r="AE143" s="57">
        <f>ROUND(IF(AQ143="7",BI143,0),2)</f>
      </c>
      <c r="AF143" s="57">
        <f>ROUND(IF(AQ143="2",BH143,0),2)</f>
      </c>
      <c r="AG143" s="57">
        <f>ROUND(IF(AQ143="2",BI143,0),2)</f>
      </c>
      <c r="AH143" s="57">
        <f>ROUND(IF(AQ143="0",BJ143,0),2)</f>
      </c>
      <c r="AI143" s="33" t="s">
        <v>57</v>
      </c>
      <c r="AJ143" s="57">
        <f>IF(AN143=0,J143,0)</f>
      </c>
      <c r="AK143" s="57">
        <f>IF(AN143=12,J143,0)</f>
      </c>
      <c r="AL143" s="57">
        <f>IF(AN143=21,J143,0)</f>
      </c>
      <c r="AN143" s="57" t="n">
        <v>12</v>
      </c>
      <c r="AO143" s="57">
        <f>G143*0</f>
      </c>
      <c r="AP143" s="57">
        <f>G143*(1-0)</f>
      </c>
      <c r="AQ143" s="60" t="s">
        <v>89</v>
      </c>
      <c r="AV143" s="57">
        <f>ROUND(AW143+AX143,2)</f>
      </c>
      <c r="AW143" s="57">
        <f>ROUND(F143*AO143,2)</f>
      </c>
      <c r="AX143" s="57">
        <f>ROUND(F143*AP143,2)</f>
      </c>
      <c r="AY143" s="60" t="s">
        <v>367</v>
      </c>
      <c r="AZ143" s="60" t="s">
        <v>368</v>
      </c>
      <c r="BA143" s="33" t="s">
        <v>65</v>
      </c>
      <c r="BB143" s="61" t="n">
        <v>100091</v>
      </c>
      <c r="BC143" s="57">
        <f>AW143+AX143</f>
      </c>
      <c r="BD143" s="57">
        <f>G143/(100-BE143)*100</f>
      </c>
      <c r="BE143" s="57" t="n">
        <v>0</v>
      </c>
      <c r="BF143" s="57">
        <f>143</f>
      </c>
      <c r="BH143" s="57">
        <f>F143*AO143</f>
      </c>
      <c r="BI143" s="57">
        <f>F143*AP143</f>
      </c>
      <c r="BJ143" s="57">
        <f>F143*G143</f>
      </c>
      <c r="BK143" s="60" t="s">
        <v>66</v>
      </c>
      <c r="BL143" s="57" t="n">
        <v>764</v>
      </c>
      <c r="BW143" s="57" t="n">
        <v>12</v>
      </c>
      <c r="BX143" s="16" t="s">
        <v>366</v>
      </c>
    </row>
    <row r="144" ht="24.75">
      <c r="A144" s="10" t="s">
        <v>369</v>
      </c>
      <c r="B144" s="11" t="s">
        <v>370</v>
      </c>
      <c r="C144" s="16" t="s">
        <v>371</v>
      </c>
      <c r="D144" s="11"/>
      <c r="E144" s="11" t="s">
        <v>126</v>
      </c>
      <c r="F144" s="57" t="n">
        <v>170.2</v>
      </c>
      <c r="G144" s="58" t="n">
        <v>0</v>
      </c>
      <c r="H144" s="57">
        <f>ROUND(F144*AO144,2)</f>
      </c>
      <c r="I144" s="57">
        <f>ROUND(F144*AP144,2)</f>
      </c>
      <c r="J144" s="57">
        <f>ROUND(F144*G144,2)</f>
      </c>
      <c r="K144" s="59" t="s">
        <v>62</v>
      </c>
      <c r="Z144" s="57">
        <f>ROUND(IF(AQ144="5",BJ144,0),2)</f>
      </c>
      <c r="AB144" s="57">
        <f>ROUND(IF(AQ144="1",BH144,0),2)</f>
      </c>
      <c r="AC144" s="57">
        <f>ROUND(IF(AQ144="1",BI144,0),2)</f>
      </c>
      <c r="AD144" s="57">
        <f>ROUND(IF(AQ144="7",BH144,0),2)</f>
      </c>
      <c r="AE144" s="57">
        <f>ROUND(IF(AQ144="7",BI144,0),2)</f>
      </c>
      <c r="AF144" s="57">
        <f>ROUND(IF(AQ144="2",BH144,0),2)</f>
      </c>
      <c r="AG144" s="57">
        <f>ROUND(IF(AQ144="2",BI144,0),2)</f>
      </c>
      <c r="AH144" s="57">
        <f>ROUND(IF(AQ144="0",BJ144,0),2)</f>
      </c>
      <c r="AI144" s="33" t="s">
        <v>57</v>
      </c>
      <c r="AJ144" s="57">
        <f>IF(AN144=0,J144,0)</f>
      </c>
      <c r="AK144" s="57">
        <f>IF(AN144=12,J144,0)</f>
      </c>
      <c r="AL144" s="57">
        <f>IF(AN144=21,J144,0)</f>
      </c>
      <c r="AN144" s="57" t="n">
        <v>12</v>
      </c>
      <c r="AO144" s="57">
        <f>G144*0.285584563</f>
      </c>
      <c r="AP144" s="57">
        <f>G144*(1-0.285584563)</f>
      </c>
      <c r="AQ144" s="60" t="s">
        <v>89</v>
      </c>
      <c r="AV144" s="57">
        <f>ROUND(AW144+AX144,2)</f>
      </c>
      <c r="AW144" s="57">
        <f>ROUND(F144*AO144,2)</f>
      </c>
      <c r="AX144" s="57">
        <f>ROUND(F144*AP144,2)</f>
      </c>
      <c r="AY144" s="60" t="s">
        <v>367</v>
      </c>
      <c r="AZ144" s="60" t="s">
        <v>368</v>
      </c>
      <c r="BA144" s="33" t="s">
        <v>65</v>
      </c>
      <c r="BB144" s="61" t="n">
        <v>100091</v>
      </c>
      <c r="BC144" s="57">
        <f>AW144+AX144</f>
      </c>
      <c r="BD144" s="57">
        <f>G144/(100-BE144)*100</f>
      </c>
      <c r="BE144" s="57" t="n">
        <v>0</v>
      </c>
      <c r="BF144" s="57">
        <f>144</f>
      </c>
      <c r="BH144" s="57">
        <f>F144*AO144</f>
      </c>
      <c r="BI144" s="57">
        <f>F144*AP144</f>
      </c>
      <c r="BJ144" s="57">
        <f>F144*G144</f>
      </c>
      <c r="BK144" s="60" t="s">
        <v>66</v>
      </c>
      <c r="BL144" s="57" t="n">
        <v>764</v>
      </c>
      <c r="BW144" s="57" t="n">
        <v>12</v>
      </c>
      <c r="BX144" s="16" t="s">
        <v>371</v>
      </c>
    </row>
    <row r="145" ht="24.75">
      <c r="A145" s="10" t="s">
        <v>372</v>
      </c>
      <c r="B145" s="11" t="s">
        <v>370</v>
      </c>
      <c r="C145" s="16" t="s">
        <v>371</v>
      </c>
      <c r="D145" s="11"/>
      <c r="E145" s="11" t="s">
        <v>126</v>
      </c>
      <c r="F145" s="57" t="n">
        <v>10.8</v>
      </c>
      <c r="G145" s="58" t="n">
        <v>0</v>
      </c>
      <c r="H145" s="57">
        <f>ROUND(F145*AO145,2)</f>
      </c>
      <c r="I145" s="57">
        <f>ROUND(F145*AP145,2)</f>
      </c>
      <c r="J145" s="57">
        <f>ROUND(F145*G145,2)</f>
      </c>
      <c r="K145" s="59" t="s">
        <v>62</v>
      </c>
      <c r="Z145" s="57">
        <f>ROUND(IF(AQ145="5",BJ145,0),2)</f>
      </c>
      <c r="AB145" s="57">
        <f>ROUND(IF(AQ145="1",BH145,0),2)</f>
      </c>
      <c r="AC145" s="57">
        <f>ROUND(IF(AQ145="1",BI145,0),2)</f>
      </c>
      <c r="AD145" s="57">
        <f>ROUND(IF(AQ145="7",BH145,0),2)</f>
      </c>
      <c r="AE145" s="57">
        <f>ROUND(IF(AQ145="7",BI145,0),2)</f>
      </c>
      <c r="AF145" s="57">
        <f>ROUND(IF(AQ145="2",BH145,0),2)</f>
      </c>
      <c r="AG145" s="57">
        <f>ROUND(IF(AQ145="2",BI145,0),2)</f>
      </c>
      <c r="AH145" s="57">
        <f>ROUND(IF(AQ145="0",BJ145,0),2)</f>
      </c>
      <c r="AI145" s="33" t="s">
        <v>57</v>
      </c>
      <c r="AJ145" s="57">
        <f>IF(AN145=0,J145,0)</f>
      </c>
      <c r="AK145" s="57">
        <f>IF(AN145=12,J145,0)</f>
      </c>
      <c r="AL145" s="57">
        <f>IF(AN145=21,J145,0)</f>
      </c>
      <c r="AN145" s="57" t="n">
        <v>12</v>
      </c>
      <c r="AO145" s="57">
        <f>G145*0.285584358</f>
      </c>
      <c r="AP145" s="57">
        <f>G145*(1-0.285584358)</f>
      </c>
      <c r="AQ145" s="60" t="s">
        <v>89</v>
      </c>
      <c r="AV145" s="57">
        <f>ROUND(AW145+AX145,2)</f>
      </c>
      <c r="AW145" s="57">
        <f>ROUND(F145*AO145,2)</f>
      </c>
      <c r="AX145" s="57">
        <f>ROUND(F145*AP145,2)</f>
      </c>
      <c r="AY145" s="60" t="s">
        <v>367</v>
      </c>
      <c r="AZ145" s="60" t="s">
        <v>368</v>
      </c>
      <c r="BA145" s="33" t="s">
        <v>65</v>
      </c>
      <c r="BB145" s="61" t="n">
        <v>100091</v>
      </c>
      <c r="BC145" s="57">
        <f>AW145+AX145</f>
      </c>
      <c r="BD145" s="57">
        <f>G145/(100-BE145)*100</f>
      </c>
      <c r="BE145" s="57" t="n">
        <v>0</v>
      </c>
      <c r="BF145" s="57">
        <f>145</f>
      </c>
      <c r="BH145" s="57">
        <f>F145*AO145</f>
      </c>
      <c r="BI145" s="57">
        <f>F145*AP145</f>
      </c>
      <c r="BJ145" s="57">
        <f>F145*G145</f>
      </c>
      <c r="BK145" s="60" t="s">
        <v>66</v>
      </c>
      <c r="BL145" s="57" t="n">
        <v>764</v>
      </c>
      <c r="BW145" s="57" t="n">
        <v>12</v>
      </c>
      <c r="BX145" s="16" t="s">
        <v>371</v>
      </c>
    </row>
    <row r="146" ht="24.75">
      <c r="A146" s="10" t="s">
        <v>373</v>
      </c>
      <c r="B146" s="11" t="s">
        <v>374</v>
      </c>
      <c r="C146" s="16" t="s">
        <v>375</v>
      </c>
      <c r="D146" s="11"/>
      <c r="E146" s="11" t="s">
        <v>126</v>
      </c>
      <c r="F146" s="57" t="n">
        <v>284.17</v>
      </c>
      <c r="G146" s="58" t="n">
        <v>0</v>
      </c>
      <c r="H146" s="57">
        <f>ROUND(F146*AO146,2)</f>
      </c>
      <c r="I146" s="57">
        <f>ROUND(F146*AP146,2)</f>
      </c>
      <c r="J146" s="57">
        <f>ROUND(F146*G146,2)</f>
      </c>
      <c r="K146" s="59" t="s">
        <v>62</v>
      </c>
      <c r="Z146" s="57">
        <f>ROUND(IF(AQ146="5",BJ146,0),2)</f>
      </c>
      <c r="AB146" s="57">
        <f>ROUND(IF(AQ146="1",BH146,0),2)</f>
      </c>
      <c r="AC146" s="57">
        <f>ROUND(IF(AQ146="1",BI146,0),2)</f>
      </c>
      <c r="AD146" s="57">
        <f>ROUND(IF(AQ146="7",BH146,0),2)</f>
      </c>
      <c r="AE146" s="57">
        <f>ROUND(IF(AQ146="7",BI146,0),2)</f>
      </c>
      <c r="AF146" s="57">
        <f>ROUND(IF(AQ146="2",BH146,0),2)</f>
      </c>
      <c r="AG146" s="57">
        <f>ROUND(IF(AQ146="2",BI146,0),2)</f>
      </c>
      <c r="AH146" s="57">
        <f>ROUND(IF(AQ146="0",BJ146,0),2)</f>
      </c>
      <c r="AI146" s="33" t="s">
        <v>57</v>
      </c>
      <c r="AJ146" s="57">
        <f>IF(AN146=0,J146,0)</f>
      </c>
      <c r="AK146" s="57">
        <f>IF(AN146=12,J146,0)</f>
      </c>
      <c r="AL146" s="57">
        <f>IF(AN146=21,J146,0)</f>
      </c>
      <c r="AN146" s="57" t="n">
        <v>12</v>
      </c>
      <c r="AO146" s="57">
        <f>G146*0.3107013</f>
      </c>
      <c r="AP146" s="57">
        <f>G146*(1-0.3107013)</f>
      </c>
      <c r="AQ146" s="60" t="s">
        <v>89</v>
      </c>
      <c r="AV146" s="57">
        <f>ROUND(AW146+AX146,2)</f>
      </c>
      <c r="AW146" s="57">
        <f>ROUND(F146*AO146,2)</f>
      </c>
      <c r="AX146" s="57">
        <f>ROUND(F146*AP146,2)</f>
      </c>
      <c r="AY146" s="60" t="s">
        <v>367</v>
      </c>
      <c r="AZ146" s="60" t="s">
        <v>368</v>
      </c>
      <c r="BA146" s="33" t="s">
        <v>65</v>
      </c>
      <c r="BB146" s="61" t="n">
        <v>100091</v>
      </c>
      <c r="BC146" s="57">
        <f>AW146+AX146</f>
      </c>
      <c r="BD146" s="57">
        <f>G146/(100-BE146)*100</f>
      </c>
      <c r="BE146" s="57" t="n">
        <v>0</v>
      </c>
      <c r="BF146" s="57">
        <f>146</f>
      </c>
      <c r="BH146" s="57">
        <f>F146*AO146</f>
      </c>
      <c r="BI146" s="57">
        <f>F146*AP146</f>
      </c>
      <c r="BJ146" s="57">
        <f>F146*G146</f>
      </c>
      <c r="BK146" s="60" t="s">
        <v>66</v>
      </c>
      <c r="BL146" s="57" t="n">
        <v>764</v>
      </c>
      <c r="BW146" s="57" t="n">
        <v>12</v>
      </c>
      <c r="BX146" s="16" t="s">
        <v>375</v>
      </c>
    </row>
    <row r="147" ht="24.75">
      <c r="A147" s="10" t="s">
        <v>376</v>
      </c>
      <c r="B147" s="11" t="s">
        <v>374</v>
      </c>
      <c r="C147" s="16" t="s">
        <v>375</v>
      </c>
      <c r="D147" s="11"/>
      <c r="E147" s="11" t="s">
        <v>126</v>
      </c>
      <c r="F147" s="57" t="n">
        <v>117.6</v>
      </c>
      <c r="G147" s="58" t="n">
        <v>0</v>
      </c>
      <c r="H147" s="57">
        <f>ROUND(F147*AO147,2)</f>
      </c>
      <c r="I147" s="57">
        <f>ROUND(F147*AP147,2)</f>
      </c>
      <c r="J147" s="57">
        <f>ROUND(F147*G147,2)</f>
      </c>
      <c r="K147" s="59" t="s">
        <v>62</v>
      </c>
      <c r="Z147" s="57">
        <f>ROUND(IF(AQ147="5",BJ147,0),2)</f>
      </c>
      <c r="AB147" s="57">
        <f>ROUND(IF(AQ147="1",BH147,0),2)</f>
      </c>
      <c r="AC147" s="57">
        <f>ROUND(IF(AQ147="1",BI147,0),2)</f>
      </c>
      <c r="AD147" s="57">
        <f>ROUND(IF(AQ147="7",BH147,0),2)</f>
      </c>
      <c r="AE147" s="57">
        <f>ROUND(IF(AQ147="7",BI147,0),2)</f>
      </c>
      <c r="AF147" s="57">
        <f>ROUND(IF(AQ147="2",BH147,0),2)</f>
      </c>
      <c r="AG147" s="57">
        <f>ROUND(IF(AQ147="2",BI147,0),2)</f>
      </c>
      <c r="AH147" s="57">
        <f>ROUND(IF(AQ147="0",BJ147,0),2)</f>
      </c>
      <c r="AI147" s="33" t="s">
        <v>57</v>
      </c>
      <c r="AJ147" s="57">
        <f>IF(AN147=0,J147,0)</f>
      </c>
      <c r="AK147" s="57">
        <f>IF(AN147=12,J147,0)</f>
      </c>
      <c r="AL147" s="57">
        <f>IF(AN147=21,J147,0)</f>
      </c>
      <c r="AN147" s="57" t="n">
        <v>12</v>
      </c>
      <c r="AO147" s="57">
        <f>G147*0.310701298</f>
      </c>
      <c r="AP147" s="57">
        <f>G147*(1-0.310701298)</f>
      </c>
      <c r="AQ147" s="60" t="s">
        <v>89</v>
      </c>
      <c r="AV147" s="57">
        <f>ROUND(AW147+AX147,2)</f>
      </c>
      <c r="AW147" s="57">
        <f>ROUND(F147*AO147,2)</f>
      </c>
      <c r="AX147" s="57">
        <f>ROUND(F147*AP147,2)</f>
      </c>
      <c r="AY147" s="60" t="s">
        <v>367</v>
      </c>
      <c r="AZ147" s="60" t="s">
        <v>368</v>
      </c>
      <c r="BA147" s="33" t="s">
        <v>65</v>
      </c>
      <c r="BB147" s="61" t="n">
        <v>100091</v>
      </c>
      <c r="BC147" s="57">
        <f>AW147+AX147</f>
      </c>
      <c r="BD147" s="57">
        <f>G147/(100-BE147)*100</f>
      </c>
      <c r="BE147" s="57" t="n">
        <v>0</v>
      </c>
      <c r="BF147" s="57">
        <f>147</f>
      </c>
      <c r="BH147" s="57">
        <f>F147*AO147</f>
      </c>
      <c r="BI147" s="57">
        <f>F147*AP147</f>
      </c>
      <c r="BJ147" s="57">
        <f>F147*G147</f>
      </c>
      <c r="BK147" s="60" t="s">
        <v>66</v>
      </c>
      <c r="BL147" s="57" t="n">
        <v>764</v>
      </c>
      <c r="BW147" s="57" t="n">
        <v>12</v>
      </c>
      <c r="BX147" s="16" t="s">
        <v>375</v>
      </c>
    </row>
    <row r="148" ht="24.75">
      <c r="A148" s="10" t="s">
        <v>377</v>
      </c>
      <c r="B148" s="11" t="s">
        <v>378</v>
      </c>
      <c r="C148" s="16" t="s">
        <v>379</v>
      </c>
      <c r="D148" s="11"/>
      <c r="E148" s="11" t="s">
        <v>126</v>
      </c>
      <c r="F148" s="57" t="n">
        <v>129.6</v>
      </c>
      <c r="G148" s="58" t="n">
        <v>0</v>
      </c>
      <c r="H148" s="57">
        <f>ROUND(F148*AO148,2)</f>
      </c>
      <c r="I148" s="57">
        <f>ROUND(F148*AP148,2)</f>
      </c>
      <c r="J148" s="57">
        <f>ROUND(F148*G148,2)</f>
      </c>
      <c r="K148" s="59" t="s">
        <v>62</v>
      </c>
      <c r="Z148" s="57">
        <f>ROUND(IF(AQ148="5",BJ148,0),2)</f>
      </c>
      <c r="AB148" s="57">
        <f>ROUND(IF(AQ148="1",BH148,0),2)</f>
      </c>
      <c r="AC148" s="57">
        <f>ROUND(IF(AQ148="1",BI148,0),2)</f>
      </c>
      <c r="AD148" s="57">
        <f>ROUND(IF(AQ148="7",BH148,0),2)</f>
      </c>
      <c r="AE148" s="57">
        <f>ROUND(IF(AQ148="7",BI148,0),2)</f>
      </c>
      <c r="AF148" s="57">
        <f>ROUND(IF(AQ148="2",BH148,0),2)</f>
      </c>
      <c r="AG148" s="57">
        <f>ROUND(IF(AQ148="2",BI148,0),2)</f>
      </c>
      <c r="AH148" s="57">
        <f>ROUND(IF(AQ148="0",BJ148,0),2)</f>
      </c>
      <c r="AI148" s="33" t="s">
        <v>57</v>
      </c>
      <c r="AJ148" s="57">
        <f>IF(AN148=0,J148,0)</f>
      </c>
      <c r="AK148" s="57">
        <f>IF(AN148=12,J148,0)</f>
      </c>
      <c r="AL148" s="57">
        <f>IF(AN148=21,J148,0)</f>
      </c>
      <c r="AN148" s="57" t="n">
        <v>12</v>
      </c>
      <c r="AO148" s="57">
        <f>G148*0.338239783</f>
      </c>
      <c r="AP148" s="57">
        <f>G148*(1-0.338239783)</f>
      </c>
      <c r="AQ148" s="60" t="s">
        <v>89</v>
      </c>
      <c r="AV148" s="57">
        <f>ROUND(AW148+AX148,2)</f>
      </c>
      <c r="AW148" s="57">
        <f>ROUND(F148*AO148,2)</f>
      </c>
      <c r="AX148" s="57">
        <f>ROUND(F148*AP148,2)</f>
      </c>
      <c r="AY148" s="60" t="s">
        <v>367</v>
      </c>
      <c r="AZ148" s="60" t="s">
        <v>368</v>
      </c>
      <c r="BA148" s="33" t="s">
        <v>65</v>
      </c>
      <c r="BB148" s="61" t="n">
        <v>100091</v>
      </c>
      <c r="BC148" s="57">
        <f>AW148+AX148</f>
      </c>
      <c r="BD148" s="57">
        <f>G148/(100-BE148)*100</f>
      </c>
      <c r="BE148" s="57" t="n">
        <v>0</v>
      </c>
      <c r="BF148" s="57">
        <f>148</f>
      </c>
      <c r="BH148" s="57">
        <f>F148*AO148</f>
      </c>
      <c r="BI148" s="57">
        <f>F148*AP148</f>
      </c>
      <c r="BJ148" s="57">
        <f>F148*G148</f>
      </c>
      <c r="BK148" s="60" t="s">
        <v>66</v>
      </c>
      <c r="BL148" s="57" t="n">
        <v>764</v>
      </c>
      <c r="BW148" s="57" t="n">
        <v>12</v>
      </c>
      <c r="BX148" s="16" t="s">
        <v>379</v>
      </c>
    </row>
    <row r="149">
      <c r="A149" s="10" t="s">
        <v>380</v>
      </c>
      <c r="B149" s="11" t="s">
        <v>381</v>
      </c>
      <c r="C149" s="16" t="s">
        <v>382</v>
      </c>
      <c r="D149" s="11"/>
      <c r="E149" s="11" t="s">
        <v>126</v>
      </c>
      <c r="F149" s="57" t="n">
        <v>153.4</v>
      </c>
      <c r="G149" s="58" t="n">
        <v>0</v>
      </c>
      <c r="H149" s="57">
        <f>ROUND(F149*AO149,2)</f>
      </c>
      <c r="I149" s="57">
        <f>ROUND(F149*AP149,2)</f>
      </c>
      <c r="J149" s="57">
        <f>ROUND(F149*G149,2)</f>
      </c>
      <c r="K149" s="59" t="s">
        <v>62</v>
      </c>
      <c r="Z149" s="57">
        <f>ROUND(IF(AQ149="5",BJ149,0),2)</f>
      </c>
      <c r="AB149" s="57">
        <f>ROUND(IF(AQ149="1",BH149,0),2)</f>
      </c>
      <c r="AC149" s="57">
        <f>ROUND(IF(AQ149="1",BI149,0),2)</f>
      </c>
      <c r="AD149" s="57">
        <f>ROUND(IF(AQ149="7",BH149,0),2)</f>
      </c>
      <c r="AE149" s="57">
        <f>ROUND(IF(AQ149="7",BI149,0),2)</f>
      </c>
      <c r="AF149" s="57">
        <f>ROUND(IF(AQ149="2",BH149,0),2)</f>
      </c>
      <c r="AG149" s="57">
        <f>ROUND(IF(AQ149="2",BI149,0),2)</f>
      </c>
      <c r="AH149" s="57">
        <f>ROUND(IF(AQ149="0",BJ149,0),2)</f>
      </c>
      <c r="AI149" s="33" t="s">
        <v>57</v>
      </c>
      <c r="AJ149" s="57">
        <f>IF(AN149=0,J149,0)</f>
      </c>
      <c r="AK149" s="57">
        <f>IF(AN149=12,J149,0)</f>
      </c>
      <c r="AL149" s="57">
        <f>IF(AN149=21,J149,0)</f>
      </c>
      <c r="AN149" s="57" t="n">
        <v>12</v>
      </c>
      <c r="AO149" s="57">
        <f>G149*0</f>
      </c>
      <c r="AP149" s="57">
        <f>G149*(1-0)</f>
      </c>
      <c r="AQ149" s="60" t="s">
        <v>89</v>
      </c>
      <c r="AV149" s="57">
        <f>ROUND(AW149+AX149,2)</f>
      </c>
      <c r="AW149" s="57">
        <f>ROUND(F149*AO149,2)</f>
      </c>
      <c r="AX149" s="57">
        <f>ROUND(F149*AP149,2)</f>
      </c>
      <c r="AY149" s="60" t="s">
        <v>367</v>
      </c>
      <c r="AZ149" s="60" t="s">
        <v>368</v>
      </c>
      <c r="BA149" s="33" t="s">
        <v>65</v>
      </c>
      <c r="BB149" s="61" t="n">
        <v>100091</v>
      </c>
      <c r="BC149" s="57">
        <f>AW149+AX149</f>
      </c>
      <c r="BD149" s="57">
        <f>G149/(100-BE149)*100</f>
      </c>
      <c r="BE149" s="57" t="n">
        <v>0</v>
      </c>
      <c r="BF149" s="57">
        <f>149</f>
      </c>
      <c r="BH149" s="57">
        <f>F149*AO149</f>
      </c>
      <c r="BI149" s="57">
        <f>F149*AP149</f>
      </c>
      <c r="BJ149" s="57">
        <f>F149*G149</f>
      </c>
      <c r="BK149" s="60" t="s">
        <v>66</v>
      </c>
      <c r="BL149" s="57" t="n">
        <v>764</v>
      </c>
      <c r="BW149" s="57" t="n">
        <v>12</v>
      </c>
      <c r="BX149" s="16" t="s">
        <v>382</v>
      </c>
    </row>
    <row r="150">
      <c r="A150" s="10" t="s">
        <v>383</v>
      </c>
      <c r="B150" s="11" t="s">
        <v>384</v>
      </c>
      <c r="C150" s="16" t="s">
        <v>385</v>
      </c>
      <c r="D150" s="11"/>
      <c r="E150" s="11" t="s">
        <v>126</v>
      </c>
      <c r="F150" s="57" t="n">
        <v>153.4</v>
      </c>
      <c r="G150" s="58" t="n">
        <v>0</v>
      </c>
      <c r="H150" s="57">
        <f>ROUND(F150*AO150,2)</f>
      </c>
      <c r="I150" s="57">
        <f>ROUND(F150*AP150,2)</f>
      </c>
      <c r="J150" s="57">
        <f>ROUND(F150*G150,2)</f>
      </c>
      <c r="K150" s="59" t="s">
        <v>62</v>
      </c>
      <c r="Z150" s="57">
        <f>ROUND(IF(AQ150="5",BJ150,0),2)</f>
      </c>
      <c r="AB150" s="57">
        <f>ROUND(IF(AQ150="1",BH150,0),2)</f>
      </c>
      <c r="AC150" s="57">
        <f>ROUND(IF(AQ150="1",BI150,0),2)</f>
      </c>
      <c r="AD150" s="57">
        <f>ROUND(IF(AQ150="7",BH150,0),2)</f>
      </c>
      <c r="AE150" s="57">
        <f>ROUND(IF(AQ150="7",BI150,0),2)</f>
      </c>
      <c r="AF150" s="57">
        <f>ROUND(IF(AQ150="2",BH150,0),2)</f>
      </c>
      <c r="AG150" s="57">
        <f>ROUND(IF(AQ150="2",BI150,0),2)</f>
      </c>
      <c r="AH150" s="57">
        <f>ROUND(IF(AQ150="0",BJ150,0),2)</f>
      </c>
      <c r="AI150" s="33" t="s">
        <v>57</v>
      </c>
      <c r="AJ150" s="57">
        <f>IF(AN150=0,J150,0)</f>
      </c>
      <c r="AK150" s="57">
        <f>IF(AN150=12,J150,0)</f>
      </c>
      <c r="AL150" s="57">
        <f>IF(AN150=21,J150,0)</f>
      </c>
      <c r="AN150" s="57" t="n">
        <v>12</v>
      </c>
      <c r="AO150" s="57">
        <f>G150*0.811795441</f>
      </c>
      <c r="AP150" s="57">
        <f>G150*(1-0.811795441)</f>
      </c>
      <c r="AQ150" s="60" t="s">
        <v>89</v>
      </c>
      <c r="AV150" s="57">
        <f>ROUND(AW150+AX150,2)</f>
      </c>
      <c r="AW150" s="57">
        <f>ROUND(F150*AO150,2)</f>
      </c>
      <c r="AX150" s="57">
        <f>ROUND(F150*AP150,2)</f>
      </c>
      <c r="AY150" s="60" t="s">
        <v>367</v>
      </c>
      <c r="AZ150" s="60" t="s">
        <v>368</v>
      </c>
      <c r="BA150" s="33" t="s">
        <v>65</v>
      </c>
      <c r="BB150" s="61" t="n">
        <v>100091</v>
      </c>
      <c r="BC150" s="57">
        <f>AW150+AX150</f>
      </c>
      <c r="BD150" s="57">
        <f>G150/(100-BE150)*100</f>
      </c>
      <c r="BE150" s="57" t="n">
        <v>0</v>
      </c>
      <c r="BF150" s="57">
        <f>150</f>
      </c>
      <c r="BH150" s="57">
        <f>F150*AO150</f>
      </c>
      <c r="BI150" s="57">
        <f>F150*AP150</f>
      </c>
      <c r="BJ150" s="57">
        <f>F150*G150</f>
      </c>
      <c r="BK150" s="60" t="s">
        <v>66</v>
      </c>
      <c r="BL150" s="57" t="n">
        <v>764</v>
      </c>
      <c r="BW150" s="57" t="n">
        <v>12</v>
      </c>
      <c r="BX150" s="16" t="s">
        <v>385</v>
      </c>
    </row>
    <row r="151">
      <c r="A151" s="10" t="s">
        <v>386</v>
      </c>
      <c r="B151" s="11" t="s">
        <v>387</v>
      </c>
      <c r="C151" s="16" t="s">
        <v>388</v>
      </c>
      <c r="D151" s="11"/>
      <c r="E151" s="11" t="s">
        <v>126</v>
      </c>
      <c r="F151" s="57" t="n">
        <v>23.9</v>
      </c>
      <c r="G151" s="58" t="n">
        <v>0</v>
      </c>
      <c r="H151" s="57">
        <f>ROUND(F151*AO151,2)</f>
      </c>
      <c r="I151" s="57">
        <f>ROUND(F151*AP151,2)</f>
      </c>
      <c r="J151" s="57">
        <f>ROUND(F151*G151,2)</f>
      </c>
      <c r="K151" s="59" t="s">
        <v>62</v>
      </c>
      <c r="Z151" s="57">
        <f>ROUND(IF(AQ151="5",BJ151,0),2)</f>
      </c>
      <c r="AB151" s="57">
        <f>ROUND(IF(AQ151="1",BH151,0),2)</f>
      </c>
      <c r="AC151" s="57">
        <f>ROUND(IF(AQ151="1",BI151,0),2)</f>
      </c>
      <c r="AD151" s="57">
        <f>ROUND(IF(AQ151="7",BH151,0),2)</f>
      </c>
      <c r="AE151" s="57">
        <f>ROUND(IF(AQ151="7",BI151,0),2)</f>
      </c>
      <c r="AF151" s="57">
        <f>ROUND(IF(AQ151="2",BH151,0),2)</f>
      </c>
      <c r="AG151" s="57">
        <f>ROUND(IF(AQ151="2",BI151,0),2)</f>
      </c>
      <c r="AH151" s="57">
        <f>ROUND(IF(AQ151="0",BJ151,0),2)</f>
      </c>
      <c r="AI151" s="33" t="s">
        <v>57</v>
      </c>
      <c r="AJ151" s="57">
        <f>IF(AN151=0,J151,0)</f>
      </c>
      <c r="AK151" s="57">
        <f>IF(AN151=12,J151,0)</f>
      </c>
      <c r="AL151" s="57">
        <f>IF(AN151=21,J151,0)</f>
      </c>
      <c r="AN151" s="57" t="n">
        <v>12</v>
      </c>
      <c r="AO151" s="57">
        <f>G151*0</f>
      </c>
      <c r="AP151" s="57">
        <f>G151*(1-0)</f>
      </c>
      <c r="AQ151" s="60" t="s">
        <v>89</v>
      </c>
      <c r="AV151" s="57">
        <f>ROUND(AW151+AX151,2)</f>
      </c>
      <c r="AW151" s="57">
        <f>ROUND(F151*AO151,2)</f>
      </c>
      <c r="AX151" s="57">
        <f>ROUND(F151*AP151,2)</f>
      </c>
      <c r="AY151" s="60" t="s">
        <v>367</v>
      </c>
      <c r="AZ151" s="60" t="s">
        <v>368</v>
      </c>
      <c r="BA151" s="33" t="s">
        <v>65</v>
      </c>
      <c r="BB151" s="61" t="n">
        <v>100091</v>
      </c>
      <c r="BC151" s="57">
        <f>AW151+AX151</f>
      </c>
      <c r="BD151" s="57">
        <f>G151/(100-BE151)*100</f>
      </c>
      <c r="BE151" s="57" t="n">
        <v>0</v>
      </c>
      <c r="BF151" s="57">
        <f>151</f>
      </c>
      <c r="BH151" s="57">
        <f>F151*AO151</f>
      </c>
      <c r="BI151" s="57">
        <f>F151*AP151</f>
      </c>
      <c r="BJ151" s="57">
        <f>F151*G151</f>
      </c>
      <c r="BK151" s="60" t="s">
        <v>66</v>
      </c>
      <c r="BL151" s="57" t="n">
        <v>764</v>
      </c>
      <c r="BW151" s="57" t="n">
        <v>12</v>
      </c>
      <c r="BX151" s="16" t="s">
        <v>388</v>
      </c>
    </row>
    <row r="152">
      <c r="A152" s="10" t="s">
        <v>389</v>
      </c>
      <c r="B152" s="11" t="s">
        <v>138</v>
      </c>
      <c r="C152" s="16" t="s">
        <v>390</v>
      </c>
      <c r="D152" s="11"/>
      <c r="E152" s="11" t="s">
        <v>174</v>
      </c>
      <c r="F152" s="57" t="n">
        <v>13.145</v>
      </c>
      <c r="G152" s="58" t="n">
        <v>0</v>
      </c>
      <c r="H152" s="57">
        <f>ROUND(F152*AO152,2)</f>
      </c>
      <c r="I152" s="57">
        <f>ROUND(F152*AP152,2)</f>
      </c>
      <c r="J152" s="57">
        <f>ROUND(F152*G152,2)</f>
      </c>
      <c r="K152" s="59" t="s">
        <v>140</v>
      </c>
      <c r="Z152" s="57">
        <f>ROUND(IF(AQ152="5",BJ152,0),2)</f>
      </c>
      <c r="AB152" s="57">
        <f>ROUND(IF(AQ152="1",BH152,0),2)</f>
      </c>
      <c r="AC152" s="57">
        <f>ROUND(IF(AQ152="1",BI152,0),2)</f>
      </c>
      <c r="AD152" s="57">
        <f>ROUND(IF(AQ152="7",BH152,0),2)</f>
      </c>
      <c r="AE152" s="57">
        <f>ROUND(IF(AQ152="7",BI152,0),2)</f>
      </c>
      <c r="AF152" s="57">
        <f>ROUND(IF(AQ152="2",BH152,0),2)</f>
      </c>
      <c r="AG152" s="57">
        <f>ROUND(IF(AQ152="2",BI152,0),2)</f>
      </c>
      <c r="AH152" s="57">
        <f>ROUND(IF(AQ152="0",BJ152,0),2)</f>
      </c>
      <c r="AI152" s="33" t="s">
        <v>57</v>
      </c>
      <c r="AJ152" s="57">
        <f>IF(AN152=0,J152,0)</f>
      </c>
      <c r="AK152" s="57">
        <f>IF(AN152=12,J152,0)</f>
      </c>
      <c r="AL152" s="57">
        <f>IF(AN152=21,J152,0)</f>
      </c>
      <c r="AN152" s="57" t="n">
        <v>12</v>
      </c>
      <c r="AO152" s="57">
        <f>G152*1</f>
      </c>
      <c r="AP152" s="57">
        <f>G152*(1-1)</f>
      </c>
      <c r="AQ152" s="60" t="s">
        <v>89</v>
      </c>
      <c r="AV152" s="57">
        <f>ROUND(AW152+AX152,2)</f>
      </c>
      <c r="AW152" s="57">
        <f>ROUND(F152*AO152,2)</f>
      </c>
      <c r="AX152" s="57">
        <f>ROUND(F152*AP152,2)</f>
      </c>
      <c r="AY152" s="60" t="s">
        <v>367</v>
      </c>
      <c r="AZ152" s="60" t="s">
        <v>368</v>
      </c>
      <c r="BA152" s="33" t="s">
        <v>65</v>
      </c>
      <c r="BC152" s="57">
        <f>AW152+AX152</f>
      </c>
      <c r="BD152" s="57">
        <f>G152/(100-BE152)*100</f>
      </c>
      <c r="BE152" s="57" t="n">
        <v>0</v>
      </c>
      <c r="BF152" s="57">
        <f>152</f>
      </c>
      <c r="BH152" s="57">
        <f>F152*AO152</f>
      </c>
      <c r="BI152" s="57">
        <f>F152*AP152</f>
      </c>
      <c r="BJ152" s="57">
        <f>F152*G152</f>
      </c>
      <c r="BK152" s="60" t="s">
        <v>98</v>
      </c>
      <c r="BL152" s="57" t="n">
        <v>764</v>
      </c>
      <c r="BW152" s="57" t="n">
        <v>12</v>
      </c>
      <c r="BX152" s="16" t="s">
        <v>390</v>
      </c>
    </row>
    <row r="153">
      <c r="A153" s="10" t="s">
        <v>391</v>
      </c>
      <c r="B153" s="11" t="s">
        <v>392</v>
      </c>
      <c r="C153" s="16" t="s">
        <v>393</v>
      </c>
      <c r="D153" s="11"/>
      <c r="E153" s="11" t="s">
        <v>314</v>
      </c>
      <c r="F153" s="57" t="n">
        <v>4.04074</v>
      </c>
      <c r="G153" s="58" t="n">
        <v>0</v>
      </c>
      <c r="H153" s="57">
        <f>ROUND(F153*AO153,2)</f>
      </c>
      <c r="I153" s="57">
        <f>ROUND(F153*AP153,2)</f>
      </c>
      <c r="J153" s="57">
        <f>ROUND(F153*G153,2)</f>
      </c>
      <c r="K153" s="59" t="s">
        <v>62</v>
      </c>
      <c r="Z153" s="57">
        <f>ROUND(IF(AQ153="5",BJ153,0),2)</f>
      </c>
      <c r="AB153" s="57">
        <f>ROUND(IF(AQ153="1",BH153,0),2)</f>
      </c>
      <c r="AC153" s="57">
        <f>ROUND(IF(AQ153="1",BI153,0),2)</f>
      </c>
      <c r="AD153" s="57">
        <f>ROUND(IF(AQ153="7",BH153,0),2)</f>
      </c>
      <c r="AE153" s="57">
        <f>ROUND(IF(AQ153="7",BI153,0),2)</f>
      </c>
      <c r="AF153" s="57">
        <f>ROUND(IF(AQ153="2",BH153,0),2)</f>
      </c>
      <c r="AG153" s="57">
        <f>ROUND(IF(AQ153="2",BI153,0),2)</f>
      </c>
      <c r="AH153" s="57">
        <f>ROUND(IF(AQ153="0",BJ153,0),2)</f>
      </c>
      <c r="AI153" s="33" t="s">
        <v>57</v>
      </c>
      <c r="AJ153" s="57">
        <f>IF(AN153=0,J153,0)</f>
      </c>
      <c r="AK153" s="57">
        <f>IF(AN153=12,J153,0)</f>
      </c>
      <c r="AL153" s="57">
        <f>IF(AN153=21,J153,0)</f>
      </c>
      <c r="AN153" s="57" t="n">
        <v>12</v>
      </c>
      <c r="AO153" s="57">
        <f>G153*0</f>
      </c>
      <c r="AP153" s="57">
        <f>G153*(1-0)</f>
      </c>
      <c r="AQ153" s="60" t="s">
        <v>76</v>
      </c>
      <c r="AV153" s="57">
        <f>ROUND(AW153+AX153,2)</f>
      </c>
      <c r="AW153" s="57">
        <f>ROUND(F153*AO153,2)</f>
      </c>
      <c r="AX153" s="57">
        <f>ROUND(F153*AP153,2)</f>
      </c>
      <c r="AY153" s="60" t="s">
        <v>367</v>
      </c>
      <c r="AZ153" s="60" t="s">
        <v>368</v>
      </c>
      <c r="BA153" s="33" t="s">
        <v>65</v>
      </c>
      <c r="BB153" s="61" t="n">
        <v>100091</v>
      </c>
      <c r="BC153" s="57">
        <f>AW153+AX153</f>
      </c>
      <c r="BD153" s="57">
        <f>G153/(100-BE153)*100</f>
      </c>
      <c r="BE153" s="57" t="n">
        <v>0</v>
      </c>
      <c r="BF153" s="57">
        <f>153</f>
      </c>
      <c r="BH153" s="57">
        <f>F153*AO153</f>
      </c>
      <c r="BI153" s="57">
        <f>F153*AP153</f>
      </c>
      <c r="BJ153" s="57">
        <f>F153*G153</f>
      </c>
      <c r="BK153" s="60" t="s">
        <v>66</v>
      </c>
      <c r="BL153" s="57" t="n">
        <v>764</v>
      </c>
      <c r="BW153" s="57" t="n">
        <v>12</v>
      </c>
      <c r="BX153" s="16" t="s">
        <v>393</v>
      </c>
    </row>
    <row r="154">
      <c r="A154" s="51" t="s">
        <v>53</v>
      </c>
      <c r="B154" s="52" t="s">
        <v>394</v>
      </c>
      <c r="C154" s="53" t="s">
        <v>395</v>
      </c>
      <c r="D154" s="52"/>
      <c r="E154" s="54" t="s">
        <v>4</v>
      </c>
      <c r="F154" s="54" t="s">
        <v>4</v>
      </c>
      <c r="G154" s="55" t="s">
        <v>4</v>
      </c>
      <c r="H154" s="2">
        <f>ROUND(SUM(H155:H163),2)</f>
      </c>
      <c r="I154" s="2">
        <f>ROUND(SUM(I155:I163),2)</f>
      </c>
      <c r="J154" s="2">
        <f>ROUND(SUM(J155:J163),2)</f>
      </c>
      <c r="K154" s="56" t="s">
        <v>53</v>
      </c>
      <c r="AI154" s="33" t="s">
        <v>57</v>
      </c>
      <c r="AS154" s="2">
        <f>SUM(AJ155:AJ163)</f>
      </c>
      <c r="AT154" s="2">
        <f>SUM(AK155:AK163)</f>
      </c>
      <c r="AU154" s="2">
        <f>SUM(AL155:AL163)</f>
      </c>
    </row>
    <row r="155">
      <c r="A155" s="10" t="s">
        <v>396</v>
      </c>
      <c r="B155" s="11" t="s">
        <v>397</v>
      </c>
      <c r="C155" s="16" t="s">
        <v>398</v>
      </c>
      <c r="D155" s="11"/>
      <c r="E155" s="11" t="s">
        <v>126</v>
      </c>
      <c r="F155" s="57" t="n">
        <v>424.57</v>
      </c>
      <c r="G155" s="58" t="n">
        <v>0</v>
      </c>
      <c r="H155" s="57">
        <f>ROUND(F155*AO155,2)</f>
      </c>
      <c r="I155" s="57">
        <f>ROUND(F155*AP155,2)</f>
      </c>
      <c r="J155" s="57">
        <f>ROUND(F155*G155,2)</f>
      </c>
      <c r="K155" s="59" t="s">
        <v>62</v>
      </c>
      <c r="Z155" s="57">
        <f>ROUND(IF(AQ155="5",BJ155,0),2)</f>
      </c>
      <c r="AB155" s="57">
        <f>ROUND(IF(AQ155="1",BH155,0),2)</f>
      </c>
      <c r="AC155" s="57">
        <f>ROUND(IF(AQ155="1",BI155,0),2)</f>
      </c>
      <c r="AD155" s="57">
        <f>ROUND(IF(AQ155="7",BH155,0),2)</f>
      </c>
      <c r="AE155" s="57">
        <f>ROUND(IF(AQ155="7",BI155,0),2)</f>
      </c>
      <c r="AF155" s="57">
        <f>ROUND(IF(AQ155="2",BH155,0),2)</f>
      </c>
      <c r="AG155" s="57">
        <f>ROUND(IF(AQ155="2",BI155,0),2)</f>
      </c>
      <c r="AH155" s="57">
        <f>ROUND(IF(AQ155="0",BJ155,0),2)</f>
      </c>
      <c r="AI155" s="33" t="s">
        <v>57</v>
      </c>
      <c r="AJ155" s="57">
        <f>IF(AN155=0,J155,0)</f>
      </c>
      <c r="AK155" s="57">
        <f>IF(AN155=12,J155,0)</f>
      </c>
      <c r="AL155" s="57">
        <f>IF(AN155=21,J155,0)</f>
      </c>
      <c r="AN155" s="57" t="n">
        <v>12</v>
      </c>
      <c r="AO155" s="57">
        <f>G155*0</f>
      </c>
      <c r="AP155" s="57">
        <f>G155*(1-0)</f>
      </c>
      <c r="AQ155" s="60" t="s">
        <v>89</v>
      </c>
      <c r="AV155" s="57">
        <f>ROUND(AW155+AX155,2)</f>
      </c>
      <c r="AW155" s="57">
        <f>ROUND(F155*AO155,2)</f>
      </c>
      <c r="AX155" s="57">
        <f>ROUND(F155*AP155,2)</f>
      </c>
      <c r="AY155" s="60" t="s">
        <v>399</v>
      </c>
      <c r="AZ155" s="60" t="s">
        <v>400</v>
      </c>
      <c r="BA155" s="33" t="s">
        <v>65</v>
      </c>
      <c r="BB155" s="61" t="n">
        <v>100092</v>
      </c>
      <c r="BC155" s="57">
        <f>AW155+AX155</f>
      </c>
      <c r="BD155" s="57">
        <f>G155/(100-BE155)*100</f>
      </c>
      <c r="BE155" s="57" t="n">
        <v>0</v>
      </c>
      <c r="BF155" s="57">
        <f>155</f>
      </c>
      <c r="BH155" s="57">
        <f>F155*AO155</f>
      </c>
      <c r="BI155" s="57">
        <f>F155*AP155</f>
      </c>
      <c r="BJ155" s="57">
        <f>F155*G155</f>
      </c>
      <c r="BK155" s="60" t="s">
        <v>66</v>
      </c>
      <c r="BL155" s="57" t="n">
        <v>766</v>
      </c>
      <c r="BW155" s="57" t="n">
        <v>12</v>
      </c>
      <c r="BX155" s="16" t="s">
        <v>398</v>
      </c>
    </row>
    <row r="156">
      <c r="A156" s="10" t="s">
        <v>401</v>
      </c>
      <c r="B156" s="11" t="s">
        <v>402</v>
      </c>
      <c r="C156" s="16" t="s">
        <v>403</v>
      </c>
      <c r="D156" s="11"/>
      <c r="E156" s="11" t="s">
        <v>126</v>
      </c>
      <c r="F156" s="57" t="n">
        <v>467.027</v>
      </c>
      <c r="G156" s="58" t="n">
        <v>0</v>
      </c>
      <c r="H156" s="57">
        <f>ROUND(F156*AO156,2)</f>
      </c>
      <c r="I156" s="57">
        <f>ROUND(F156*AP156,2)</f>
      </c>
      <c r="J156" s="57">
        <f>ROUND(F156*G156,2)</f>
      </c>
      <c r="K156" s="59" t="s">
        <v>62</v>
      </c>
      <c r="Z156" s="57">
        <f>ROUND(IF(AQ156="5",BJ156,0),2)</f>
      </c>
      <c r="AB156" s="57">
        <f>ROUND(IF(AQ156="1",BH156,0),2)</f>
      </c>
      <c r="AC156" s="57">
        <f>ROUND(IF(AQ156="1",BI156,0),2)</f>
      </c>
      <c r="AD156" s="57">
        <f>ROUND(IF(AQ156="7",BH156,0),2)</f>
      </c>
      <c r="AE156" s="57">
        <f>ROUND(IF(AQ156="7",BI156,0),2)</f>
      </c>
      <c r="AF156" s="57">
        <f>ROUND(IF(AQ156="2",BH156,0),2)</f>
      </c>
      <c r="AG156" s="57">
        <f>ROUND(IF(AQ156="2",BI156,0),2)</f>
      </c>
      <c r="AH156" s="57">
        <f>ROUND(IF(AQ156="0",BJ156,0),2)</f>
      </c>
      <c r="AI156" s="33" t="s">
        <v>57</v>
      </c>
      <c r="AJ156" s="57">
        <f>IF(AN156=0,J156,0)</f>
      </c>
      <c r="AK156" s="57">
        <f>IF(AN156=12,J156,0)</f>
      </c>
      <c r="AL156" s="57">
        <f>IF(AN156=21,J156,0)</f>
      </c>
      <c r="AN156" s="57" t="n">
        <v>12</v>
      </c>
      <c r="AO156" s="57">
        <f>G156*1</f>
      </c>
      <c r="AP156" s="57">
        <f>G156*(1-1)</f>
      </c>
      <c r="AQ156" s="60" t="s">
        <v>89</v>
      </c>
      <c r="AV156" s="57">
        <f>ROUND(AW156+AX156,2)</f>
      </c>
      <c r="AW156" s="57">
        <f>ROUND(F156*AO156,2)</f>
      </c>
      <c r="AX156" s="57">
        <f>ROUND(F156*AP156,2)</f>
      </c>
      <c r="AY156" s="60" t="s">
        <v>399</v>
      </c>
      <c r="AZ156" s="60" t="s">
        <v>400</v>
      </c>
      <c r="BA156" s="33" t="s">
        <v>65</v>
      </c>
      <c r="BC156" s="57">
        <f>AW156+AX156</f>
      </c>
      <c r="BD156" s="57">
        <f>G156/(100-BE156)*100</f>
      </c>
      <c r="BE156" s="57" t="n">
        <v>0</v>
      </c>
      <c r="BF156" s="57">
        <f>156</f>
      </c>
      <c r="BH156" s="57">
        <f>F156*AO156</f>
      </c>
      <c r="BI156" s="57">
        <f>F156*AP156</f>
      </c>
      <c r="BJ156" s="57">
        <f>F156*G156</f>
      </c>
      <c r="BK156" s="60" t="s">
        <v>98</v>
      </c>
      <c r="BL156" s="57" t="n">
        <v>766</v>
      </c>
      <c r="BW156" s="57" t="n">
        <v>12</v>
      </c>
      <c r="BX156" s="16" t="s">
        <v>403</v>
      </c>
    </row>
    <row r="157">
      <c r="A157" s="10" t="s">
        <v>404</v>
      </c>
      <c r="B157" s="11" t="s">
        <v>397</v>
      </c>
      <c r="C157" s="16" t="s">
        <v>398</v>
      </c>
      <c r="D157" s="11"/>
      <c r="E157" s="11" t="s">
        <v>126</v>
      </c>
      <c r="F157" s="57" t="n">
        <v>96</v>
      </c>
      <c r="G157" s="58" t="n">
        <v>0</v>
      </c>
      <c r="H157" s="57">
        <f>ROUND(F157*AO157,2)</f>
      </c>
      <c r="I157" s="57">
        <f>ROUND(F157*AP157,2)</f>
      </c>
      <c r="J157" s="57">
        <f>ROUND(F157*G157,2)</f>
      </c>
      <c r="K157" s="59" t="s">
        <v>62</v>
      </c>
      <c r="Z157" s="57">
        <f>ROUND(IF(AQ157="5",BJ157,0),2)</f>
      </c>
      <c r="AB157" s="57">
        <f>ROUND(IF(AQ157="1",BH157,0),2)</f>
      </c>
      <c r="AC157" s="57">
        <f>ROUND(IF(AQ157="1",BI157,0),2)</f>
      </c>
      <c r="AD157" s="57">
        <f>ROUND(IF(AQ157="7",BH157,0),2)</f>
      </c>
      <c r="AE157" s="57">
        <f>ROUND(IF(AQ157="7",BI157,0),2)</f>
      </c>
      <c r="AF157" s="57">
        <f>ROUND(IF(AQ157="2",BH157,0),2)</f>
      </c>
      <c r="AG157" s="57">
        <f>ROUND(IF(AQ157="2",BI157,0),2)</f>
      </c>
      <c r="AH157" s="57">
        <f>ROUND(IF(AQ157="0",BJ157,0),2)</f>
      </c>
      <c r="AI157" s="33" t="s">
        <v>57</v>
      </c>
      <c r="AJ157" s="57">
        <f>IF(AN157=0,J157,0)</f>
      </c>
      <c r="AK157" s="57">
        <f>IF(AN157=12,J157,0)</f>
      </c>
      <c r="AL157" s="57">
        <f>IF(AN157=21,J157,0)</f>
      </c>
      <c r="AN157" s="57" t="n">
        <v>12</v>
      </c>
      <c r="AO157" s="57">
        <f>G157*0</f>
      </c>
      <c r="AP157" s="57">
        <f>G157*(1-0)</f>
      </c>
      <c r="AQ157" s="60" t="s">
        <v>89</v>
      </c>
      <c r="AV157" s="57">
        <f>ROUND(AW157+AX157,2)</f>
      </c>
      <c r="AW157" s="57">
        <f>ROUND(F157*AO157,2)</f>
      </c>
      <c r="AX157" s="57">
        <f>ROUND(F157*AP157,2)</f>
      </c>
      <c r="AY157" s="60" t="s">
        <v>399</v>
      </c>
      <c r="AZ157" s="60" t="s">
        <v>400</v>
      </c>
      <c r="BA157" s="33" t="s">
        <v>65</v>
      </c>
      <c r="BB157" s="61" t="n">
        <v>100092</v>
      </c>
      <c r="BC157" s="57">
        <f>AW157+AX157</f>
      </c>
      <c r="BD157" s="57">
        <f>G157/(100-BE157)*100</f>
      </c>
      <c r="BE157" s="57" t="n">
        <v>0</v>
      </c>
      <c r="BF157" s="57">
        <f>157</f>
      </c>
      <c r="BH157" s="57">
        <f>F157*AO157</f>
      </c>
      <c r="BI157" s="57">
        <f>F157*AP157</f>
      </c>
      <c r="BJ157" s="57">
        <f>F157*G157</f>
      </c>
      <c r="BK157" s="60" t="s">
        <v>66</v>
      </c>
      <c r="BL157" s="57" t="n">
        <v>766</v>
      </c>
      <c r="BW157" s="57" t="n">
        <v>12</v>
      </c>
      <c r="BX157" s="16" t="s">
        <v>398</v>
      </c>
    </row>
    <row r="158">
      <c r="A158" s="10" t="s">
        <v>405</v>
      </c>
      <c r="B158" s="11" t="s">
        <v>406</v>
      </c>
      <c r="C158" s="16" t="s">
        <v>407</v>
      </c>
      <c r="D158" s="11"/>
      <c r="E158" s="11" t="s">
        <v>126</v>
      </c>
      <c r="F158" s="57" t="n">
        <v>105.6</v>
      </c>
      <c r="G158" s="58" t="n">
        <v>0</v>
      </c>
      <c r="H158" s="57">
        <f>ROUND(F158*AO158,2)</f>
      </c>
      <c r="I158" s="57">
        <f>ROUND(F158*AP158,2)</f>
      </c>
      <c r="J158" s="57">
        <f>ROUND(F158*G158,2)</f>
      </c>
      <c r="K158" s="59" t="s">
        <v>62</v>
      </c>
      <c r="Z158" s="57">
        <f>ROUND(IF(AQ158="5",BJ158,0),2)</f>
      </c>
      <c r="AB158" s="57">
        <f>ROUND(IF(AQ158="1",BH158,0),2)</f>
      </c>
      <c r="AC158" s="57">
        <f>ROUND(IF(AQ158="1",BI158,0),2)</f>
      </c>
      <c r="AD158" s="57">
        <f>ROUND(IF(AQ158="7",BH158,0),2)</f>
      </c>
      <c r="AE158" s="57">
        <f>ROUND(IF(AQ158="7",BI158,0),2)</f>
      </c>
      <c r="AF158" s="57">
        <f>ROUND(IF(AQ158="2",BH158,0),2)</f>
      </c>
      <c r="AG158" s="57">
        <f>ROUND(IF(AQ158="2",BI158,0),2)</f>
      </c>
      <c r="AH158" s="57">
        <f>ROUND(IF(AQ158="0",BJ158,0),2)</f>
      </c>
      <c r="AI158" s="33" t="s">
        <v>57</v>
      </c>
      <c r="AJ158" s="57">
        <f>IF(AN158=0,J158,0)</f>
      </c>
      <c r="AK158" s="57">
        <f>IF(AN158=12,J158,0)</f>
      </c>
      <c r="AL158" s="57">
        <f>IF(AN158=21,J158,0)</f>
      </c>
      <c r="AN158" s="57" t="n">
        <v>12</v>
      </c>
      <c r="AO158" s="57">
        <f>G158*1</f>
      </c>
      <c r="AP158" s="57">
        <f>G158*(1-1)</f>
      </c>
      <c r="AQ158" s="60" t="s">
        <v>89</v>
      </c>
      <c r="AV158" s="57">
        <f>ROUND(AW158+AX158,2)</f>
      </c>
      <c r="AW158" s="57">
        <f>ROUND(F158*AO158,2)</f>
      </c>
      <c r="AX158" s="57">
        <f>ROUND(F158*AP158,2)</f>
      </c>
      <c r="AY158" s="60" t="s">
        <v>399</v>
      </c>
      <c r="AZ158" s="60" t="s">
        <v>400</v>
      </c>
      <c r="BA158" s="33" t="s">
        <v>65</v>
      </c>
      <c r="BC158" s="57">
        <f>AW158+AX158</f>
      </c>
      <c r="BD158" s="57">
        <f>G158/(100-BE158)*100</f>
      </c>
      <c r="BE158" s="57" t="n">
        <v>0</v>
      </c>
      <c r="BF158" s="57">
        <f>158</f>
      </c>
      <c r="BH158" s="57">
        <f>F158*AO158</f>
      </c>
      <c r="BI158" s="57">
        <f>F158*AP158</f>
      </c>
      <c r="BJ158" s="57">
        <f>F158*G158</f>
      </c>
      <c r="BK158" s="60" t="s">
        <v>98</v>
      </c>
      <c r="BL158" s="57" t="n">
        <v>766</v>
      </c>
      <c r="BW158" s="57" t="n">
        <v>12</v>
      </c>
      <c r="BX158" s="16" t="s">
        <v>407</v>
      </c>
    </row>
    <row r="159">
      <c r="A159" s="10" t="s">
        <v>408</v>
      </c>
      <c r="B159" s="11" t="s">
        <v>409</v>
      </c>
      <c r="C159" s="16" t="s">
        <v>410</v>
      </c>
      <c r="D159" s="11"/>
      <c r="E159" s="11" t="s">
        <v>126</v>
      </c>
      <c r="F159" s="57" t="n">
        <v>29.5</v>
      </c>
      <c r="G159" s="58" t="n">
        <v>0</v>
      </c>
      <c r="H159" s="57">
        <f>ROUND(F159*AO159,2)</f>
      </c>
      <c r="I159" s="57">
        <f>ROUND(F159*AP159,2)</f>
      </c>
      <c r="J159" s="57">
        <f>ROUND(F159*G159,2)</f>
      </c>
      <c r="K159" s="59" t="s">
        <v>62</v>
      </c>
      <c r="Z159" s="57">
        <f>ROUND(IF(AQ159="5",BJ159,0),2)</f>
      </c>
      <c r="AB159" s="57">
        <f>ROUND(IF(AQ159="1",BH159,0),2)</f>
      </c>
      <c r="AC159" s="57">
        <f>ROUND(IF(AQ159="1",BI159,0),2)</f>
      </c>
      <c r="AD159" s="57">
        <f>ROUND(IF(AQ159="7",BH159,0),2)</f>
      </c>
      <c r="AE159" s="57">
        <f>ROUND(IF(AQ159="7",BI159,0),2)</f>
      </c>
      <c r="AF159" s="57">
        <f>ROUND(IF(AQ159="2",BH159,0),2)</f>
      </c>
      <c r="AG159" s="57">
        <f>ROUND(IF(AQ159="2",BI159,0),2)</f>
      </c>
      <c r="AH159" s="57">
        <f>ROUND(IF(AQ159="0",BJ159,0),2)</f>
      </c>
      <c r="AI159" s="33" t="s">
        <v>57</v>
      </c>
      <c r="AJ159" s="57">
        <f>IF(AN159=0,J159,0)</f>
      </c>
      <c r="AK159" s="57">
        <f>IF(AN159=12,J159,0)</f>
      </c>
      <c r="AL159" s="57">
        <f>IF(AN159=21,J159,0)</f>
      </c>
      <c r="AN159" s="57" t="n">
        <v>12</v>
      </c>
      <c r="AO159" s="57">
        <f>G159*0</f>
      </c>
      <c r="AP159" s="57">
        <f>G159*(1-0)</f>
      </c>
      <c r="AQ159" s="60" t="s">
        <v>89</v>
      </c>
      <c r="AV159" s="57">
        <f>ROUND(AW159+AX159,2)</f>
      </c>
      <c r="AW159" s="57">
        <f>ROUND(F159*AO159,2)</f>
      </c>
      <c r="AX159" s="57">
        <f>ROUND(F159*AP159,2)</f>
      </c>
      <c r="AY159" s="60" t="s">
        <v>399</v>
      </c>
      <c r="AZ159" s="60" t="s">
        <v>400</v>
      </c>
      <c r="BA159" s="33" t="s">
        <v>65</v>
      </c>
      <c r="BB159" s="61" t="n">
        <v>100092</v>
      </c>
      <c r="BC159" s="57">
        <f>AW159+AX159</f>
      </c>
      <c r="BD159" s="57">
        <f>G159/(100-BE159)*100</f>
      </c>
      <c r="BE159" s="57" t="n">
        <v>0</v>
      </c>
      <c r="BF159" s="57">
        <f>159</f>
      </c>
      <c r="BH159" s="57">
        <f>F159*AO159</f>
      </c>
      <c r="BI159" s="57">
        <f>F159*AP159</f>
      </c>
      <c r="BJ159" s="57">
        <f>F159*G159</f>
      </c>
      <c r="BK159" s="60" t="s">
        <v>66</v>
      </c>
      <c r="BL159" s="57" t="n">
        <v>766</v>
      </c>
      <c r="BW159" s="57" t="n">
        <v>12</v>
      </c>
      <c r="BX159" s="16" t="s">
        <v>410</v>
      </c>
    </row>
    <row r="160">
      <c r="A160" s="10" t="s">
        <v>411</v>
      </c>
      <c r="B160" s="11" t="s">
        <v>412</v>
      </c>
      <c r="C160" s="16" t="s">
        <v>413</v>
      </c>
      <c r="D160" s="11"/>
      <c r="E160" s="11" t="s">
        <v>126</v>
      </c>
      <c r="F160" s="57" t="n">
        <v>32.45</v>
      </c>
      <c r="G160" s="58" t="n">
        <v>0</v>
      </c>
      <c r="H160" s="57">
        <f>ROUND(F160*AO160,2)</f>
      </c>
      <c r="I160" s="57">
        <f>ROUND(F160*AP160,2)</f>
      </c>
      <c r="J160" s="57">
        <f>ROUND(F160*G160,2)</f>
      </c>
      <c r="K160" s="59" t="s">
        <v>62</v>
      </c>
      <c r="Z160" s="57">
        <f>ROUND(IF(AQ160="5",BJ160,0),2)</f>
      </c>
      <c r="AB160" s="57">
        <f>ROUND(IF(AQ160="1",BH160,0),2)</f>
      </c>
      <c r="AC160" s="57">
        <f>ROUND(IF(AQ160="1",BI160,0),2)</f>
      </c>
      <c r="AD160" s="57">
        <f>ROUND(IF(AQ160="7",BH160,0),2)</f>
      </c>
      <c r="AE160" s="57">
        <f>ROUND(IF(AQ160="7",BI160,0),2)</f>
      </c>
      <c r="AF160" s="57">
        <f>ROUND(IF(AQ160="2",BH160,0),2)</f>
      </c>
      <c r="AG160" s="57">
        <f>ROUND(IF(AQ160="2",BI160,0),2)</f>
      </c>
      <c r="AH160" s="57">
        <f>ROUND(IF(AQ160="0",BJ160,0),2)</f>
      </c>
      <c r="AI160" s="33" t="s">
        <v>57</v>
      </c>
      <c r="AJ160" s="57">
        <f>IF(AN160=0,J160,0)</f>
      </c>
      <c r="AK160" s="57">
        <f>IF(AN160=12,J160,0)</f>
      </c>
      <c r="AL160" s="57">
        <f>IF(AN160=21,J160,0)</f>
      </c>
      <c r="AN160" s="57" t="n">
        <v>12</v>
      </c>
      <c r="AO160" s="57">
        <f>G160*1</f>
      </c>
      <c r="AP160" s="57">
        <f>G160*(1-1)</f>
      </c>
      <c r="AQ160" s="60" t="s">
        <v>89</v>
      </c>
      <c r="AV160" s="57">
        <f>ROUND(AW160+AX160,2)</f>
      </c>
      <c r="AW160" s="57">
        <f>ROUND(F160*AO160,2)</f>
      </c>
      <c r="AX160" s="57">
        <f>ROUND(F160*AP160,2)</f>
      </c>
      <c r="AY160" s="60" t="s">
        <v>399</v>
      </c>
      <c r="AZ160" s="60" t="s">
        <v>400</v>
      </c>
      <c r="BA160" s="33" t="s">
        <v>65</v>
      </c>
      <c r="BC160" s="57">
        <f>AW160+AX160</f>
      </c>
      <c r="BD160" s="57">
        <f>G160/(100-BE160)*100</f>
      </c>
      <c r="BE160" s="57" t="n">
        <v>0</v>
      </c>
      <c r="BF160" s="57">
        <f>160</f>
      </c>
      <c r="BH160" s="57">
        <f>F160*AO160</f>
      </c>
      <c r="BI160" s="57">
        <f>F160*AP160</f>
      </c>
      <c r="BJ160" s="57">
        <f>F160*G160</f>
      </c>
      <c r="BK160" s="60" t="s">
        <v>98</v>
      </c>
      <c r="BL160" s="57" t="n">
        <v>766</v>
      </c>
      <c r="BW160" s="57" t="n">
        <v>12</v>
      </c>
      <c r="BX160" s="16" t="s">
        <v>413</v>
      </c>
    </row>
    <row r="161">
      <c r="A161" s="10" t="s">
        <v>414</v>
      </c>
      <c r="B161" s="11" t="s">
        <v>415</v>
      </c>
      <c r="C161" s="16" t="s">
        <v>416</v>
      </c>
      <c r="D161" s="11"/>
      <c r="E161" s="11" t="s">
        <v>174</v>
      </c>
      <c r="F161" s="57" t="n">
        <v>32</v>
      </c>
      <c r="G161" s="58" t="n">
        <v>0</v>
      </c>
      <c r="H161" s="57">
        <f>ROUND(F161*AO161,2)</f>
      </c>
      <c r="I161" s="57">
        <f>ROUND(F161*AP161,2)</f>
      </c>
      <c r="J161" s="57">
        <f>ROUND(F161*G161,2)</f>
      </c>
      <c r="K161" s="59" t="s">
        <v>62</v>
      </c>
      <c r="Z161" s="57">
        <f>ROUND(IF(AQ161="5",BJ161,0),2)</f>
      </c>
      <c r="AB161" s="57">
        <f>ROUND(IF(AQ161="1",BH161,0),2)</f>
      </c>
      <c r="AC161" s="57">
        <f>ROUND(IF(AQ161="1",BI161,0),2)</f>
      </c>
      <c r="AD161" s="57">
        <f>ROUND(IF(AQ161="7",BH161,0),2)</f>
      </c>
      <c r="AE161" s="57">
        <f>ROUND(IF(AQ161="7",BI161,0),2)</f>
      </c>
      <c r="AF161" s="57">
        <f>ROUND(IF(AQ161="2",BH161,0),2)</f>
      </c>
      <c r="AG161" s="57">
        <f>ROUND(IF(AQ161="2",BI161,0),2)</f>
      </c>
      <c r="AH161" s="57">
        <f>ROUND(IF(AQ161="0",BJ161,0),2)</f>
      </c>
      <c r="AI161" s="33" t="s">
        <v>57</v>
      </c>
      <c r="AJ161" s="57">
        <f>IF(AN161=0,J161,0)</f>
      </c>
      <c r="AK161" s="57">
        <f>IF(AN161=12,J161,0)</f>
      </c>
      <c r="AL161" s="57">
        <f>IF(AN161=21,J161,0)</f>
      </c>
      <c r="AN161" s="57" t="n">
        <v>12</v>
      </c>
      <c r="AO161" s="57">
        <f>G161*0.064115583</f>
      </c>
      <c r="AP161" s="57">
        <f>G161*(1-0.064115583)</f>
      </c>
      <c r="AQ161" s="60" t="s">
        <v>89</v>
      </c>
      <c r="AV161" s="57">
        <f>ROUND(AW161+AX161,2)</f>
      </c>
      <c r="AW161" s="57">
        <f>ROUND(F161*AO161,2)</f>
      </c>
      <c r="AX161" s="57">
        <f>ROUND(F161*AP161,2)</f>
      </c>
      <c r="AY161" s="60" t="s">
        <v>399</v>
      </c>
      <c r="AZ161" s="60" t="s">
        <v>400</v>
      </c>
      <c r="BA161" s="33" t="s">
        <v>65</v>
      </c>
      <c r="BB161" s="61" t="n">
        <v>100092</v>
      </c>
      <c r="BC161" s="57">
        <f>AW161+AX161</f>
      </c>
      <c r="BD161" s="57">
        <f>G161/(100-BE161)*100</f>
      </c>
      <c r="BE161" s="57" t="n">
        <v>0</v>
      </c>
      <c r="BF161" s="57">
        <f>161</f>
      </c>
      <c r="BH161" s="57">
        <f>F161*AO161</f>
      </c>
      <c r="BI161" s="57">
        <f>F161*AP161</f>
      </c>
      <c r="BJ161" s="57">
        <f>F161*G161</f>
      </c>
      <c r="BK161" s="60" t="s">
        <v>66</v>
      </c>
      <c r="BL161" s="57" t="n">
        <v>766</v>
      </c>
      <c r="BW161" s="57" t="n">
        <v>12</v>
      </c>
      <c r="BX161" s="16" t="s">
        <v>416</v>
      </c>
    </row>
    <row r="162" ht="24.75">
      <c r="A162" s="10" t="s">
        <v>417</v>
      </c>
      <c r="B162" s="11" t="s">
        <v>138</v>
      </c>
      <c r="C162" s="16" t="s">
        <v>418</v>
      </c>
      <c r="D162" s="11"/>
      <c r="E162" s="11" t="s">
        <v>419</v>
      </c>
      <c r="F162" s="57" t="n">
        <v>32</v>
      </c>
      <c r="G162" s="58" t="n">
        <v>0</v>
      </c>
      <c r="H162" s="57">
        <f>ROUND(F162*AO162,2)</f>
      </c>
      <c r="I162" s="57">
        <f>ROUND(F162*AP162,2)</f>
      </c>
      <c r="J162" s="57">
        <f>ROUND(F162*G162,2)</f>
      </c>
      <c r="K162" s="59" t="s">
        <v>140</v>
      </c>
      <c r="Z162" s="57">
        <f>ROUND(IF(AQ162="5",BJ162,0),2)</f>
      </c>
      <c r="AB162" s="57">
        <f>ROUND(IF(AQ162="1",BH162,0),2)</f>
      </c>
      <c r="AC162" s="57">
        <f>ROUND(IF(AQ162="1",BI162,0),2)</f>
      </c>
      <c r="AD162" s="57">
        <f>ROUND(IF(AQ162="7",BH162,0),2)</f>
      </c>
      <c r="AE162" s="57">
        <f>ROUND(IF(AQ162="7",BI162,0),2)</f>
      </c>
      <c r="AF162" s="57">
        <f>ROUND(IF(AQ162="2",BH162,0),2)</f>
      </c>
      <c r="AG162" s="57">
        <f>ROUND(IF(AQ162="2",BI162,0),2)</f>
      </c>
      <c r="AH162" s="57">
        <f>ROUND(IF(AQ162="0",BJ162,0),2)</f>
      </c>
      <c r="AI162" s="33" t="s">
        <v>57</v>
      </c>
      <c r="AJ162" s="57">
        <f>IF(AN162=0,J162,0)</f>
      </c>
      <c r="AK162" s="57">
        <f>IF(AN162=12,J162,0)</f>
      </c>
      <c r="AL162" s="57">
        <f>IF(AN162=21,J162,0)</f>
      </c>
      <c r="AN162" s="57" t="n">
        <v>12</v>
      </c>
      <c r="AO162" s="57">
        <f>G162*1</f>
      </c>
      <c r="AP162" s="57">
        <f>G162*(1-1)</f>
      </c>
      <c r="AQ162" s="60" t="s">
        <v>89</v>
      </c>
      <c r="AV162" s="57">
        <f>ROUND(AW162+AX162,2)</f>
      </c>
      <c r="AW162" s="57">
        <f>ROUND(F162*AO162,2)</f>
      </c>
      <c r="AX162" s="57">
        <f>ROUND(F162*AP162,2)</f>
      </c>
      <c r="AY162" s="60" t="s">
        <v>399</v>
      </c>
      <c r="AZ162" s="60" t="s">
        <v>400</v>
      </c>
      <c r="BA162" s="33" t="s">
        <v>65</v>
      </c>
      <c r="BC162" s="57">
        <f>AW162+AX162</f>
      </c>
      <c r="BD162" s="57">
        <f>G162/(100-BE162)*100</f>
      </c>
      <c r="BE162" s="57" t="n">
        <v>0</v>
      </c>
      <c r="BF162" s="57">
        <f>162</f>
      </c>
      <c r="BH162" s="57">
        <f>F162*AO162</f>
      </c>
      <c r="BI162" s="57">
        <f>F162*AP162</f>
      </c>
      <c r="BJ162" s="57">
        <f>F162*G162</f>
      </c>
      <c r="BK162" s="60" t="s">
        <v>98</v>
      </c>
      <c r="BL162" s="57" t="n">
        <v>766</v>
      </c>
      <c r="BW162" s="57" t="n">
        <v>12</v>
      </c>
      <c r="BX162" s="16" t="s">
        <v>418</v>
      </c>
    </row>
    <row r="163">
      <c r="A163" s="10" t="s">
        <v>420</v>
      </c>
      <c r="B163" s="11" t="s">
        <v>421</v>
      </c>
      <c r="C163" s="16" t="s">
        <v>422</v>
      </c>
      <c r="D163" s="11"/>
      <c r="E163" s="11" t="s">
        <v>314</v>
      </c>
      <c r="F163" s="57" t="n">
        <v>0.70547</v>
      </c>
      <c r="G163" s="58" t="n">
        <v>0</v>
      </c>
      <c r="H163" s="57">
        <f>ROUND(F163*AO163,2)</f>
      </c>
      <c r="I163" s="57">
        <f>ROUND(F163*AP163,2)</f>
      </c>
      <c r="J163" s="57">
        <f>ROUND(F163*G163,2)</f>
      </c>
      <c r="K163" s="59" t="s">
        <v>62</v>
      </c>
      <c r="Z163" s="57">
        <f>ROUND(IF(AQ163="5",BJ163,0),2)</f>
      </c>
      <c r="AB163" s="57">
        <f>ROUND(IF(AQ163="1",BH163,0),2)</f>
      </c>
      <c r="AC163" s="57">
        <f>ROUND(IF(AQ163="1",BI163,0),2)</f>
      </c>
      <c r="AD163" s="57">
        <f>ROUND(IF(AQ163="7",BH163,0),2)</f>
      </c>
      <c r="AE163" s="57">
        <f>ROUND(IF(AQ163="7",BI163,0),2)</f>
      </c>
      <c r="AF163" s="57">
        <f>ROUND(IF(AQ163="2",BH163,0),2)</f>
      </c>
      <c r="AG163" s="57">
        <f>ROUND(IF(AQ163="2",BI163,0),2)</f>
      </c>
      <c r="AH163" s="57">
        <f>ROUND(IF(AQ163="0",BJ163,0),2)</f>
      </c>
      <c r="AI163" s="33" t="s">
        <v>57</v>
      </c>
      <c r="AJ163" s="57">
        <f>IF(AN163=0,J163,0)</f>
      </c>
      <c r="AK163" s="57">
        <f>IF(AN163=12,J163,0)</f>
      </c>
      <c r="AL163" s="57">
        <f>IF(AN163=21,J163,0)</f>
      </c>
      <c r="AN163" s="57" t="n">
        <v>12</v>
      </c>
      <c r="AO163" s="57">
        <f>G163*0</f>
      </c>
      <c r="AP163" s="57">
        <f>G163*(1-0)</f>
      </c>
      <c r="AQ163" s="60" t="s">
        <v>76</v>
      </c>
      <c r="AV163" s="57">
        <f>ROUND(AW163+AX163,2)</f>
      </c>
      <c r="AW163" s="57">
        <f>ROUND(F163*AO163,2)</f>
      </c>
      <c r="AX163" s="57">
        <f>ROUND(F163*AP163,2)</f>
      </c>
      <c r="AY163" s="60" t="s">
        <v>399</v>
      </c>
      <c r="AZ163" s="60" t="s">
        <v>400</v>
      </c>
      <c r="BA163" s="33" t="s">
        <v>65</v>
      </c>
      <c r="BB163" s="61" t="n">
        <v>100092</v>
      </c>
      <c r="BC163" s="57">
        <f>AW163+AX163</f>
      </c>
      <c r="BD163" s="57">
        <f>G163/(100-BE163)*100</f>
      </c>
      <c r="BE163" s="57" t="n">
        <v>0</v>
      </c>
      <c r="BF163" s="57">
        <f>163</f>
      </c>
      <c r="BH163" s="57">
        <f>F163*AO163</f>
      </c>
      <c r="BI163" s="57">
        <f>F163*AP163</f>
      </c>
      <c r="BJ163" s="57">
        <f>F163*G163</f>
      </c>
      <c r="BK163" s="60" t="s">
        <v>66</v>
      </c>
      <c r="BL163" s="57" t="n">
        <v>766</v>
      </c>
      <c r="BW163" s="57" t="n">
        <v>12</v>
      </c>
      <c r="BX163" s="16" t="s">
        <v>422</v>
      </c>
    </row>
    <row r="164">
      <c r="A164" s="51" t="s">
        <v>53</v>
      </c>
      <c r="B164" s="52" t="s">
        <v>423</v>
      </c>
      <c r="C164" s="53" t="s">
        <v>424</v>
      </c>
      <c r="D164" s="52"/>
      <c r="E164" s="54" t="s">
        <v>4</v>
      </c>
      <c r="F164" s="54" t="s">
        <v>4</v>
      </c>
      <c r="G164" s="55" t="s">
        <v>4</v>
      </c>
      <c r="H164" s="2">
        <f>ROUND(SUM(H165:H168),2)</f>
      </c>
      <c r="I164" s="2">
        <f>ROUND(SUM(I165:I168),2)</f>
      </c>
      <c r="J164" s="2">
        <f>ROUND(SUM(J165:J168),2)</f>
      </c>
      <c r="K164" s="56" t="s">
        <v>53</v>
      </c>
      <c r="AI164" s="33" t="s">
        <v>57</v>
      </c>
      <c r="AS164" s="2">
        <f>SUM(AJ165:AJ168)</f>
      </c>
      <c r="AT164" s="2">
        <f>SUM(AK165:AK168)</f>
      </c>
      <c r="AU164" s="2">
        <f>SUM(AL165:AL168)</f>
      </c>
    </row>
    <row r="165">
      <c r="A165" s="10" t="s">
        <v>425</v>
      </c>
      <c r="B165" s="11" t="s">
        <v>426</v>
      </c>
      <c r="C165" s="16" t="s">
        <v>427</v>
      </c>
      <c r="D165" s="11"/>
      <c r="E165" s="11" t="s">
        <v>97</v>
      </c>
      <c r="F165" s="57" t="n">
        <v>704</v>
      </c>
      <c r="G165" s="58" t="n">
        <v>0</v>
      </c>
      <c r="H165" s="57">
        <f>ROUND(F165*AO165,2)</f>
      </c>
      <c r="I165" s="57">
        <f>ROUND(F165*AP165,2)</f>
      </c>
      <c r="J165" s="57">
        <f>ROUND(F165*G165,2)</f>
      </c>
      <c r="K165" s="59" t="s">
        <v>62</v>
      </c>
      <c r="Z165" s="57">
        <f>ROUND(IF(AQ165="5",BJ165,0),2)</f>
      </c>
      <c r="AB165" s="57">
        <f>ROUND(IF(AQ165="1",BH165,0),2)</f>
      </c>
      <c r="AC165" s="57">
        <f>ROUND(IF(AQ165="1",BI165,0),2)</f>
      </c>
      <c r="AD165" s="57">
        <f>ROUND(IF(AQ165="7",BH165,0),2)</f>
      </c>
      <c r="AE165" s="57">
        <f>ROUND(IF(AQ165="7",BI165,0),2)</f>
      </c>
      <c r="AF165" s="57">
        <f>ROUND(IF(AQ165="2",BH165,0),2)</f>
      </c>
      <c r="AG165" s="57">
        <f>ROUND(IF(AQ165="2",BI165,0),2)</f>
      </c>
      <c r="AH165" s="57">
        <f>ROUND(IF(AQ165="0",BJ165,0),2)</f>
      </c>
      <c r="AI165" s="33" t="s">
        <v>57</v>
      </c>
      <c r="AJ165" s="57">
        <f>IF(AN165=0,J165,0)</f>
      </c>
      <c r="AK165" s="57">
        <f>IF(AN165=12,J165,0)</f>
      </c>
      <c r="AL165" s="57">
        <f>IF(AN165=21,J165,0)</f>
      </c>
      <c r="AN165" s="57" t="n">
        <v>12</v>
      </c>
      <c r="AO165" s="57">
        <f>G165*0.180539273</f>
      </c>
      <c r="AP165" s="57">
        <f>G165*(1-0.180539273)</f>
      </c>
      <c r="AQ165" s="60" t="s">
        <v>89</v>
      </c>
      <c r="AV165" s="57">
        <f>ROUND(AW165+AX165,2)</f>
      </c>
      <c r="AW165" s="57">
        <f>ROUND(F165*AO165,2)</f>
      </c>
      <c r="AX165" s="57">
        <f>ROUND(F165*AP165,2)</f>
      </c>
      <c r="AY165" s="60" t="s">
        <v>428</v>
      </c>
      <c r="AZ165" s="60" t="s">
        <v>429</v>
      </c>
      <c r="BA165" s="33" t="s">
        <v>65</v>
      </c>
      <c r="BB165" s="61" t="n">
        <v>100093</v>
      </c>
      <c r="BC165" s="57">
        <f>AW165+AX165</f>
      </c>
      <c r="BD165" s="57">
        <f>G165/(100-BE165)*100</f>
      </c>
      <c r="BE165" s="57" t="n">
        <v>0</v>
      </c>
      <c r="BF165" s="57">
        <f>165</f>
      </c>
      <c r="BH165" s="57">
        <f>F165*AO165</f>
      </c>
      <c r="BI165" s="57">
        <f>F165*AP165</f>
      </c>
      <c r="BJ165" s="57">
        <f>F165*G165</f>
      </c>
      <c r="BK165" s="60" t="s">
        <v>66</v>
      </c>
      <c r="BL165" s="57" t="n">
        <v>767</v>
      </c>
      <c r="BW165" s="57" t="n">
        <v>12</v>
      </c>
      <c r="BX165" s="16" t="s">
        <v>427</v>
      </c>
    </row>
    <row r="166">
      <c r="A166" s="10" t="s">
        <v>430</v>
      </c>
      <c r="B166" s="11" t="s">
        <v>431</v>
      </c>
      <c r="C166" s="16" t="s">
        <v>432</v>
      </c>
      <c r="D166" s="11"/>
      <c r="E166" s="11" t="s">
        <v>61</v>
      </c>
      <c r="F166" s="57" t="n">
        <v>17.362</v>
      </c>
      <c r="G166" s="58" t="n">
        <v>0</v>
      </c>
      <c r="H166" s="57">
        <f>ROUND(F166*AO166,2)</f>
      </c>
      <c r="I166" s="57">
        <f>ROUND(F166*AP166,2)</f>
      </c>
      <c r="J166" s="57">
        <f>ROUND(F166*G166,2)</f>
      </c>
      <c r="K166" s="59" t="s">
        <v>62</v>
      </c>
      <c r="Z166" s="57">
        <f>ROUND(IF(AQ166="5",BJ166,0),2)</f>
      </c>
      <c r="AB166" s="57">
        <f>ROUND(IF(AQ166="1",BH166,0),2)</f>
      </c>
      <c r="AC166" s="57">
        <f>ROUND(IF(AQ166="1",BI166,0),2)</f>
      </c>
      <c r="AD166" s="57">
        <f>ROUND(IF(AQ166="7",BH166,0),2)</f>
      </c>
      <c r="AE166" s="57">
        <f>ROUND(IF(AQ166="7",BI166,0),2)</f>
      </c>
      <c r="AF166" s="57">
        <f>ROUND(IF(AQ166="2",BH166,0),2)</f>
      </c>
      <c r="AG166" s="57">
        <f>ROUND(IF(AQ166="2",BI166,0),2)</f>
      </c>
      <c r="AH166" s="57">
        <f>ROUND(IF(AQ166="0",BJ166,0),2)</f>
      </c>
      <c r="AI166" s="33" t="s">
        <v>57</v>
      </c>
      <c r="AJ166" s="57">
        <f>IF(AN166=0,J166,0)</f>
      </c>
      <c r="AK166" s="57">
        <f>IF(AN166=12,J166,0)</f>
      </c>
      <c r="AL166" s="57">
        <f>IF(AN166=21,J166,0)</f>
      </c>
      <c r="AN166" s="57" t="n">
        <v>12</v>
      </c>
      <c r="AO166" s="57">
        <f>G166*0.005766788</f>
      </c>
      <c r="AP166" s="57">
        <f>G166*(1-0.005766788)</f>
      </c>
      <c r="AQ166" s="60" t="s">
        <v>89</v>
      </c>
      <c r="AV166" s="57">
        <f>ROUND(AW166+AX166,2)</f>
      </c>
      <c r="AW166" s="57">
        <f>ROUND(F166*AO166,2)</f>
      </c>
      <c r="AX166" s="57">
        <f>ROUND(F166*AP166,2)</f>
      </c>
      <c r="AY166" s="60" t="s">
        <v>428</v>
      </c>
      <c r="AZ166" s="60" t="s">
        <v>429</v>
      </c>
      <c r="BA166" s="33" t="s">
        <v>65</v>
      </c>
      <c r="BB166" s="61" t="n">
        <v>100093</v>
      </c>
      <c r="BC166" s="57">
        <f>AW166+AX166</f>
      </c>
      <c r="BD166" s="57">
        <f>G166/(100-BE166)*100</f>
      </c>
      <c r="BE166" s="57" t="n">
        <v>0</v>
      </c>
      <c r="BF166" s="57">
        <f>166</f>
      </c>
      <c r="BH166" s="57">
        <f>F166*AO166</f>
      </c>
      <c r="BI166" s="57">
        <f>F166*AP166</f>
      </c>
      <c r="BJ166" s="57">
        <f>F166*G166</f>
      </c>
      <c r="BK166" s="60" t="s">
        <v>66</v>
      </c>
      <c r="BL166" s="57" t="n">
        <v>767</v>
      </c>
      <c r="BW166" s="57" t="n">
        <v>12</v>
      </c>
      <c r="BX166" s="16" t="s">
        <v>432</v>
      </c>
    </row>
    <row r="167">
      <c r="A167" s="10" t="s">
        <v>433</v>
      </c>
      <c r="B167" s="11" t="s">
        <v>138</v>
      </c>
      <c r="C167" s="16" t="s">
        <v>434</v>
      </c>
      <c r="D167" s="11"/>
      <c r="E167" s="11" t="s">
        <v>174</v>
      </c>
      <c r="F167" s="57" t="n">
        <v>32</v>
      </c>
      <c r="G167" s="58" t="n">
        <v>0</v>
      </c>
      <c r="H167" s="57">
        <f>ROUND(F167*AO167,2)</f>
      </c>
      <c r="I167" s="57">
        <f>ROUND(F167*AP167,2)</f>
      </c>
      <c r="J167" s="57">
        <f>ROUND(F167*G167,2)</f>
      </c>
      <c r="K167" s="59" t="s">
        <v>140</v>
      </c>
      <c r="Z167" s="57">
        <f>ROUND(IF(AQ167="5",BJ167,0),2)</f>
      </c>
      <c r="AB167" s="57">
        <f>ROUND(IF(AQ167="1",BH167,0),2)</f>
      </c>
      <c r="AC167" s="57">
        <f>ROUND(IF(AQ167="1",BI167,0),2)</f>
      </c>
      <c r="AD167" s="57">
        <f>ROUND(IF(AQ167="7",BH167,0),2)</f>
      </c>
      <c r="AE167" s="57">
        <f>ROUND(IF(AQ167="7",BI167,0),2)</f>
      </c>
      <c r="AF167" s="57">
        <f>ROUND(IF(AQ167="2",BH167,0),2)</f>
      </c>
      <c r="AG167" s="57">
        <f>ROUND(IF(AQ167="2",BI167,0),2)</f>
      </c>
      <c r="AH167" s="57">
        <f>ROUND(IF(AQ167="0",BJ167,0),2)</f>
      </c>
      <c r="AI167" s="33" t="s">
        <v>57</v>
      </c>
      <c r="AJ167" s="57">
        <f>IF(AN167=0,J167,0)</f>
      </c>
      <c r="AK167" s="57">
        <f>IF(AN167=12,J167,0)</f>
      </c>
      <c r="AL167" s="57">
        <f>IF(AN167=21,J167,0)</f>
      </c>
      <c r="AN167" s="57" t="n">
        <v>12</v>
      </c>
      <c r="AO167" s="57">
        <f>G167*1</f>
      </c>
      <c r="AP167" s="57">
        <f>G167*(1-1)</f>
      </c>
      <c r="AQ167" s="60" t="s">
        <v>89</v>
      </c>
      <c r="AV167" s="57">
        <f>ROUND(AW167+AX167,2)</f>
      </c>
      <c r="AW167" s="57">
        <f>ROUND(F167*AO167,2)</f>
      </c>
      <c r="AX167" s="57">
        <f>ROUND(F167*AP167,2)</f>
      </c>
      <c r="AY167" s="60" t="s">
        <v>428</v>
      </c>
      <c r="AZ167" s="60" t="s">
        <v>429</v>
      </c>
      <c r="BA167" s="33" t="s">
        <v>65</v>
      </c>
      <c r="BC167" s="57">
        <f>AW167+AX167</f>
      </c>
      <c r="BD167" s="57">
        <f>G167/(100-BE167)*100</f>
      </c>
      <c r="BE167" s="57" t="n">
        <v>0</v>
      </c>
      <c r="BF167" s="57">
        <f>167</f>
      </c>
      <c r="BH167" s="57">
        <f>F167*AO167</f>
      </c>
      <c r="BI167" s="57">
        <f>F167*AP167</f>
      </c>
      <c r="BJ167" s="57">
        <f>F167*G167</f>
      </c>
      <c r="BK167" s="60" t="s">
        <v>98</v>
      </c>
      <c r="BL167" s="57" t="n">
        <v>767</v>
      </c>
      <c r="BW167" s="57" t="n">
        <v>12</v>
      </c>
      <c r="BX167" s="16" t="s">
        <v>434</v>
      </c>
    </row>
    <row r="168">
      <c r="A168" s="10" t="s">
        <v>435</v>
      </c>
      <c r="B168" s="11" t="s">
        <v>436</v>
      </c>
      <c r="C168" s="16" t="s">
        <v>437</v>
      </c>
      <c r="D168" s="11"/>
      <c r="E168" s="11" t="s">
        <v>314</v>
      </c>
      <c r="F168" s="57" t="n">
        <v>0.98184</v>
      </c>
      <c r="G168" s="58" t="n">
        <v>0</v>
      </c>
      <c r="H168" s="57">
        <f>ROUND(F168*AO168,2)</f>
      </c>
      <c r="I168" s="57">
        <f>ROUND(F168*AP168,2)</f>
      </c>
      <c r="J168" s="57">
        <f>ROUND(F168*G168,2)</f>
      </c>
      <c r="K168" s="59" t="s">
        <v>62</v>
      </c>
      <c r="Z168" s="57">
        <f>ROUND(IF(AQ168="5",BJ168,0),2)</f>
      </c>
      <c r="AB168" s="57">
        <f>ROUND(IF(AQ168="1",BH168,0),2)</f>
      </c>
      <c r="AC168" s="57">
        <f>ROUND(IF(AQ168="1",BI168,0),2)</f>
      </c>
      <c r="AD168" s="57">
        <f>ROUND(IF(AQ168="7",BH168,0),2)</f>
      </c>
      <c r="AE168" s="57">
        <f>ROUND(IF(AQ168="7",BI168,0),2)</f>
      </c>
      <c r="AF168" s="57">
        <f>ROUND(IF(AQ168="2",BH168,0),2)</f>
      </c>
      <c r="AG168" s="57">
        <f>ROUND(IF(AQ168="2",BI168,0),2)</f>
      </c>
      <c r="AH168" s="57">
        <f>ROUND(IF(AQ168="0",BJ168,0),2)</f>
      </c>
      <c r="AI168" s="33" t="s">
        <v>57</v>
      </c>
      <c r="AJ168" s="57">
        <f>IF(AN168=0,J168,0)</f>
      </c>
      <c r="AK168" s="57">
        <f>IF(AN168=12,J168,0)</f>
      </c>
      <c r="AL168" s="57">
        <f>IF(AN168=21,J168,0)</f>
      </c>
      <c r="AN168" s="57" t="n">
        <v>12</v>
      </c>
      <c r="AO168" s="57">
        <f>G168*0</f>
      </c>
      <c r="AP168" s="57">
        <f>G168*(1-0)</f>
      </c>
      <c r="AQ168" s="60" t="s">
        <v>76</v>
      </c>
      <c r="AV168" s="57">
        <f>ROUND(AW168+AX168,2)</f>
      </c>
      <c r="AW168" s="57">
        <f>ROUND(F168*AO168,2)</f>
      </c>
      <c r="AX168" s="57">
        <f>ROUND(F168*AP168,2)</f>
      </c>
      <c r="AY168" s="60" t="s">
        <v>428</v>
      </c>
      <c r="AZ168" s="60" t="s">
        <v>429</v>
      </c>
      <c r="BA168" s="33" t="s">
        <v>65</v>
      </c>
      <c r="BB168" s="61" t="n">
        <v>100093</v>
      </c>
      <c r="BC168" s="57">
        <f>AW168+AX168</f>
      </c>
      <c r="BD168" s="57">
        <f>G168/(100-BE168)*100</f>
      </c>
      <c r="BE168" s="57" t="n">
        <v>0</v>
      </c>
      <c r="BF168" s="57">
        <f>168</f>
      </c>
      <c r="BH168" s="57">
        <f>F168*AO168</f>
      </c>
      <c r="BI168" s="57">
        <f>F168*AP168</f>
      </c>
      <c r="BJ168" s="57">
        <f>F168*G168</f>
      </c>
      <c r="BK168" s="60" t="s">
        <v>66</v>
      </c>
      <c r="BL168" s="57" t="n">
        <v>767</v>
      </c>
      <c r="BW168" s="57" t="n">
        <v>12</v>
      </c>
      <c r="BX168" s="16" t="s">
        <v>437</v>
      </c>
    </row>
    <row r="169">
      <c r="A169" s="51" t="s">
        <v>53</v>
      </c>
      <c r="B169" s="52" t="s">
        <v>438</v>
      </c>
      <c r="C169" s="53" t="s">
        <v>439</v>
      </c>
      <c r="D169" s="52"/>
      <c r="E169" s="54" t="s">
        <v>4</v>
      </c>
      <c r="F169" s="54" t="s">
        <v>4</v>
      </c>
      <c r="G169" s="55" t="s">
        <v>4</v>
      </c>
      <c r="H169" s="2">
        <f>ROUND(SUM(H170:H172),2)</f>
      </c>
      <c r="I169" s="2">
        <f>ROUND(SUM(I170:I172),2)</f>
      </c>
      <c r="J169" s="2">
        <f>ROUND(SUM(J170:J172),2)</f>
      </c>
      <c r="K169" s="56" t="s">
        <v>53</v>
      </c>
      <c r="AI169" s="33" t="s">
        <v>57</v>
      </c>
      <c r="AS169" s="2">
        <f>SUM(AJ170:AJ172)</f>
      </c>
      <c r="AT169" s="2">
        <f>SUM(AK170:AK172)</f>
      </c>
      <c r="AU169" s="2">
        <f>SUM(AL170:AL172)</f>
      </c>
    </row>
    <row r="170">
      <c r="A170" s="10" t="s">
        <v>440</v>
      </c>
      <c r="B170" s="11" t="s">
        <v>441</v>
      </c>
      <c r="C170" s="16" t="s">
        <v>442</v>
      </c>
      <c r="D170" s="11"/>
      <c r="E170" s="11" t="s">
        <v>61</v>
      </c>
      <c r="F170" s="57" t="n">
        <v>70.9875</v>
      </c>
      <c r="G170" s="58" t="n">
        <v>0</v>
      </c>
      <c r="H170" s="57">
        <f>ROUND(F170*AO170,2)</f>
      </c>
      <c r="I170" s="57">
        <f>ROUND(F170*AP170,2)</f>
      </c>
      <c r="J170" s="57">
        <f>ROUND(F170*G170,2)</f>
      </c>
      <c r="K170" s="59" t="s">
        <v>62</v>
      </c>
      <c r="Z170" s="57">
        <f>ROUND(IF(AQ170="5",BJ170,0),2)</f>
      </c>
      <c r="AB170" s="57">
        <f>ROUND(IF(AQ170="1",BH170,0),2)</f>
      </c>
      <c r="AC170" s="57">
        <f>ROUND(IF(AQ170="1",BI170,0),2)</f>
      </c>
      <c r="AD170" s="57">
        <f>ROUND(IF(AQ170="7",BH170,0),2)</f>
      </c>
      <c r="AE170" s="57">
        <f>ROUND(IF(AQ170="7",BI170,0),2)</f>
      </c>
      <c r="AF170" s="57">
        <f>ROUND(IF(AQ170="2",BH170,0),2)</f>
      </c>
      <c r="AG170" s="57">
        <f>ROUND(IF(AQ170="2",BI170,0),2)</f>
      </c>
      <c r="AH170" s="57">
        <f>ROUND(IF(AQ170="0",BJ170,0),2)</f>
      </c>
      <c r="AI170" s="33" t="s">
        <v>57</v>
      </c>
      <c r="AJ170" s="57">
        <f>IF(AN170=0,J170,0)</f>
      </c>
      <c r="AK170" s="57">
        <f>IF(AN170=12,J170,0)</f>
      </c>
      <c r="AL170" s="57">
        <f>IF(AN170=21,J170,0)</f>
      </c>
      <c r="AN170" s="57" t="n">
        <v>12</v>
      </c>
      <c r="AO170" s="57">
        <f>G170*0.127623024</f>
      </c>
      <c r="AP170" s="57">
        <f>G170*(1-0.127623024)</f>
      </c>
      <c r="AQ170" s="60" t="s">
        <v>89</v>
      </c>
      <c r="AV170" s="57">
        <f>ROUND(AW170+AX170,2)</f>
      </c>
      <c r="AW170" s="57">
        <f>ROUND(F170*AO170,2)</f>
      </c>
      <c r="AX170" s="57">
        <f>ROUND(F170*AP170,2)</f>
      </c>
      <c r="AY170" s="60" t="s">
        <v>443</v>
      </c>
      <c r="AZ170" s="60" t="s">
        <v>444</v>
      </c>
      <c r="BA170" s="33" t="s">
        <v>65</v>
      </c>
      <c r="BB170" s="61" t="n">
        <v>100094</v>
      </c>
      <c r="BC170" s="57">
        <f>AW170+AX170</f>
      </c>
      <c r="BD170" s="57">
        <f>G170/(100-BE170)*100</f>
      </c>
      <c r="BE170" s="57" t="n">
        <v>0</v>
      </c>
      <c r="BF170" s="57">
        <f>170</f>
      </c>
      <c r="BH170" s="57">
        <f>F170*AO170</f>
      </c>
      <c r="BI170" s="57">
        <f>F170*AP170</f>
      </c>
      <c r="BJ170" s="57">
        <f>F170*G170</f>
      </c>
      <c r="BK170" s="60" t="s">
        <v>66</v>
      </c>
      <c r="BL170" s="57" t="n">
        <v>783</v>
      </c>
      <c r="BW170" s="57" t="n">
        <v>12</v>
      </c>
      <c r="BX170" s="16" t="s">
        <v>442</v>
      </c>
    </row>
    <row r="171">
      <c r="A171" s="10" t="s">
        <v>445</v>
      </c>
      <c r="B171" s="11" t="s">
        <v>446</v>
      </c>
      <c r="C171" s="16" t="s">
        <v>447</v>
      </c>
      <c r="D171" s="11"/>
      <c r="E171" s="11" t="s">
        <v>61</v>
      </c>
      <c r="F171" s="57" t="n">
        <v>70.9875</v>
      </c>
      <c r="G171" s="58" t="n">
        <v>0</v>
      </c>
      <c r="H171" s="57">
        <f>ROUND(F171*AO171,2)</f>
      </c>
      <c r="I171" s="57">
        <f>ROUND(F171*AP171,2)</f>
      </c>
      <c r="J171" s="57">
        <f>ROUND(F171*G171,2)</f>
      </c>
      <c r="K171" s="59" t="s">
        <v>62</v>
      </c>
      <c r="Z171" s="57">
        <f>ROUND(IF(AQ171="5",BJ171,0),2)</f>
      </c>
      <c r="AB171" s="57">
        <f>ROUND(IF(AQ171="1",BH171,0),2)</f>
      </c>
      <c r="AC171" s="57">
        <f>ROUND(IF(AQ171="1",BI171,0),2)</f>
      </c>
      <c r="AD171" s="57">
        <f>ROUND(IF(AQ171="7",BH171,0),2)</f>
      </c>
      <c r="AE171" s="57">
        <f>ROUND(IF(AQ171="7",BI171,0),2)</f>
      </c>
      <c r="AF171" s="57">
        <f>ROUND(IF(AQ171="2",BH171,0),2)</f>
      </c>
      <c r="AG171" s="57">
        <f>ROUND(IF(AQ171="2",BI171,0),2)</f>
      </c>
      <c r="AH171" s="57">
        <f>ROUND(IF(AQ171="0",BJ171,0),2)</f>
      </c>
      <c r="AI171" s="33" t="s">
        <v>57</v>
      </c>
      <c r="AJ171" s="57">
        <f>IF(AN171=0,J171,0)</f>
      </c>
      <c r="AK171" s="57">
        <f>IF(AN171=12,J171,0)</f>
      </c>
      <c r="AL171" s="57">
        <f>IF(AN171=21,J171,0)</f>
      </c>
      <c r="AN171" s="57" t="n">
        <v>12</v>
      </c>
      <c r="AO171" s="57">
        <f>G171*0.047385767</f>
      </c>
      <c r="AP171" s="57">
        <f>G171*(1-0.047385767)</f>
      </c>
      <c r="AQ171" s="60" t="s">
        <v>89</v>
      </c>
      <c r="AV171" s="57">
        <f>ROUND(AW171+AX171,2)</f>
      </c>
      <c r="AW171" s="57">
        <f>ROUND(F171*AO171,2)</f>
      </c>
      <c r="AX171" s="57">
        <f>ROUND(F171*AP171,2)</f>
      </c>
      <c r="AY171" s="60" t="s">
        <v>443</v>
      </c>
      <c r="AZ171" s="60" t="s">
        <v>444</v>
      </c>
      <c r="BA171" s="33" t="s">
        <v>65</v>
      </c>
      <c r="BB171" s="61" t="n">
        <v>100094</v>
      </c>
      <c r="BC171" s="57">
        <f>AW171+AX171</f>
      </c>
      <c r="BD171" s="57">
        <f>G171/(100-BE171)*100</f>
      </c>
      <c r="BE171" s="57" t="n">
        <v>0</v>
      </c>
      <c r="BF171" s="57">
        <f>171</f>
      </c>
      <c r="BH171" s="57">
        <f>F171*AO171</f>
      </c>
      <c r="BI171" s="57">
        <f>F171*AP171</f>
      </c>
      <c r="BJ171" s="57">
        <f>F171*G171</f>
      </c>
      <c r="BK171" s="60" t="s">
        <v>66</v>
      </c>
      <c r="BL171" s="57" t="n">
        <v>783</v>
      </c>
      <c r="BW171" s="57" t="n">
        <v>12</v>
      </c>
      <c r="BX171" s="16" t="s">
        <v>447</v>
      </c>
    </row>
    <row r="172">
      <c r="A172" s="10" t="s">
        <v>448</v>
      </c>
      <c r="B172" s="11" t="s">
        <v>449</v>
      </c>
      <c r="C172" s="16" t="s">
        <v>450</v>
      </c>
      <c r="D172" s="11"/>
      <c r="E172" s="11" t="s">
        <v>61</v>
      </c>
      <c r="F172" s="57" t="n">
        <v>70.9875</v>
      </c>
      <c r="G172" s="58" t="n">
        <v>0</v>
      </c>
      <c r="H172" s="57">
        <f>ROUND(F172*AO172,2)</f>
      </c>
      <c r="I172" s="57">
        <f>ROUND(F172*AP172,2)</f>
      </c>
      <c r="J172" s="57">
        <f>ROUND(F172*G172,2)</f>
      </c>
      <c r="K172" s="59" t="s">
        <v>62</v>
      </c>
      <c r="Z172" s="57">
        <f>ROUND(IF(AQ172="5",BJ172,0),2)</f>
      </c>
      <c r="AB172" s="57">
        <f>ROUND(IF(AQ172="1",BH172,0),2)</f>
      </c>
      <c r="AC172" s="57">
        <f>ROUND(IF(AQ172="1",BI172,0),2)</f>
      </c>
      <c r="AD172" s="57">
        <f>ROUND(IF(AQ172="7",BH172,0),2)</f>
      </c>
      <c r="AE172" s="57">
        <f>ROUND(IF(AQ172="7",BI172,0),2)</f>
      </c>
      <c r="AF172" s="57">
        <f>ROUND(IF(AQ172="2",BH172,0),2)</f>
      </c>
      <c r="AG172" s="57">
        <f>ROUND(IF(AQ172="2",BI172,0),2)</f>
      </c>
      <c r="AH172" s="57">
        <f>ROUND(IF(AQ172="0",BJ172,0),2)</f>
      </c>
      <c r="AI172" s="33" t="s">
        <v>57</v>
      </c>
      <c r="AJ172" s="57">
        <f>IF(AN172=0,J172,0)</f>
      </c>
      <c r="AK172" s="57">
        <f>IF(AN172=12,J172,0)</f>
      </c>
      <c r="AL172" s="57">
        <f>IF(AN172=21,J172,0)</f>
      </c>
      <c r="AN172" s="57" t="n">
        <v>12</v>
      </c>
      <c r="AO172" s="57">
        <f>G172*0.373473182</f>
      </c>
      <c r="AP172" s="57">
        <f>G172*(1-0.373473182)</f>
      </c>
      <c r="AQ172" s="60" t="s">
        <v>89</v>
      </c>
      <c r="AV172" s="57">
        <f>ROUND(AW172+AX172,2)</f>
      </c>
      <c r="AW172" s="57">
        <f>ROUND(F172*AO172,2)</f>
      </c>
      <c r="AX172" s="57">
        <f>ROUND(F172*AP172,2)</f>
      </c>
      <c r="AY172" s="60" t="s">
        <v>443</v>
      </c>
      <c r="AZ172" s="60" t="s">
        <v>444</v>
      </c>
      <c r="BA172" s="33" t="s">
        <v>65</v>
      </c>
      <c r="BB172" s="61" t="n">
        <v>100094</v>
      </c>
      <c r="BC172" s="57">
        <f>AW172+AX172</f>
      </c>
      <c r="BD172" s="57">
        <f>G172/(100-BE172)*100</f>
      </c>
      <c r="BE172" s="57" t="n">
        <v>0</v>
      </c>
      <c r="BF172" s="57">
        <f>172</f>
      </c>
      <c r="BH172" s="57">
        <f>F172*AO172</f>
      </c>
      <c r="BI172" s="57">
        <f>F172*AP172</f>
      </c>
      <c r="BJ172" s="57">
        <f>F172*G172</f>
      </c>
      <c r="BK172" s="60" t="s">
        <v>66</v>
      </c>
      <c r="BL172" s="57" t="n">
        <v>783</v>
      </c>
      <c r="BW172" s="57" t="n">
        <v>12</v>
      </c>
      <c r="BX172" s="16" t="s">
        <v>450</v>
      </c>
    </row>
    <row r="173">
      <c r="A173" s="51" t="s">
        <v>53</v>
      </c>
      <c r="B173" s="52" t="s">
        <v>356</v>
      </c>
      <c r="C173" s="53" t="s">
        <v>451</v>
      </c>
      <c r="D173" s="52"/>
      <c r="E173" s="54" t="s">
        <v>4</v>
      </c>
      <c r="F173" s="54" t="s">
        <v>4</v>
      </c>
      <c r="G173" s="55" t="s">
        <v>4</v>
      </c>
      <c r="H173" s="2">
        <f>ROUND(SUM(H174:H182),2)</f>
      </c>
      <c r="I173" s="2">
        <f>ROUND(SUM(I174:I182),2)</f>
      </c>
      <c r="J173" s="2">
        <f>ROUND(SUM(J174:J182),2)</f>
      </c>
      <c r="K173" s="56" t="s">
        <v>53</v>
      </c>
      <c r="AI173" s="33" t="s">
        <v>57</v>
      </c>
      <c r="AS173" s="2">
        <f>SUM(AJ174:AJ182)</f>
      </c>
      <c r="AT173" s="2">
        <f>SUM(AK174:AK182)</f>
      </c>
      <c r="AU173" s="2">
        <f>SUM(AL174:AL182)</f>
      </c>
    </row>
    <row r="174">
      <c r="A174" s="10" t="s">
        <v>452</v>
      </c>
      <c r="B174" s="11" t="s">
        <v>453</v>
      </c>
      <c r="C174" s="16" t="s">
        <v>454</v>
      </c>
      <c r="D174" s="11"/>
      <c r="E174" s="11" t="s">
        <v>455</v>
      </c>
      <c r="F174" s="57" t="n">
        <v>318</v>
      </c>
      <c r="G174" s="58" t="n">
        <v>0</v>
      </c>
      <c r="H174" s="57">
        <f>ROUND(F174*AO174,2)</f>
      </c>
      <c r="I174" s="57">
        <f>ROUND(F174*AP174,2)</f>
      </c>
      <c r="J174" s="57">
        <f>ROUND(F174*G174,2)</f>
      </c>
      <c r="K174" s="59" t="s">
        <v>62</v>
      </c>
      <c r="Z174" s="57">
        <f>ROUND(IF(AQ174="5",BJ174,0),2)</f>
      </c>
      <c r="AB174" s="57">
        <f>ROUND(IF(AQ174="1",BH174,0),2)</f>
      </c>
      <c r="AC174" s="57">
        <f>ROUND(IF(AQ174="1",BI174,0),2)</f>
      </c>
      <c r="AD174" s="57">
        <f>ROUND(IF(AQ174="7",BH174,0),2)</f>
      </c>
      <c r="AE174" s="57">
        <f>ROUND(IF(AQ174="7",BI174,0),2)</f>
      </c>
      <c r="AF174" s="57">
        <f>ROUND(IF(AQ174="2",BH174,0),2)</f>
      </c>
      <c r="AG174" s="57">
        <f>ROUND(IF(AQ174="2",BI174,0),2)</f>
      </c>
      <c r="AH174" s="57">
        <f>ROUND(IF(AQ174="0",BJ174,0),2)</f>
      </c>
      <c r="AI174" s="33" t="s">
        <v>57</v>
      </c>
      <c r="AJ174" s="57">
        <f>IF(AN174=0,J174,0)</f>
      </c>
      <c r="AK174" s="57">
        <f>IF(AN174=12,J174,0)</f>
      </c>
      <c r="AL174" s="57">
        <f>IF(AN174=21,J174,0)</f>
      </c>
      <c r="AN174" s="57" t="n">
        <v>12</v>
      </c>
      <c r="AO174" s="57">
        <f>G174*0</f>
      </c>
      <c r="AP174" s="57">
        <f>G174*(1-0)</f>
      </c>
      <c r="AQ174" s="60" t="s">
        <v>58</v>
      </c>
      <c r="AV174" s="57">
        <f>ROUND(AW174+AX174,2)</f>
      </c>
      <c r="AW174" s="57">
        <f>ROUND(F174*AO174,2)</f>
      </c>
      <c r="AX174" s="57">
        <f>ROUND(F174*AP174,2)</f>
      </c>
      <c r="AY174" s="60" t="s">
        <v>456</v>
      </c>
      <c r="AZ174" s="60" t="s">
        <v>457</v>
      </c>
      <c r="BA174" s="33" t="s">
        <v>65</v>
      </c>
      <c r="BB174" s="61" t="n">
        <v>100095</v>
      </c>
      <c r="BC174" s="57">
        <f>AW174+AX174</f>
      </c>
      <c r="BD174" s="57">
        <f>G174/(100-BE174)*100</f>
      </c>
      <c r="BE174" s="57" t="n">
        <v>0</v>
      </c>
      <c r="BF174" s="57">
        <f>174</f>
      </c>
      <c r="BH174" s="57">
        <f>F174*AO174</f>
      </c>
      <c r="BI174" s="57">
        <f>F174*AP174</f>
      </c>
      <c r="BJ174" s="57">
        <f>F174*G174</f>
      </c>
      <c r="BK174" s="60" t="s">
        <v>66</v>
      </c>
      <c r="BL174" s="57" t="n">
        <v>90</v>
      </c>
      <c r="BW174" s="57" t="n">
        <v>12</v>
      </c>
      <c r="BX174" s="16" t="s">
        <v>454</v>
      </c>
    </row>
    <row r="175" customHeight="true" ht="13.5">
      <c r="A175" s="62"/>
      <c r="B175" s="63" t="s">
        <v>106</v>
      </c>
      <c r="C175" s="64" t="s">
        <v>458</v>
      </c>
      <c r="D175" s="65"/>
      <c r="E175" s="65"/>
      <c r="F175" s="65"/>
      <c r="G175" s="66"/>
      <c r="H175" s="65"/>
      <c r="I175" s="65"/>
      <c r="J175" s="65"/>
      <c r="K175" s="67"/>
    </row>
    <row r="176">
      <c r="A176" s="10" t="s">
        <v>459</v>
      </c>
      <c r="B176" s="11" t="s">
        <v>460</v>
      </c>
      <c r="C176" s="16" t="s">
        <v>461</v>
      </c>
      <c r="D176" s="11"/>
      <c r="E176" s="11" t="s">
        <v>174</v>
      </c>
      <c r="F176" s="57" t="n">
        <v>20</v>
      </c>
      <c r="G176" s="58" t="n">
        <v>0</v>
      </c>
      <c r="H176" s="57">
        <f>ROUND(F176*AO176,2)</f>
      </c>
      <c r="I176" s="57">
        <f>ROUND(F176*AP176,2)</f>
      </c>
      <c r="J176" s="57">
        <f>ROUND(F176*G176,2)</f>
      </c>
      <c r="K176" s="59" t="s">
        <v>140</v>
      </c>
      <c r="Z176" s="57">
        <f>ROUND(IF(AQ176="5",BJ176,0),2)</f>
      </c>
      <c r="AB176" s="57">
        <f>ROUND(IF(AQ176="1",BH176,0),2)</f>
      </c>
      <c r="AC176" s="57">
        <f>ROUND(IF(AQ176="1",BI176,0),2)</f>
      </c>
      <c r="AD176" s="57">
        <f>ROUND(IF(AQ176="7",BH176,0),2)</f>
      </c>
      <c r="AE176" s="57">
        <f>ROUND(IF(AQ176="7",BI176,0),2)</f>
      </c>
      <c r="AF176" s="57">
        <f>ROUND(IF(AQ176="2",BH176,0),2)</f>
      </c>
      <c r="AG176" s="57">
        <f>ROUND(IF(AQ176="2",BI176,0),2)</f>
      </c>
      <c r="AH176" s="57">
        <f>ROUND(IF(AQ176="0",BJ176,0),2)</f>
      </c>
      <c r="AI176" s="33" t="s">
        <v>57</v>
      </c>
      <c r="AJ176" s="57">
        <f>IF(AN176=0,J176,0)</f>
      </c>
      <c r="AK176" s="57">
        <f>IF(AN176=12,J176,0)</f>
      </c>
      <c r="AL176" s="57">
        <f>IF(AN176=21,J176,0)</f>
      </c>
      <c r="AN176" s="57" t="n">
        <v>12</v>
      </c>
      <c r="AO176" s="57">
        <f>G176*1</f>
      </c>
      <c r="AP176" s="57">
        <f>G176*(1-1)</f>
      </c>
      <c r="AQ176" s="60" t="s">
        <v>58</v>
      </c>
      <c r="AV176" s="57">
        <f>ROUND(AW176+AX176,2)</f>
      </c>
      <c r="AW176" s="57">
        <f>ROUND(F176*AO176,2)</f>
      </c>
      <c r="AX176" s="57">
        <f>ROUND(F176*AP176,2)</f>
      </c>
      <c r="AY176" s="60" t="s">
        <v>456</v>
      </c>
      <c r="AZ176" s="60" t="s">
        <v>457</v>
      </c>
      <c r="BA176" s="33" t="s">
        <v>65</v>
      </c>
      <c r="BC176" s="57">
        <f>AW176+AX176</f>
      </c>
      <c r="BD176" s="57">
        <f>G176/(100-BE176)*100</f>
      </c>
      <c r="BE176" s="57" t="n">
        <v>0</v>
      </c>
      <c r="BF176" s="57">
        <f>176</f>
      </c>
      <c r="BH176" s="57">
        <f>F176*AO176</f>
      </c>
      <c r="BI176" s="57">
        <f>F176*AP176</f>
      </c>
      <c r="BJ176" s="57">
        <f>F176*G176</f>
      </c>
      <c r="BK176" s="60" t="s">
        <v>98</v>
      </c>
      <c r="BL176" s="57" t="n">
        <v>90</v>
      </c>
      <c r="BW176" s="57" t="n">
        <v>12</v>
      </c>
      <c r="BX176" s="16" t="s">
        <v>461</v>
      </c>
    </row>
    <row r="177" ht="24.75">
      <c r="A177" s="10" t="s">
        <v>462</v>
      </c>
      <c r="B177" s="11" t="s">
        <v>463</v>
      </c>
      <c r="C177" s="16" t="s">
        <v>464</v>
      </c>
      <c r="D177" s="11"/>
      <c r="E177" s="11" t="s">
        <v>174</v>
      </c>
      <c r="F177" s="57" t="n">
        <v>1</v>
      </c>
      <c r="G177" s="58" t="n">
        <v>0</v>
      </c>
      <c r="H177" s="57">
        <f>ROUND(F177*AO177,2)</f>
      </c>
      <c r="I177" s="57">
        <f>ROUND(F177*AP177,2)</f>
      </c>
      <c r="J177" s="57">
        <f>ROUND(F177*G177,2)</f>
      </c>
      <c r="K177" s="59" t="s">
        <v>140</v>
      </c>
      <c r="Z177" s="57">
        <f>ROUND(IF(AQ177="5",BJ177,0),2)</f>
      </c>
      <c r="AB177" s="57">
        <f>ROUND(IF(AQ177="1",BH177,0),2)</f>
      </c>
      <c r="AC177" s="57">
        <f>ROUND(IF(AQ177="1",BI177,0),2)</f>
      </c>
      <c r="AD177" s="57">
        <f>ROUND(IF(AQ177="7",BH177,0),2)</f>
      </c>
      <c r="AE177" s="57">
        <f>ROUND(IF(AQ177="7",BI177,0),2)</f>
      </c>
      <c r="AF177" s="57">
        <f>ROUND(IF(AQ177="2",BH177,0),2)</f>
      </c>
      <c r="AG177" s="57">
        <f>ROUND(IF(AQ177="2",BI177,0),2)</f>
      </c>
      <c r="AH177" s="57">
        <f>ROUND(IF(AQ177="0",BJ177,0),2)</f>
      </c>
      <c r="AI177" s="33" t="s">
        <v>57</v>
      </c>
      <c r="AJ177" s="57">
        <f>IF(AN177=0,J177,0)</f>
      </c>
      <c r="AK177" s="57">
        <f>IF(AN177=12,J177,0)</f>
      </c>
      <c r="AL177" s="57">
        <f>IF(AN177=21,J177,0)</f>
      </c>
      <c r="AN177" s="57" t="n">
        <v>12</v>
      </c>
      <c r="AO177" s="57">
        <f>G177*1</f>
      </c>
      <c r="AP177" s="57">
        <f>G177*(1-1)</f>
      </c>
      <c r="AQ177" s="60" t="s">
        <v>58</v>
      </c>
      <c r="AV177" s="57">
        <f>ROUND(AW177+AX177,2)</f>
      </c>
      <c r="AW177" s="57">
        <f>ROUND(F177*AO177,2)</f>
      </c>
      <c r="AX177" s="57">
        <f>ROUND(F177*AP177,2)</f>
      </c>
      <c r="AY177" s="60" t="s">
        <v>456</v>
      </c>
      <c r="AZ177" s="60" t="s">
        <v>457</v>
      </c>
      <c r="BA177" s="33" t="s">
        <v>65</v>
      </c>
      <c r="BC177" s="57">
        <f>AW177+AX177</f>
      </c>
      <c r="BD177" s="57">
        <f>G177/(100-BE177)*100</f>
      </c>
      <c r="BE177" s="57" t="n">
        <v>0</v>
      </c>
      <c r="BF177" s="57">
        <f>177</f>
      </c>
      <c r="BH177" s="57">
        <f>F177*AO177</f>
      </c>
      <c r="BI177" s="57">
        <f>F177*AP177</f>
      </c>
      <c r="BJ177" s="57">
        <f>F177*G177</f>
      </c>
      <c r="BK177" s="60" t="s">
        <v>98</v>
      </c>
      <c r="BL177" s="57" t="n">
        <v>90</v>
      </c>
      <c r="BW177" s="57" t="n">
        <v>12</v>
      </c>
      <c r="BX177" s="16" t="s">
        <v>464</v>
      </c>
    </row>
    <row r="178">
      <c r="A178" s="10" t="s">
        <v>465</v>
      </c>
      <c r="B178" s="11" t="s">
        <v>138</v>
      </c>
      <c r="C178" s="16" t="s">
        <v>466</v>
      </c>
      <c r="D178" s="11"/>
      <c r="E178" s="11" t="s">
        <v>174</v>
      </c>
      <c r="F178" s="57" t="n">
        <v>2</v>
      </c>
      <c r="G178" s="58" t="n">
        <v>0</v>
      </c>
      <c r="H178" s="57">
        <f>ROUND(F178*AO178,2)</f>
      </c>
      <c r="I178" s="57">
        <f>ROUND(F178*AP178,2)</f>
      </c>
      <c r="J178" s="57">
        <f>ROUND(F178*G178,2)</f>
      </c>
      <c r="K178" s="59" t="s">
        <v>140</v>
      </c>
      <c r="Z178" s="57">
        <f>ROUND(IF(AQ178="5",BJ178,0),2)</f>
      </c>
      <c r="AB178" s="57">
        <f>ROUND(IF(AQ178="1",BH178,0),2)</f>
      </c>
      <c r="AC178" s="57">
        <f>ROUND(IF(AQ178="1",BI178,0),2)</f>
      </c>
      <c r="AD178" s="57">
        <f>ROUND(IF(AQ178="7",BH178,0),2)</f>
      </c>
      <c r="AE178" s="57">
        <f>ROUND(IF(AQ178="7",BI178,0),2)</f>
      </c>
      <c r="AF178" s="57">
        <f>ROUND(IF(AQ178="2",BH178,0),2)</f>
      </c>
      <c r="AG178" s="57">
        <f>ROUND(IF(AQ178="2",BI178,0),2)</f>
      </c>
      <c r="AH178" s="57">
        <f>ROUND(IF(AQ178="0",BJ178,0),2)</f>
      </c>
      <c r="AI178" s="33" t="s">
        <v>57</v>
      </c>
      <c r="AJ178" s="57">
        <f>IF(AN178=0,J178,0)</f>
      </c>
      <c r="AK178" s="57">
        <f>IF(AN178=12,J178,0)</f>
      </c>
      <c r="AL178" s="57">
        <f>IF(AN178=21,J178,0)</f>
      </c>
      <c r="AN178" s="57" t="n">
        <v>12</v>
      </c>
      <c r="AO178" s="57">
        <f>G178*1</f>
      </c>
      <c r="AP178" s="57">
        <f>G178*(1-1)</f>
      </c>
      <c r="AQ178" s="60" t="s">
        <v>58</v>
      </c>
      <c r="AV178" s="57">
        <f>ROUND(AW178+AX178,2)</f>
      </c>
      <c r="AW178" s="57">
        <f>ROUND(F178*AO178,2)</f>
      </c>
      <c r="AX178" s="57">
        <f>ROUND(F178*AP178,2)</f>
      </c>
      <c r="AY178" s="60" t="s">
        <v>456</v>
      </c>
      <c r="AZ178" s="60" t="s">
        <v>457</v>
      </c>
      <c r="BA178" s="33" t="s">
        <v>65</v>
      </c>
      <c r="BC178" s="57">
        <f>AW178+AX178</f>
      </c>
      <c r="BD178" s="57">
        <f>G178/(100-BE178)*100</f>
      </c>
      <c r="BE178" s="57" t="n">
        <v>0</v>
      </c>
      <c r="BF178" s="57">
        <f>178</f>
      </c>
      <c r="BH178" s="57">
        <f>F178*AO178</f>
      </c>
      <c r="BI178" s="57">
        <f>F178*AP178</f>
      </c>
      <c r="BJ178" s="57">
        <f>F178*G178</f>
      </c>
      <c r="BK178" s="60" t="s">
        <v>98</v>
      </c>
      <c r="BL178" s="57" t="n">
        <v>90</v>
      </c>
      <c r="BW178" s="57" t="n">
        <v>12</v>
      </c>
      <c r="BX178" s="16" t="s">
        <v>466</v>
      </c>
    </row>
    <row r="179">
      <c r="A179" s="10" t="s">
        <v>467</v>
      </c>
      <c r="B179" s="11" t="s">
        <v>138</v>
      </c>
      <c r="C179" s="16" t="s">
        <v>468</v>
      </c>
      <c r="D179" s="11"/>
      <c r="E179" s="11" t="s">
        <v>174</v>
      </c>
      <c r="F179" s="57" t="n">
        <v>1</v>
      </c>
      <c r="G179" s="58" t="n">
        <v>0</v>
      </c>
      <c r="H179" s="57">
        <f>ROUND(F179*AO179,2)</f>
      </c>
      <c r="I179" s="57">
        <f>ROUND(F179*AP179,2)</f>
      </c>
      <c r="J179" s="57">
        <f>ROUND(F179*G179,2)</f>
      </c>
      <c r="K179" s="59" t="s">
        <v>140</v>
      </c>
      <c r="Z179" s="57">
        <f>ROUND(IF(AQ179="5",BJ179,0),2)</f>
      </c>
      <c r="AB179" s="57">
        <f>ROUND(IF(AQ179="1",BH179,0),2)</f>
      </c>
      <c r="AC179" s="57">
        <f>ROUND(IF(AQ179="1",BI179,0),2)</f>
      </c>
      <c r="AD179" s="57">
        <f>ROUND(IF(AQ179="7",BH179,0),2)</f>
      </c>
      <c r="AE179" s="57">
        <f>ROUND(IF(AQ179="7",BI179,0),2)</f>
      </c>
      <c r="AF179" s="57">
        <f>ROUND(IF(AQ179="2",BH179,0),2)</f>
      </c>
      <c r="AG179" s="57">
        <f>ROUND(IF(AQ179="2",BI179,0),2)</f>
      </c>
      <c r="AH179" s="57">
        <f>ROUND(IF(AQ179="0",BJ179,0),2)</f>
      </c>
      <c r="AI179" s="33" t="s">
        <v>57</v>
      </c>
      <c r="AJ179" s="57">
        <f>IF(AN179=0,J179,0)</f>
      </c>
      <c r="AK179" s="57">
        <f>IF(AN179=12,J179,0)</f>
      </c>
      <c r="AL179" s="57">
        <f>IF(AN179=21,J179,0)</f>
      </c>
      <c r="AN179" s="57" t="n">
        <v>12</v>
      </c>
      <c r="AO179" s="57">
        <f>G179*1</f>
      </c>
      <c r="AP179" s="57">
        <f>G179*(1-1)</f>
      </c>
      <c r="AQ179" s="60" t="s">
        <v>58</v>
      </c>
      <c r="AV179" s="57">
        <f>ROUND(AW179+AX179,2)</f>
      </c>
      <c r="AW179" s="57">
        <f>ROUND(F179*AO179,2)</f>
      </c>
      <c r="AX179" s="57">
        <f>ROUND(F179*AP179,2)</f>
      </c>
      <c r="AY179" s="60" t="s">
        <v>456</v>
      </c>
      <c r="AZ179" s="60" t="s">
        <v>457</v>
      </c>
      <c r="BA179" s="33" t="s">
        <v>65</v>
      </c>
      <c r="BC179" s="57">
        <f>AW179+AX179</f>
      </c>
      <c r="BD179" s="57">
        <f>G179/(100-BE179)*100</f>
      </c>
      <c r="BE179" s="57" t="n">
        <v>0</v>
      </c>
      <c r="BF179" s="57">
        <f>179</f>
      </c>
      <c r="BH179" s="57">
        <f>F179*AO179</f>
      </c>
      <c r="BI179" s="57">
        <f>F179*AP179</f>
      </c>
      <c r="BJ179" s="57">
        <f>F179*G179</f>
      </c>
      <c r="BK179" s="60" t="s">
        <v>98</v>
      </c>
      <c r="BL179" s="57" t="n">
        <v>90</v>
      </c>
      <c r="BW179" s="57" t="n">
        <v>12</v>
      </c>
      <c r="BX179" s="16" t="s">
        <v>468</v>
      </c>
    </row>
    <row r="180">
      <c r="A180" s="10" t="s">
        <v>469</v>
      </c>
      <c r="B180" s="11" t="s">
        <v>138</v>
      </c>
      <c r="C180" s="16" t="s">
        <v>470</v>
      </c>
      <c r="D180" s="11"/>
      <c r="E180" s="11" t="s">
        <v>174</v>
      </c>
      <c r="F180" s="57" t="n">
        <v>3</v>
      </c>
      <c r="G180" s="58" t="n">
        <v>0</v>
      </c>
      <c r="H180" s="57">
        <f>ROUND(F180*AO180,2)</f>
      </c>
      <c r="I180" s="57">
        <f>ROUND(F180*AP180,2)</f>
      </c>
      <c r="J180" s="57">
        <f>ROUND(F180*G180,2)</f>
      </c>
      <c r="K180" s="59" t="s">
        <v>140</v>
      </c>
      <c r="Z180" s="57">
        <f>ROUND(IF(AQ180="5",BJ180,0),2)</f>
      </c>
      <c r="AB180" s="57">
        <f>ROUND(IF(AQ180="1",BH180,0),2)</f>
      </c>
      <c r="AC180" s="57">
        <f>ROUND(IF(AQ180="1",BI180,0),2)</f>
      </c>
      <c r="AD180" s="57">
        <f>ROUND(IF(AQ180="7",BH180,0),2)</f>
      </c>
      <c r="AE180" s="57">
        <f>ROUND(IF(AQ180="7",BI180,0),2)</f>
      </c>
      <c r="AF180" s="57">
        <f>ROUND(IF(AQ180="2",BH180,0),2)</f>
      </c>
      <c r="AG180" s="57">
        <f>ROUND(IF(AQ180="2",BI180,0),2)</f>
      </c>
      <c r="AH180" s="57">
        <f>ROUND(IF(AQ180="0",BJ180,0),2)</f>
      </c>
      <c r="AI180" s="33" t="s">
        <v>57</v>
      </c>
      <c r="AJ180" s="57">
        <f>IF(AN180=0,J180,0)</f>
      </c>
      <c r="AK180" s="57">
        <f>IF(AN180=12,J180,0)</f>
      </c>
      <c r="AL180" s="57">
        <f>IF(AN180=21,J180,0)</f>
      </c>
      <c r="AN180" s="57" t="n">
        <v>12</v>
      </c>
      <c r="AO180" s="57">
        <f>G180*1</f>
      </c>
      <c r="AP180" s="57">
        <f>G180*(1-1)</f>
      </c>
      <c r="AQ180" s="60" t="s">
        <v>58</v>
      </c>
      <c r="AV180" s="57">
        <f>ROUND(AW180+AX180,2)</f>
      </c>
      <c r="AW180" s="57">
        <f>ROUND(F180*AO180,2)</f>
      </c>
      <c r="AX180" s="57">
        <f>ROUND(F180*AP180,2)</f>
      </c>
      <c r="AY180" s="60" t="s">
        <v>456</v>
      </c>
      <c r="AZ180" s="60" t="s">
        <v>457</v>
      </c>
      <c r="BA180" s="33" t="s">
        <v>65</v>
      </c>
      <c r="BC180" s="57">
        <f>AW180+AX180</f>
      </c>
      <c r="BD180" s="57">
        <f>G180/(100-BE180)*100</f>
      </c>
      <c r="BE180" s="57" t="n">
        <v>0</v>
      </c>
      <c r="BF180" s="57">
        <f>180</f>
      </c>
      <c r="BH180" s="57">
        <f>F180*AO180</f>
      </c>
      <c r="BI180" s="57">
        <f>F180*AP180</f>
      </c>
      <c r="BJ180" s="57">
        <f>F180*G180</f>
      </c>
      <c r="BK180" s="60" t="s">
        <v>98</v>
      </c>
      <c r="BL180" s="57" t="n">
        <v>90</v>
      </c>
      <c r="BW180" s="57" t="n">
        <v>12</v>
      </c>
      <c r="BX180" s="16" t="s">
        <v>470</v>
      </c>
    </row>
    <row r="181">
      <c r="A181" s="10" t="s">
        <v>471</v>
      </c>
      <c r="B181" s="11" t="s">
        <v>472</v>
      </c>
      <c r="C181" s="16" t="s">
        <v>473</v>
      </c>
      <c r="D181" s="11"/>
      <c r="E181" s="11" t="s">
        <v>314</v>
      </c>
      <c r="F181" s="57" t="n">
        <v>0.01584</v>
      </c>
      <c r="G181" s="58" t="n">
        <v>0</v>
      </c>
      <c r="H181" s="57">
        <f>ROUND(F181*AO181,2)</f>
      </c>
      <c r="I181" s="57">
        <f>ROUND(F181*AP181,2)</f>
      </c>
      <c r="J181" s="57">
        <f>ROUND(F181*G181,2)</f>
      </c>
      <c r="K181" s="59" t="s">
        <v>62</v>
      </c>
      <c r="Z181" s="57">
        <f>ROUND(IF(AQ181="5",BJ181,0),2)</f>
      </c>
      <c r="AB181" s="57">
        <f>ROUND(IF(AQ181="1",BH181,0),2)</f>
      </c>
      <c r="AC181" s="57">
        <f>ROUND(IF(AQ181="1",BI181,0),2)</f>
      </c>
      <c r="AD181" s="57">
        <f>ROUND(IF(AQ181="7",BH181,0),2)</f>
      </c>
      <c r="AE181" s="57">
        <f>ROUND(IF(AQ181="7",BI181,0),2)</f>
      </c>
      <c r="AF181" s="57">
        <f>ROUND(IF(AQ181="2",BH181,0),2)</f>
      </c>
      <c r="AG181" s="57">
        <f>ROUND(IF(AQ181="2",BI181,0),2)</f>
      </c>
      <c r="AH181" s="57">
        <f>ROUND(IF(AQ181="0",BJ181,0),2)</f>
      </c>
      <c r="AI181" s="33" t="s">
        <v>57</v>
      </c>
      <c r="AJ181" s="57">
        <f>IF(AN181=0,J181,0)</f>
      </c>
      <c r="AK181" s="57">
        <f>IF(AN181=12,J181,0)</f>
      </c>
      <c r="AL181" s="57">
        <f>IF(AN181=21,J181,0)</f>
      </c>
      <c r="AN181" s="57" t="n">
        <v>12</v>
      </c>
      <c r="AO181" s="57">
        <f>G181*1</f>
      </c>
      <c r="AP181" s="57">
        <f>G181*(1-1)</f>
      </c>
      <c r="AQ181" s="60" t="s">
        <v>58</v>
      </c>
      <c r="AV181" s="57">
        <f>ROUND(AW181+AX181,2)</f>
      </c>
      <c r="AW181" s="57">
        <f>ROUND(F181*AO181,2)</f>
      </c>
      <c r="AX181" s="57">
        <f>ROUND(F181*AP181,2)</f>
      </c>
      <c r="AY181" s="60" t="s">
        <v>456</v>
      </c>
      <c r="AZ181" s="60" t="s">
        <v>457</v>
      </c>
      <c r="BA181" s="33" t="s">
        <v>65</v>
      </c>
      <c r="BC181" s="57">
        <f>AW181+AX181</f>
      </c>
      <c r="BD181" s="57">
        <f>G181/(100-BE181)*100</f>
      </c>
      <c r="BE181" s="57" t="n">
        <v>0</v>
      </c>
      <c r="BF181" s="57">
        <f>181</f>
      </c>
      <c r="BH181" s="57">
        <f>F181*AO181</f>
      </c>
      <c r="BI181" s="57">
        <f>F181*AP181</f>
      </c>
      <c r="BJ181" s="57">
        <f>F181*G181</f>
      </c>
      <c r="BK181" s="60" t="s">
        <v>98</v>
      </c>
      <c r="BL181" s="57" t="n">
        <v>90</v>
      </c>
      <c r="BW181" s="57" t="n">
        <v>12</v>
      </c>
      <c r="BX181" s="16" t="s">
        <v>473</v>
      </c>
    </row>
    <row r="182">
      <c r="A182" s="10" t="s">
        <v>474</v>
      </c>
      <c r="B182" s="11" t="s">
        <v>475</v>
      </c>
      <c r="C182" s="16" t="s">
        <v>476</v>
      </c>
      <c r="D182" s="11"/>
      <c r="E182" s="11" t="s">
        <v>314</v>
      </c>
      <c r="F182" s="57" t="n">
        <v>0.00212</v>
      </c>
      <c r="G182" s="58" t="n">
        <v>0</v>
      </c>
      <c r="H182" s="57">
        <f>ROUND(F182*AO182,2)</f>
      </c>
      <c r="I182" s="57">
        <f>ROUND(F182*AP182,2)</f>
      </c>
      <c r="J182" s="57">
        <f>ROUND(F182*G182,2)</f>
      </c>
      <c r="K182" s="59" t="s">
        <v>62</v>
      </c>
      <c r="Z182" s="57">
        <f>ROUND(IF(AQ182="5",BJ182,0),2)</f>
      </c>
      <c r="AB182" s="57">
        <f>ROUND(IF(AQ182="1",BH182,0),2)</f>
      </c>
      <c r="AC182" s="57">
        <f>ROUND(IF(AQ182="1",BI182,0),2)</f>
      </c>
      <c r="AD182" s="57">
        <f>ROUND(IF(AQ182="7",BH182,0),2)</f>
      </c>
      <c r="AE182" s="57">
        <f>ROUND(IF(AQ182="7",BI182,0),2)</f>
      </c>
      <c r="AF182" s="57">
        <f>ROUND(IF(AQ182="2",BH182,0),2)</f>
      </c>
      <c r="AG182" s="57">
        <f>ROUND(IF(AQ182="2",BI182,0),2)</f>
      </c>
      <c r="AH182" s="57">
        <f>ROUND(IF(AQ182="0",BJ182,0),2)</f>
      </c>
      <c r="AI182" s="33" t="s">
        <v>57</v>
      </c>
      <c r="AJ182" s="57">
        <f>IF(AN182=0,J182,0)</f>
      </c>
      <c r="AK182" s="57">
        <f>IF(AN182=12,J182,0)</f>
      </c>
      <c r="AL182" s="57">
        <f>IF(AN182=21,J182,0)</f>
      </c>
      <c r="AN182" s="57" t="n">
        <v>12</v>
      </c>
      <c r="AO182" s="57">
        <f>G182*1</f>
      </c>
      <c r="AP182" s="57">
        <f>G182*(1-1)</f>
      </c>
      <c r="AQ182" s="60" t="s">
        <v>58</v>
      </c>
      <c r="AV182" s="57">
        <f>ROUND(AW182+AX182,2)</f>
      </c>
      <c r="AW182" s="57">
        <f>ROUND(F182*AO182,2)</f>
      </c>
      <c r="AX182" s="57">
        <f>ROUND(F182*AP182,2)</f>
      </c>
      <c r="AY182" s="60" t="s">
        <v>456</v>
      </c>
      <c r="AZ182" s="60" t="s">
        <v>457</v>
      </c>
      <c r="BA182" s="33" t="s">
        <v>65</v>
      </c>
      <c r="BC182" s="57">
        <f>AW182+AX182</f>
      </c>
      <c r="BD182" s="57">
        <f>G182/(100-BE182)*100</f>
      </c>
      <c r="BE182" s="57" t="n">
        <v>0</v>
      </c>
      <c r="BF182" s="57">
        <f>182</f>
      </c>
      <c r="BH182" s="57">
        <f>F182*AO182</f>
      </c>
      <c r="BI182" s="57">
        <f>F182*AP182</f>
      </c>
      <c r="BJ182" s="57">
        <f>F182*G182</f>
      </c>
      <c r="BK182" s="60" t="s">
        <v>98</v>
      </c>
      <c r="BL182" s="57" t="n">
        <v>90</v>
      </c>
      <c r="BW182" s="57" t="n">
        <v>12</v>
      </c>
      <c r="BX182" s="16" t="s">
        <v>476</v>
      </c>
    </row>
    <row r="183">
      <c r="A183" s="51" t="s">
        <v>53</v>
      </c>
      <c r="B183" s="52" t="s">
        <v>372</v>
      </c>
      <c r="C183" s="53" t="s">
        <v>477</v>
      </c>
      <c r="D183" s="52"/>
      <c r="E183" s="54" t="s">
        <v>4</v>
      </c>
      <c r="F183" s="54" t="s">
        <v>4</v>
      </c>
      <c r="G183" s="55" t="s">
        <v>4</v>
      </c>
      <c r="H183" s="2">
        <f>ROUND(SUM(H184:H202),2)</f>
      </c>
      <c r="I183" s="2">
        <f>ROUND(SUM(I184:I202),2)</f>
      </c>
      <c r="J183" s="2">
        <f>ROUND(SUM(J184:J202),2)</f>
      </c>
      <c r="K183" s="56" t="s">
        <v>53</v>
      </c>
      <c r="AI183" s="33" t="s">
        <v>57</v>
      </c>
      <c r="AS183" s="2">
        <f>SUM(AJ184:AJ202)</f>
      </c>
      <c r="AT183" s="2">
        <f>SUM(AK184:AK202)</f>
      </c>
      <c r="AU183" s="2">
        <f>SUM(AL184:AL202)</f>
      </c>
    </row>
    <row r="184">
      <c r="A184" s="10" t="s">
        <v>478</v>
      </c>
      <c r="B184" s="11" t="s">
        <v>479</v>
      </c>
      <c r="C184" s="16" t="s">
        <v>480</v>
      </c>
      <c r="D184" s="11"/>
      <c r="E184" s="11" t="s">
        <v>61</v>
      </c>
      <c r="F184" s="57" t="n">
        <v>3581.64</v>
      </c>
      <c r="G184" s="58" t="n">
        <v>0</v>
      </c>
      <c r="H184" s="57">
        <f>ROUND(F184*AO184,2)</f>
      </c>
      <c r="I184" s="57">
        <f>ROUND(F184*AP184,2)</f>
      </c>
      <c r="J184" s="57">
        <f>ROUND(F184*G184,2)</f>
      </c>
      <c r="K184" s="59" t="s">
        <v>62</v>
      </c>
      <c r="Z184" s="57">
        <f>ROUND(IF(AQ184="5",BJ184,0),2)</f>
      </c>
      <c r="AB184" s="57">
        <f>ROUND(IF(AQ184="1",BH184,0),2)</f>
      </c>
      <c r="AC184" s="57">
        <f>ROUND(IF(AQ184="1",BI184,0),2)</f>
      </c>
      <c r="AD184" s="57">
        <f>ROUND(IF(AQ184="7",BH184,0),2)</f>
      </c>
      <c r="AE184" s="57">
        <f>ROUND(IF(AQ184="7",BI184,0),2)</f>
      </c>
      <c r="AF184" s="57">
        <f>ROUND(IF(AQ184="2",BH184,0),2)</f>
      </c>
      <c r="AG184" s="57">
        <f>ROUND(IF(AQ184="2",BI184,0),2)</f>
      </c>
      <c r="AH184" s="57">
        <f>ROUND(IF(AQ184="0",BJ184,0),2)</f>
      </c>
      <c r="AI184" s="33" t="s">
        <v>57</v>
      </c>
      <c r="AJ184" s="57">
        <f>IF(AN184=0,J184,0)</f>
      </c>
      <c r="AK184" s="57">
        <f>IF(AN184=12,J184,0)</f>
      </c>
      <c r="AL184" s="57">
        <f>IF(AN184=21,J184,0)</f>
      </c>
      <c r="AN184" s="57" t="n">
        <v>12</v>
      </c>
      <c r="AO184" s="57">
        <f>G184*0.000111606</f>
      </c>
      <c r="AP184" s="57">
        <f>G184*(1-0.000111606)</f>
      </c>
      <c r="AQ184" s="60" t="s">
        <v>58</v>
      </c>
      <c r="AV184" s="57">
        <f>ROUND(AW184+AX184,2)</f>
      </c>
      <c r="AW184" s="57">
        <f>ROUND(F184*AO184,2)</f>
      </c>
      <c r="AX184" s="57">
        <f>ROUND(F184*AP184,2)</f>
      </c>
      <c r="AY184" s="60" t="s">
        <v>481</v>
      </c>
      <c r="AZ184" s="60" t="s">
        <v>482</v>
      </c>
      <c r="BA184" s="33" t="s">
        <v>65</v>
      </c>
      <c r="BB184" s="61" t="n">
        <v>100096</v>
      </c>
      <c r="BC184" s="57">
        <f>AW184+AX184</f>
      </c>
      <c r="BD184" s="57">
        <f>G184/(100-BE184)*100</f>
      </c>
      <c r="BE184" s="57" t="n">
        <v>0</v>
      </c>
      <c r="BF184" s="57">
        <f>184</f>
      </c>
      <c r="BH184" s="57">
        <f>F184*AO184</f>
      </c>
      <c r="BI184" s="57">
        <f>F184*AP184</f>
      </c>
      <c r="BJ184" s="57">
        <f>F184*G184</f>
      </c>
      <c r="BK184" s="60" t="s">
        <v>66</v>
      </c>
      <c r="BL184" s="57" t="n">
        <v>94</v>
      </c>
      <c r="BW184" s="57" t="n">
        <v>12</v>
      </c>
      <c r="BX184" s="16" t="s">
        <v>480</v>
      </c>
    </row>
    <row r="185">
      <c r="A185" s="10" t="s">
        <v>483</v>
      </c>
      <c r="B185" s="11" t="s">
        <v>484</v>
      </c>
      <c r="C185" s="16" t="s">
        <v>485</v>
      </c>
      <c r="D185" s="11"/>
      <c r="E185" s="11" t="s">
        <v>61</v>
      </c>
      <c r="F185" s="57" t="n">
        <v>10744.92</v>
      </c>
      <c r="G185" s="58" t="n">
        <v>0</v>
      </c>
      <c r="H185" s="57">
        <f>ROUND(F185*AO185,2)</f>
      </c>
      <c r="I185" s="57">
        <f>ROUND(F185*AP185,2)</f>
      </c>
      <c r="J185" s="57">
        <f>ROUND(F185*G185,2)</f>
      </c>
      <c r="K185" s="59" t="s">
        <v>62</v>
      </c>
      <c r="Z185" s="57">
        <f>ROUND(IF(AQ185="5",BJ185,0),2)</f>
      </c>
      <c r="AB185" s="57">
        <f>ROUND(IF(AQ185="1",BH185,0),2)</f>
      </c>
      <c r="AC185" s="57">
        <f>ROUND(IF(AQ185="1",BI185,0),2)</f>
      </c>
      <c r="AD185" s="57">
        <f>ROUND(IF(AQ185="7",BH185,0),2)</f>
      </c>
      <c r="AE185" s="57">
        <f>ROUND(IF(AQ185="7",BI185,0),2)</f>
      </c>
      <c r="AF185" s="57">
        <f>ROUND(IF(AQ185="2",BH185,0),2)</f>
      </c>
      <c r="AG185" s="57">
        <f>ROUND(IF(AQ185="2",BI185,0),2)</f>
      </c>
      <c r="AH185" s="57">
        <f>ROUND(IF(AQ185="0",BJ185,0),2)</f>
      </c>
      <c r="AI185" s="33" t="s">
        <v>57</v>
      </c>
      <c r="AJ185" s="57">
        <f>IF(AN185=0,J185,0)</f>
      </c>
      <c r="AK185" s="57">
        <f>IF(AN185=12,J185,0)</f>
      </c>
      <c r="AL185" s="57">
        <f>IF(AN185=21,J185,0)</f>
      </c>
      <c r="AN185" s="57" t="n">
        <v>12</v>
      </c>
      <c r="AO185" s="57">
        <f>G185*0.916683453</f>
      </c>
      <c r="AP185" s="57">
        <f>G185*(1-0.916683453)</f>
      </c>
      <c r="AQ185" s="60" t="s">
        <v>58</v>
      </c>
      <c r="AV185" s="57">
        <f>ROUND(AW185+AX185,2)</f>
      </c>
      <c r="AW185" s="57">
        <f>ROUND(F185*AO185,2)</f>
      </c>
      <c r="AX185" s="57">
        <f>ROUND(F185*AP185,2)</f>
      </c>
      <c r="AY185" s="60" t="s">
        <v>481</v>
      </c>
      <c r="AZ185" s="60" t="s">
        <v>482</v>
      </c>
      <c r="BA185" s="33" t="s">
        <v>65</v>
      </c>
      <c r="BB185" s="61" t="n">
        <v>100096</v>
      </c>
      <c r="BC185" s="57">
        <f>AW185+AX185</f>
      </c>
      <c r="BD185" s="57">
        <f>G185/(100-BE185)*100</f>
      </c>
      <c r="BE185" s="57" t="n">
        <v>0</v>
      </c>
      <c r="BF185" s="57">
        <f>185</f>
      </c>
      <c r="BH185" s="57">
        <f>F185*AO185</f>
      </c>
      <c r="BI185" s="57">
        <f>F185*AP185</f>
      </c>
      <c r="BJ185" s="57">
        <f>F185*G185</f>
      </c>
      <c r="BK185" s="60" t="s">
        <v>66</v>
      </c>
      <c r="BL185" s="57" t="n">
        <v>94</v>
      </c>
      <c r="BW185" s="57" t="n">
        <v>12</v>
      </c>
      <c r="BX185" s="16" t="s">
        <v>485</v>
      </c>
    </row>
    <row r="186">
      <c r="A186" s="10" t="s">
        <v>486</v>
      </c>
      <c r="B186" s="11" t="s">
        <v>487</v>
      </c>
      <c r="C186" s="16" t="s">
        <v>488</v>
      </c>
      <c r="D186" s="11"/>
      <c r="E186" s="11" t="s">
        <v>61</v>
      </c>
      <c r="F186" s="57" t="n">
        <v>3581.64</v>
      </c>
      <c r="G186" s="58" t="n">
        <v>0</v>
      </c>
      <c r="H186" s="57">
        <f>ROUND(F186*AO186,2)</f>
      </c>
      <c r="I186" s="57">
        <f>ROUND(F186*AP186,2)</f>
      </c>
      <c r="J186" s="57">
        <f>ROUND(F186*G186,2)</f>
      </c>
      <c r="K186" s="59" t="s">
        <v>62</v>
      </c>
      <c r="Z186" s="57">
        <f>ROUND(IF(AQ186="5",BJ186,0),2)</f>
      </c>
      <c r="AB186" s="57">
        <f>ROUND(IF(AQ186="1",BH186,0),2)</f>
      </c>
      <c r="AC186" s="57">
        <f>ROUND(IF(AQ186="1",BI186,0),2)</f>
      </c>
      <c r="AD186" s="57">
        <f>ROUND(IF(AQ186="7",BH186,0),2)</f>
      </c>
      <c r="AE186" s="57">
        <f>ROUND(IF(AQ186="7",BI186,0),2)</f>
      </c>
      <c r="AF186" s="57">
        <f>ROUND(IF(AQ186="2",BH186,0),2)</f>
      </c>
      <c r="AG186" s="57">
        <f>ROUND(IF(AQ186="2",BI186,0),2)</f>
      </c>
      <c r="AH186" s="57">
        <f>ROUND(IF(AQ186="0",BJ186,0),2)</f>
      </c>
      <c r="AI186" s="33" t="s">
        <v>57</v>
      </c>
      <c r="AJ186" s="57">
        <f>IF(AN186=0,J186,0)</f>
      </c>
      <c r="AK186" s="57">
        <f>IF(AN186=12,J186,0)</f>
      </c>
      <c r="AL186" s="57">
        <f>IF(AN186=21,J186,0)</f>
      </c>
      <c r="AN186" s="57" t="n">
        <v>12</v>
      </c>
      <c r="AO186" s="57">
        <f>G186*0</f>
      </c>
      <c r="AP186" s="57">
        <f>G186*(1-0)</f>
      </c>
      <c r="AQ186" s="60" t="s">
        <v>58</v>
      </c>
      <c r="AV186" s="57">
        <f>ROUND(AW186+AX186,2)</f>
      </c>
      <c r="AW186" s="57">
        <f>ROUND(F186*AO186,2)</f>
      </c>
      <c r="AX186" s="57">
        <f>ROUND(F186*AP186,2)</f>
      </c>
      <c r="AY186" s="60" t="s">
        <v>481</v>
      </c>
      <c r="AZ186" s="60" t="s">
        <v>482</v>
      </c>
      <c r="BA186" s="33" t="s">
        <v>65</v>
      </c>
      <c r="BB186" s="61" t="n">
        <v>100096</v>
      </c>
      <c r="BC186" s="57">
        <f>AW186+AX186</f>
      </c>
      <c r="BD186" s="57">
        <f>G186/(100-BE186)*100</f>
      </c>
      <c r="BE186" s="57" t="n">
        <v>0</v>
      </c>
      <c r="BF186" s="57">
        <f>186</f>
      </c>
      <c r="BH186" s="57">
        <f>F186*AO186</f>
      </c>
      <c r="BI186" s="57">
        <f>F186*AP186</f>
      </c>
      <c r="BJ186" s="57">
        <f>F186*G186</f>
      </c>
      <c r="BK186" s="60" t="s">
        <v>66</v>
      </c>
      <c r="BL186" s="57" t="n">
        <v>94</v>
      </c>
      <c r="BW186" s="57" t="n">
        <v>12</v>
      </c>
      <c r="BX186" s="16" t="s">
        <v>488</v>
      </c>
    </row>
    <row r="187">
      <c r="A187" s="10" t="s">
        <v>489</v>
      </c>
      <c r="B187" s="11" t="s">
        <v>490</v>
      </c>
      <c r="C187" s="16" t="s">
        <v>491</v>
      </c>
      <c r="D187" s="11"/>
      <c r="E187" s="11" t="s">
        <v>61</v>
      </c>
      <c r="F187" s="57" t="n">
        <v>6</v>
      </c>
      <c r="G187" s="58" t="n">
        <v>0</v>
      </c>
      <c r="H187" s="57">
        <f>ROUND(F187*AO187,2)</f>
      </c>
      <c r="I187" s="57">
        <f>ROUND(F187*AP187,2)</f>
      </c>
      <c r="J187" s="57">
        <f>ROUND(F187*G187,2)</f>
      </c>
      <c r="K187" s="59" t="s">
        <v>62</v>
      </c>
      <c r="Z187" s="57">
        <f>ROUND(IF(AQ187="5",BJ187,0),2)</f>
      </c>
      <c r="AB187" s="57">
        <f>ROUND(IF(AQ187="1",BH187,0),2)</f>
      </c>
      <c r="AC187" s="57">
        <f>ROUND(IF(AQ187="1",BI187,0),2)</f>
      </c>
      <c r="AD187" s="57">
        <f>ROUND(IF(AQ187="7",BH187,0),2)</f>
      </c>
      <c r="AE187" s="57">
        <f>ROUND(IF(AQ187="7",BI187,0),2)</f>
      </c>
      <c r="AF187" s="57">
        <f>ROUND(IF(AQ187="2",BH187,0),2)</f>
      </c>
      <c r="AG187" s="57">
        <f>ROUND(IF(AQ187="2",BI187,0),2)</f>
      </c>
      <c r="AH187" s="57">
        <f>ROUND(IF(AQ187="0",BJ187,0),2)</f>
      </c>
      <c r="AI187" s="33" t="s">
        <v>57</v>
      </c>
      <c r="AJ187" s="57">
        <f>IF(AN187=0,J187,0)</f>
      </c>
      <c r="AK187" s="57">
        <f>IF(AN187=12,J187,0)</f>
      </c>
      <c r="AL187" s="57">
        <f>IF(AN187=21,J187,0)</f>
      </c>
      <c r="AN187" s="57" t="n">
        <v>12</v>
      </c>
      <c r="AO187" s="57">
        <f>G187*0.346813381</f>
      </c>
      <c r="AP187" s="57">
        <f>G187*(1-0.346813381)</f>
      </c>
      <c r="AQ187" s="60" t="s">
        <v>58</v>
      </c>
      <c r="AV187" s="57">
        <f>ROUND(AW187+AX187,2)</f>
      </c>
      <c r="AW187" s="57">
        <f>ROUND(F187*AO187,2)</f>
      </c>
      <c r="AX187" s="57">
        <f>ROUND(F187*AP187,2)</f>
      </c>
      <c r="AY187" s="60" t="s">
        <v>481</v>
      </c>
      <c r="AZ187" s="60" t="s">
        <v>482</v>
      </c>
      <c r="BA187" s="33" t="s">
        <v>65</v>
      </c>
      <c r="BB187" s="61" t="n">
        <v>100096</v>
      </c>
      <c r="BC187" s="57">
        <f>AW187+AX187</f>
      </c>
      <c r="BD187" s="57">
        <f>G187/(100-BE187)*100</f>
      </c>
      <c r="BE187" s="57" t="n">
        <v>0</v>
      </c>
      <c r="BF187" s="57">
        <f>187</f>
      </c>
      <c r="BH187" s="57">
        <f>F187*AO187</f>
      </c>
      <c r="BI187" s="57">
        <f>F187*AP187</f>
      </c>
      <c r="BJ187" s="57">
        <f>F187*G187</f>
      </c>
      <c r="BK187" s="60" t="s">
        <v>66</v>
      </c>
      <c r="BL187" s="57" t="n">
        <v>94</v>
      </c>
      <c r="BW187" s="57" t="n">
        <v>12</v>
      </c>
      <c r="BX187" s="16" t="s">
        <v>491</v>
      </c>
    </row>
    <row r="188">
      <c r="A188" s="10" t="s">
        <v>492</v>
      </c>
      <c r="B188" s="11" t="s">
        <v>493</v>
      </c>
      <c r="C188" s="16" t="s">
        <v>494</v>
      </c>
      <c r="D188" s="11"/>
      <c r="E188" s="11" t="s">
        <v>61</v>
      </c>
      <c r="F188" s="57" t="n">
        <v>3581.64</v>
      </c>
      <c r="G188" s="58" t="n">
        <v>0</v>
      </c>
      <c r="H188" s="57">
        <f>ROUND(F188*AO188,2)</f>
      </c>
      <c r="I188" s="57">
        <f>ROUND(F188*AP188,2)</f>
      </c>
      <c r="J188" s="57">
        <f>ROUND(F188*G188,2)</f>
      </c>
      <c r="K188" s="59" t="s">
        <v>62</v>
      </c>
      <c r="Z188" s="57">
        <f>ROUND(IF(AQ188="5",BJ188,0),2)</f>
      </c>
      <c r="AB188" s="57">
        <f>ROUND(IF(AQ188="1",BH188,0),2)</f>
      </c>
      <c r="AC188" s="57">
        <f>ROUND(IF(AQ188="1",BI188,0),2)</f>
      </c>
      <c r="AD188" s="57">
        <f>ROUND(IF(AQ188="7",BH188,0),2)</f>
      </c>
      <c r="AE188" s="57">
        <f>ROUND(IF(AQ188="7",BI188,0),2)</f>
      </c>
      <c r="AF188" s="57">
        <f>ROUND(IF(AQ188="2",BH188,0),2)</f>
      </c>
      <c r="AG188" s="57">
        <f>ROUND(IF(AQ188="2",BI188,0),2)</f>
      </c>
      <c r="AH188" s="57">
        <f>ROUND(IF(AQ188="0",BJ188,0),2)</f>
      </c>
      <c r="AI188" s="33" t="s">
        <v>57</v>
      </c>
      <c r="AJ188" s="57">
        <f>IF(AN188=0,J188,0)</f>
      </c>
      <c r="AK188" s="57">
        <f>IF(AN188=12,J188,0)</f>
      </c>
      <c r="AL188" s="57">
        <f>IF(AN188=21,J188,0)</f>
      </c>
      <c r="AN188" s="57" t="n">
        <v>12</v>
      </c>
      <c r="AO188" s="57">
        <f>G188*0</f>
      </c>
      <c r="AP188" s="57">
        <f>G188*(1-0)</f>
      </c>
      <c r="AQ188" s="60" t="s">
        <v>58</v>
      </c>
      <c r="AV188" s="57">
        <f>ROUND(AW188+AX188,2)</f>
      </c>
      <c r="AW188" s="57">
        <f>ROUND(F188*AO188,2)</f>
      </c>
      <c r="AX188" s="57">
        <f>ROUND(F188*AP188,2)</f>
      </c>
      <c r="AY188" s="60" t="s">
        <v>481</v>
      </c>
      <c r="AZ188" s="60" t="s">
        <v>482</v>
      </c>
      <c r="BA188" s="33" t="s">
        <v>65</v>
      </c>
      <c r="BB188" s="61" t="n">
        <v>100096</v>
      </c>
      <c r="BC188" s="57">
        <f>AW188+AX188</f>
      </c>
      <c r="BD188" s="57">
        <f>G188/(100-BE188)*100</f>
      </c>
      <c r="BE188" s="57" t="n">
        <v>0</v>
      </c>
      <c r="BF188" s="57">
        <f>188</f>
      </c>
      <c r="BH188" s="57">
        <f>F188*AO188</f>
      </c>
      <c r="BI188" s="57">
        <f>F188*AP188</f>
      </c>
      <c r="BJ188" s="57">
        <f>F188*G188</f>
      </c>
      <c r="BK188" s="60" t="s">
        <v>66</v>
      </c>
      <c r="BL188" s="57" t="n">
        <v>94</v>
      </c>
      <c r="BW188" s="57" t="n">
        <v>12</v>
      </c>
      <c r="BX188" s="16" t="s">
        <v>494</v>
      </c>
    </row>
    <row r="189">
      <c r="A189" s="10" t="s">
        <v>495</v>
      </c>
      <c r="B189" s="11" t="s">
        <v>496</v>
      </c>
      <c r="C189" s="16" t="s">
        <v>497</v>
      </c>
      <c r="D189" s="11"/>
      <c r="E189" s="11" t="s">
        <v>61</v>
      </c>
      <c r="F189" s="57" t="n">
        <v>10744.92</v>
      </c>
      <c r="G189" s="58" t="n">
        <v>0</v>
      </c>
      <c r="H189" s="57">
        <f>ROUND(F189*AO189,2)</f>
      </c>
      <c r="I189" s="57">
        <f>ROUND(F189*AP189,2)</f>
      </c>
      <c r="J189" s="57">
        <f>ROUND(F189*G189,2)</f>
      </c>
      <c r="K189" s="59" t="s">
        <v>62</v>
      </c>
      <c r="Z189" s="57">
        <f>ROUND(IF(AQ189="5",BJ189,0),2)</f>
      </c>
      <c r="AB189" s="57">
        <f>ROUND(IF(AQ189="1",BH189,0),2)</f>
      </c>
      <c r="AC189" s="57">
        <f>ROUND(IF(AQ189="1",BI189,0),2)</f>
      </c>
      <c r="AD189" s="57">
        <f>ROUND(IF(AQ189="7",BH189,0),2)</f>
      </c>
      <c r="AE189" s="57">
        <f>ROUND(IF(AQ189="7",BI189,0),2)</f>
      </c>
      <c r="AF189" s="57">
        <f>ROUND(IF(AQ189="2",BH189,0),2)</f>
      </c>
      <c r="AG189" s="57">
        <f>ROUND(IF(AQ189="2",BI189,0),2)</f>
      </c>
      <c r="AH189" s="57">
        <f>ROUND(IF(AQ189="0",BJ189,0),2)</f>
      </c>
      <c r="AI189" s="33" t="s">
        <v>57</v>
      </c>
      <c r="AJ189" s="57">
        <f>IF(AN189=0,J189,0)</f>
      </c>
      <c r="AK189" s="57">
        <f>IF(AN189=12,J189,0)</f>
      </c>
      <c r="AL189" s="57">
        <f>IF(AN189=21,J189,0)</f>
      </c>
      <c r="AN189" s="57" t="n">
        <v>12</v>
      </c>
      <c r="AO189" s="57">
        <f>G189*1</f>
      </c>
      <c r="AP189" s="57">
        <f>G189*(1-1)</f>
      </c>
      <c r="AQ189" s="60" t="s">
        <v>58</v>
      </c>
      <c r="AV189" s="57">
        <f>ROUND(AW189+AX189,2)</f>
      </c>
      <c r="AW189" s="57">
        <f>ROUND(F189*AO189,2)</f>
      </c>
      <c r="AX189" s="57">
        <f>ROUND(F189*AP189,2)</f>
      </c>
      <c r="AY189" s="60" t="s">
        <v>481</v>
      </c>
      <c r="AZ189" s="60" t="s">
        <v>482</v>
      </c>
      <c r="BA189" s="33" t="s">
        <v>65</v>
      </c>
      <c r="BB189" s="61" t="n">
        <v>100096</v>
      </c>
      <c r="BC189" s="57">
        <f>AW189+AX189</f>
      </c>
      <c r="BD189" s="57">
        <f>G189/(100-BE189)*100</f>
      </c>
      <c r="BE189" s="57" t="n">
        <v>0</v>
      </c>
      <c r="BF189" s="57">
        <f>189</f>
      </c>
      <c r="BH189" s="57">
        <f>F189*AO189</f>
      </c>
      <c r="BI189" s="57">
        <f>F189*AP189</f>
      </c>
      <c r="BJ189" s="57">
        <f>F189*G189</f>
      </c>
      <c r="BK189" s="60" t="s">
        <v>66</v>
      </c>
      <c r="BL189" s="57" t="n">
        <v>94</v>
      </c>
      <c r="BW189" s="57" t="n">
        <v>12</v>
      </c>
      <c r="BX189" s="16" t="s">
        <v>497</v>
      </c>
    </row>
    <row r="190">
      <c r="A190" s="10" t="s">
        <v>498</v>
      </c>
      <c r="B190" s="11" t="s">
        <v>499</v>
      </c>
      <c r="C190" s="16" t="s">
        <v>500</v>
      </c>
      <c r="D190" s="11"/>
      <c r="E190" s="11" t="s">
        <v>61</v>
      </c>
      <c r="F190" s="57" t="n">
        <v>3581.64</v>
      </c>
      <c r="G190" s="58" t="n">
        <v>0</v>
      </c>
      <c r="H190" s="57">
        <f>ROUND(F190*AO190,2)</f>
      </c>
      <c r="I190" s="57">
        <f>ROUND(F190*AP190,2)</f>
      </c>
      <c r="J190" s="57">
        <f>ROUND(F190*G190,2)</f>
      </c>
      <c r="K190" s="59" t="s">
        <v>62</v>
      </c>
      <c r="Z190" s="57">
        <f>ROUND(IF(AQ190="5",BJ190,0),2)</f>
      </c>
      <c r="AB190" s="57">
        <f>ROUND(IF(AQ190="1",BH190,0),2)</f>
      </c>
      <c r="AC190" s="57">
        <f>ROUND(IF(AQ190="1",BI190,0),2)</f>
      </c>
      <c r="AD190" s="57">
        <f>ROUND(IF(AQ190="7",BH190,0),2)</f>
      </c>
      <c r="AE190" s="57">
        <f>ROUND(IF(AQ190="7",BI190,0),2)</f>
      </c>
      <c r="AF190" s="57">
        <f>ROUND(IF(AQ190="2",BH190,0),2)</f>
      </c>
      <c r="AG190" s="57">
        <f>ROUND(IF(AQ190="2",BI190,0),2)</f>
      </c>
      <c r="AH190" s="57">
        <f>ROUND(IF(AQ190="0",BJ190,0),2)</f>
      </c>
      <c r="AI190" s="33" t="s">
        <v>57</v>
      </c>
      <c r="AJ190" s="57">
        <f>IF(AN190=0,J190,0)</f>
      </c>
      <c r="AK190" s="57">
        <f>IF(AN190=12,J190,0)</f>
      </c>
      <c r="AL190" s="57">
        <f>IF(AN190=21,J190,0)</f>
      </c>
      <c r="AN190" s="57" t="n">
        <v>12</v>
      </c>
      <c r="AO190" s="57">
        <f>G190*0</f>
      </c>
      <c r="AP190" s="57">
        <f>G190*(1-0)</f>
      </c>
      <c r="AQ190" s="60" t="s">
        <v>58</v>
      </c>
      <c r="AV190" s="57">
        <f>ROUND(AW190+AX190,2)</f>
      </c>
      <c r="AW190" s="57">
        <f>ROUND(F190*AO190,2)</f>
      </c>
      <c r="AX190" s="57">
        <f>ROUND(F190*AP190,2)</f>
      </c>
      <c r="AY190" s="60" t="s">
        <v>481</v>
      </c>
      <c r="AZ190" s="60" t="s">
        <v>482</v>
      </c>
      <c r="BA190" s="33" t="s">
        <v>65</v>
      </c>
      <c r="BB190" s="61" t="n">
        <v>100096</v>
      </c>
      <c r="BC190" s="57">
        <f>AW190+AX190</f>
      </c>
      <c r="BD190" s="57">
        <f>G190/(100-BE190)*100</f>
      </c>
      <c r="BE190" s="57" t="n">
        <v>0</v>
      </c>
      <c r="BF190" s="57">
        <f>190</f>
      </c>
      <c r="BH190" s="57">
        <f>F190*AO190</f>
      </c>
      <c r="BI190" s="57">
        <f>F190*AP190</f>
      </c>
      <c r="BJ190" s="57">
        <f>F190*G190</f>
      </c>
      <c r="BK190" s="60" t="s">
        <v>66</v>
      </c>
      <c r="BL190" s="57" t="n">
        <v>94</v>
      </c>
      <c r="BW190" s="57" t="n">
        <v>12</v>
      </c>
      <c r="BX190" s="16" t="s">
        <v>500</v>
      </c>
    </row>
    <row r="191">
      <c r="A191" s="10" t="s">
        <v>501</v>
      </c>
      <c r="B191" s="11" t="s">
        <v>502</v>
      </c>
      <c r="C191" s="16" t="s">
        <v>503</v>
      </c>
      <c r="D191" s="11"/>
      <c r="E191" s="11" t="s">
        <v>126</v>
      </c>
      <c r="F191" s="57" t="n">
        <v>6</v>
      </c>
      <c r="G191" s="58" t="n">
        <v>0</v>
      </c>
      <c r="H191" s="57">
        <f>ROUND(F191*AO191,2)</f>
      </c>
      <c r="I191" s="57">
        <f>ROUND(F191*AP191,2)</f>
      </c>
      <c r="J191" s="57">
        <f>ROUND(F191*G191,2)</f>
      </c>
      <c r="K191" s="59" t="s">
        <v>62</v>
      </c>
      <c r="Z191" s="57">
        <f>ROUND(IF(AQ191="5",BJ191,0),2)</f>
      </c>
      <c r="AB191" s="57">
        <f>ROUND(IF(AQ191="1",BH191,0),2)</f>
      </c>
      <c r="AC191" s="57">
        <f>ROUND(IF(AQ191="1",BI191,0),2)</f>
      </c>
      <c r="AD191" s="57">
        <f>ROUND(IF(AQ191="7",BH191,0),2)</f>
      </c>
      <c r="AE191" s="57">
        <f>ROUND(IF(AQ191="7",BI191,0),2)</f>
      </c>
      <c r="AF191" s="57">
        <f>ROUND(IF(AQ191="2",BH191,0),2)</f>
      </c>
      <c r="AG191" s="57">
        <f>ROUND(IF(AQ191="2",BI191,0),2)</f>
      </c>
      <c r="AH191" s="57">
        <f>ROUND(IF(AQ191="0",BJ191,0),2)</f>
      </c>
      <c r="AI191" s="33" t="s">
        <v>57</v>
      </c>
      <c r="AJ191" s="57">
        <f>IF(AN191=0,J191,0)</f>
      </c>
      <c r="AK191" s="57">
        <f>IF(AN191=12,J191,0)</f>
      </c>
      <c r="AL191" s="57">
        <f>IF(AN191=21,J191,0)</f>
      </c>
      <c r="AN191" s="57" t="n">
        <v>12</v>
      </c>
      <c r="AO191" s="57">
        <f>G191*0.346956522</f>
      </c>
      <c r="AP191" s="57">
        <f>G191*(1-0.346956522)</f>
      </c>
      <c r="AQ191" s="60" t="s">
        <v>58</v>
      </c>
      <c r="AV191" s="57">
        <f>ROUND(AW191+AX191,2)</f>
      </c>
      <c r="AW191" s="57">
        <f>ROUND(F191*AO191,2)</f>
      </c>
      <c r="AX191" s="57">
        <f>ROUND(F191*AP191,2)</f>
      </c>
      <c r="AY191" s="60" t="s">
        <v>481</v>
      </c>
      <c r="AZ191" s="60" t="s">
        <v>482</v>
      </c>
      <c r="BA191" s="33" t="s">
        <v>65</v>
      </c>
      <c r="BB191" s="61" t="n">
        <v>100096</v>
      </c>
      <c r="BC191" s="57">
        <f>AW191+AX191</f>
      </c>
      <c r="BD191" s="57">
        <f>G191/(100-BE191)*100</f>
      </c>
      <c r="BE191" s="57" t="n">
        <v>0</v>
      </c>
      <c r="BF191" s="57">
        <f>191</f>
      </c>
      <c r="BH191" s="57">
        <f>F191*AO191</f>
      </c>
      <c r="BI191" s="57">
        <f>F191*AP191</f>
      </c>
      <c r="BJ191" s="57">
        <f>F191*G191</f>
      </c>
      <c r="BK191" s="60" t="s">
        <v>66</v>
      </c>
      <c r="BL191" s="57" t="n">
        <v>94</v>
      </c>
      <c r="BW191" s="57" t="n">
        <v>12</v>
      </c>
      <c r="BX191" s="16" t="s">
        <v>503</v>
      </c>
    </row>
    <row r="192">
      <c r="A192" s="10" t="s">
        <v>504</v>
      </c>
      <c r="B192" s="11" t="s">
        <v>505</v>
      </c>
      <c r="C192" s="16" t="s">
        <v>506</v>
      </c>
      <c r="D192" s="11"/>
      <c r="E192" s="11" t="s">
        <v>126</v>
      </c>
      <c r="F192" s="57" t="n">
        <v>18</v>
      </c>
      <c r="G192" s="58" t="n">
        <v>0</v>
      </c>
      <c r="H192" s="57">
        <f>ROUND(F192*AO192,2)</f>
      </c>
      <c r="I192" s="57">
        <f>ROUND(F192*AP192,2)</f>
      </c>
      <c r="J192" s="57">
        <f>ROUND(F192*G192,2)</f>
      </c>
      <c r="K192" s="59" t="s">
        <v>62</v>
      </c>
      <c r="Z192" s="57">
        <f>ROUND(IF(AQ192="5",BJ192,0),2)</f>
      </c>
      <c r="AB192" s="57">
        <f>ROUND(IF(AQ192="1",BH192,0),2)</f>
      </c>
      <c r="AC192" s="57">
        <f>ROUND(IF(AQ192="1",BI192,0),2)</f>
      </c>
      <c r="AD192" s="57">
        <f>ROUND(IF(AQ192="7",BH192,0),2)</f>
      </c>
      <c r="AE192" s="57">
        <f>ROUND(IF(AQ192="7",BI192,0),2)</f>
      </c>
      <c r="AF192" s="57">
        <f>ROUND(IF(AQ192="2",BH192,0),2)</f>
      </c>
      <c r="AG192" s="57">
        <f>ROUND(IF(AQ192="2",BI192,0),2)</f>
      </c>
      <c r="AH192" s="57">
        <f>ROUND(IF(AQ192="0",BJ192,0),2)</f>
      </c>
      <c r="AI192" s="33" t="s">
        <v>57</v>
      </c>
      <c r="AJ192" s="57">
        <f>IF(AN192=0,J192,0)</f>
      </c>
      <c r="AK192" s="57">
        <f>IF(AN192=12,J192,0)</f>
      </c>
      <c r="AL192" s="57">
        <f>IF(AN192=21,J192,0)</f>
      </c>
      <c r="AN192" s="57" t="n">
        <v>12</v>
      </c>
      <c r="AO192" s="57">
        <f>G192*0.878143888</f>
      </c>
      <c r="AP192" s="57">
        <f>G192*(1-0.878143888)</f>
      </c>
      <c r="AQ192" s="60" t="s">
        <v>58</v>
      </c>
      <c r="AV192" s="57">
        <f>ROUND(AW192+AX192,2)</f>
      </c>
      <c r="AW192" s="57">
        <f>ROUND(F192*AO192,2)</f>
      </c>
      <c r="AX192" s="57">
        <f>ROUND(F192*AP192,2)</f>
      </c>
      <c r="AY192" s="60" t="s">
        <v>481</v>
      </c>
      <c r="AZ192" s="60" t="s">
        <v>482</v>
      </c>
      <c r="BA192" s="33" t="s">
        <v>65</v>
      </c>
      <c r="BB192" s="61" t="n">
        <v>100096</v>
      </c>
      <c r="BC192" s="57">
        <f>AW192+AX192</f>
      </c>
      <c r="BD192" s="57">
        <f>G192/(100-BE192)*100</f>
      </c>
      <c r="BE192" s="57" t="n">
        <v>0</v>
      </c>
      <c r="BF192" s="57">
        <f>192</f>
      </c>
      <c r="BH192" s="57">
        <f>F192*AO192</f>
      </c>
      <c r="BI192" s="57">
        <f>F192*AP192</f>
      </c>
      <c r="BJ192" s="57">
        <f>F192*G192</f>
      </c>
      <c r="BK192" s="60" t="s">
        <v>66</v>
      </c>
      <c r="BL192" s="57" t="n">
        <v>94</v>
      </c>
      <c r="BW192" s="57" t="n">
        <v>12</v>
      </c>
      <c r="BX192" s="16" t="s">
        <v>506</v>
      </c>
    </row>
    <row r="193">
      <c r="A193" s="10" t="s">
        <v>507</v>
      </c>
      <c r="B193" s="11" t="s">
        <v>508</v>
      </c>
      <c r="C193" s="16" t="s">
        <v>509</v>
      </c>
      <c r="D193" s="11"/>
      <c r="E193" s="11" t="s">
        <v>126</v>
      </c>
      <c r="F193" s="57" t="n">
        <v>6</v>
      </c>
      <c r="G193" s="58" t="n">
        <v>0</v>
      </c>
      <c r="H193" s="57">
        <f>ROUND(F193*AO193,2)</f>
      </c>
      <c r="I193" s="57">
        <f>ROUND(F193*AP193,2)</f>
      </c>
      <c r="J193" s="57">
        <f>ROUND(F193*G193,2)</f>
      </c>
      <c r="K193" s="59" t="s">
        <v>62</v>
      </c>
      <c r="Z193" s="57">
        <f>ROUND(IF(AQ193="5",BJ193,0),2)</f>
      </c>
      <c r="AB193" s="57">
        <f>ROUND(IF(AQ193="1",BH193,0),2)</f>
      </c>
      <c r="AC193" s="57">
        <f>ROUND(IF(AQ193="1",BI193,0),2)</f>
      </c>
      <c r="AD193" s="57">
        <f>ROUND(IF(AQ193="7",BH193,0),2)</f>
      </c>
      <c r="AE193" s="57">
        <f>ROUND(IF(AQ193="7",BI193,0),2)</f>
      </c>
      <c r="AF193" s="57">
        <f>ROUND(IF(AQ193="2",BH193,0),2)</f>
      </c>
      <c r="AG193" s="57">
        <f>ROUND(IF(AQ193="2",BI193,0),2)</f>
      </c>
      <c r="AH193" s="57">
        <f>ROUND(IF(AQ193="0",BJ193,0),2)</f>
      </c>
      <c r="AI193" s="33" t="s">
        <v>57</v>
      </c>
      <c r="AJ193" s="57">
        <f>IF(AN193=0,J193,0)</f>
      </c>
      <c r="AK193" s="57">
        <f>IF(AN193=12,J193,0)</f>
      </c>
      <c r="AL193" s="57">
        <f>IF(AN193=21,J193,0)</f>
      </c>
      <c r="AN193" s="57" t="n">
        <v>12</v>
      </c>
      <c r="AO193" s="57">
        <f>G193*0</f>
      </c>
      <c r="AP193" s="57">
        <f>G193*(1-0)</f>
      </c>
      <c r="AQ193" s="60" t="s">
        <v>58</v>
      </c>
      <c r="AV193" s="57">
        <f>ROUND(AW193+AX193,2)</f>
      </c>
      <c r="AW193" s="57">
        <f>ROUND(F193*AO193,2)</f>
      </c>
      <c r="AX193" s="57">
        <f>ROUND(F193*AP193,2)</f>
      </c>
      <c r="AY193" s="60" t="s">
        <v>481</v>
      </c>
      <c r="AZ193" s="60" t="s">
        <v>482</v>
      </c>
      <c r="BA193" s="33" t="s">
        <v>65</v>
      </c>
      <c r="BB193" s="61" t="n">
        <v>100096</v>
      </c>
      <c r="BC193" s="57">
        <f>AW193+AX193</f>
      </c>
      <c r="BD193" s="57">
        <f>G193/(100-BE193)*100</f>
      </c>
      <c r="BE193" s="57" t="n">
        <v>0</v>
      </c>
      <c r="BF193" s="57">
        <f>193</f>
      </c>
      <c r="BH193" s="57">
        <f>F193*AO193</f>
      </c>
      <c r="BI193" s="57">
        <f>F193*AP193</f>
      </c>
      <c r="BJ193" s="57">
        <f>F193*G193</f>
      </c>
      <c r="BK193" s="60" t="s">
        <v>66</v>
      </c>
      <c r="BL193" s="57" t="n">
        <v>94</v>
      </c>
      <c r="BW193" s="57" t="n">
        <v>12</v>
      </c>
      <c r="BX193" s="16" t="s">
        <v>509</v>
      </c>
    </row>
    <row r="194">
      <c r="A194" s="10" t="s">
        <v>510</v>
      </c>
      <c r="B194" s="11" t="s">
        <v>511</v>
      </c>
      <c r="C194" s="16" t="s">
        <v>512</v>
      </c>
      <c r="D194" s="11"/>
      <c r="E194" s="11" t="s">
        <v>61</v>
      </c>
      <c r="F194" s="57" t="n">
        <v>21</v>
      </c>
      <c r="G194" s="58" t="n">
        <v>0</v>
      </c>
      <c r="H194" s="57">
        <f>ROUND(F194*AO194,2)</f>
      </c>
      <c r="I194" s="57">
        <f>ROUND(F194*AP194,2)</f>
      </c>
      <c r="J194" s="57">
        <f>ROUND(F194*G194,2)</f>
      </c>
      <c r="K194" s="59" t="s">
        <v>62</v>
      </c>
      <c r="Z194" s="57">
        <f>ROUND(IF(AQ194="5",BJ194,0),2)</f>
      </c>
      <c r="AB194" s="57">
        <f>ROUND(IF(AQ194="1",BH194,0),2)</f>
      </c>
      <c r="AC194" s="57">
        <f>ROUND(IF(AQ194="1",BI194,0),2)</f>
      </c>
      <c r="AD194" s="57">
        <f>ROUND(IF(AQ194="7",BH194,0),2)</f>
      </c>
      <c r="AE194" s="57">
        <f>ROUND(IF(AQ194="7",BI194,0),2)</f>
      </c>
      <c r="AF194" s="57">
        <f>ROUND(IF(AQ194="2",BH194,0),2)</f>
      </c>
      <c r="AG194" s="57">
        <f>ROUND(IF(AQ194="2",BI194,0),2)</f>
      </c>
      <c r="AH194" s="57">
        <f>ROUND(IF(AQ194="0",BJ194,0),2)</f>
      </c>
      <c r="AI194" s="33" t="s">
        <v>57</v>
      </c>
      <c r="AJ194" s="57">
        <f>IF(AN194=0,J194,0)</f>
      </c>
      <c r="AK194" s="57">
        <f>IF(AN194=12,J194,0)</f>
      </c>
      <c r="AL194" s="57">
        <f>IF(AN194=21,J194,0)</f>
      </c>
      <c r="AN194" s="57" t="n">
        <v>12</v>
      </c>
      <c r="AO194" s="57">
        <f>G194*0.582299546</f>
      </c>
      <c r="AP194" s="57">
        <f>G194*(1-0.582299546)</f>
      </c>
      <c r="AQ194" s="60" t="s">
        <v>58</v>
      </c>
      <c r="AV194" s="57">
        <f>ROUND(AW194+AX194,2)</f>
      </c>
      <c r="AW194" s="57">
        <f>ROUND(F194*AO194,2)</f>
      </c>
      <c r="AX194" s="57">
        <f>ROUND(F194*AP194,2)</f>
      </c>
      <c r="AY194" s="60" t="s">
        <v>481</v>
      </c>
      <c r="AZ194" s="60" t="s">
        <v>482</v>
      </c>
      <c r="BA194" s="33" t="s">
        <v>65</v>
      </c>
      <c r="BB194" s="61" t="n">
        <v>100096</v>
      </c>
      <c r="BC194" s="57">
        <f>AW194+AX194</f>
      </c>
      <c r="BD194" s="57">
        <f>G194/(100-BE194)*100</f>
      </c>
      <c r="BE194" s="57" t="n">
        <v>0</v>
      </c>
      <c r="BF194" s="57">
        <f>194</f>
      </c>
      <c r="BH194" s="57">
        <f>F194*AO194</f>
      </c>
      <c r="BI194" s="57">
        <f>F194*AP194</f>
      </c>
      <c r="BJ194" s="57">
        <f>F194*G194</f>
      </c>
      <c r="BK194" s="60" t="s">
        <v>66</v>
      </c>
      <c r="BL194" s="57" t="n">
        <v>94</v>
      </c>
      <c r="BW194" s="57" t="n">
        <v>12</v>
      </c>
      <c r="BX194" s="16" t="s">
        <v>512</v>
      </c>
    </row>
    <row r="195" customHeight="true" ht="13.5">
      <c r="A195" s="62"/>
      <c r="B195" s="63" t="s">
        <v>106</v>
      </c>
      <c r="C195" s="64" t="s">
        <v>513</v>
      </c>
      <c r="D195" s="65"/>
      <c r="E195" s="65"/>
      <c r="F195" s="65"/>
      <c r="G195" s="66"/>
      <c r="H195" s="65"/>
      <c r="I195" s="65"/>
      <c r="J195" s="65"/>
      <c r="K195" s="67"/>
    </row>
    <row r="196">
      <c r="A196" s="10" t="s">
        <v>514</v>
      </c>
      <c r="B196" s="11" t="s">
        <v>515</v>
      </c>
      <c r="C196" s="16" t="s">
        <v>516</v>
      </c>
      <c r="D196" s="11"/>
      <c r="E196" s="11" t="s">
        <v>61</v>
      </c>
      <c r="F196" s="57" t="n">
        <v>21</v>
      </c>
      <c r="G196" s="58" t="n">
        <v>0</v>
      </c>
      <c r="H196" s="57">
        <f>ROUND(F196*AO196,2)</f>
      </c>
      <c r="I196" s="57">
        <f>ROUND(F196*AP196,2)</f>
      </c>
      <c r="J196" s="57">
        <f>ROUND(F196*G196,2)</f>
      </c>
      <c r="K196" s="59" t="s">
        <v>62</v>
      </c>
      <c r="Z196" s="57">
        <f>ROUND(IF(AQ196="5",BJ196,0),2)</f>
      </c>
      <c r="AB196" s="57">
        <f>ROUND(IF(AQ196="1",BH196,0),2)</f>
      </c>
      <c r="AC196" s="57">
        <f>ROUND(IF(AQ196="1",BI196,0),2)</f>
      </c>
      <c r="AD196" s="57">
        <f>ROUND(IF(AQ196="7",BH196,0),2)</f>
      </c>
      <c r="AE196" s="57">
        <f>ROUND(IF(AQ196="7",BI196,0),2)</f>
      </c>
      <c r="AF196" s="57">
        <f>ROUND(IF(AQ196="2",BH196,0),2)</f>
      </c>
      <c r="AG196" s="57">
        <f>ROUND(IF(AQ196="2",BI196,0),2)</f>
      </c>
      <c r="AH196" s="57">
        <f>ROUND(IF(AQ196="0",BJ196,0),2)</f>
      </c>
      <c r="AI196" s="33" t="s">
        <v>57</v>
      </c>
      <c r="AJ196" s="57">
        <f>IF(AN196=0,J196,0)</f>
      </c>
      <c r="AK196" s="57">
        <f>IF(AN196=12,J196,0)</f>
      </c>
      <c r="AL196" s="57">
        <f>IF(AN196=21,J196,0)</f>
      </c>
      <c r="AN196" s="57" t="n">
        <v>12</v>
      </c>
      <c r="AO196" s="57">
        <f>G196*0</f>
      </c>
      <c r="AP196" s="57">
        <f>G196*(1-0)</f>
      </c>
      <c r="AQ196" s="60" t="s">
        <v>58</v>
      </c>
      <c r="AV196" s="57">
        <f>ROUND(AW196+AX196,2)</f>
      </c>
      <c r="AW196" s="57">
        <f>ROUND(F196*AO196,2)</f>
      </c>
      <c r="AX196" s="57">
        <f>ROUND(F196*AP196,2)</f>
      </c>
      <c r="AY196" s="60" t="s">
        <v>481</v>
      </c>
      <c r="AZ196" s="60" t="s">
        <v>482</v>
      </c>
      <c r="BA196" s="33" t="s">
        <v>65</v>
      </c>
      <c r="BB196" s="61" t="n">
        <v>100096</v>
      </c>
      <c r="BC196" s="57">
        <f>AW196+AX196</f>
      </c>
      <c r="BD196" s="57">
        <f>G196/(100-BE196)*100</f>
      </c>
      <c r="BE196" s="57" t="n">
        <v>0</v>
      </c>
      <c r="BF196" s="57">
        <f>196</f>
      </c>
      <c r="BH196" s="57">
        <f>F196*AO196</f>
      </c>
      <c r="BI196" s="57">
        <f>F196*AP196</f>
      </c>
      <c r="BJ196" s="57">
        <f>F196*G196</f>
      </c>
      <c r="BK196" s="60" t="s">
        <v>66</v>
      </c>
      <c r="BL196" s="57" t="n">
        <v>94</v>
      </c>
      <c r="BW196" s="57" t="n">
        <v>12</v>
      </c>
      <c r="BX196" s="16" t="s">
        <v>516</v>
      </c>
    </row>
    <row r="197">
      <c r="A197" s="10" t="s">
        <v>517</v>
      </c>
      <c r="B197" s="11" t="s">
        <v>518</v>
      </c>
      <c r="C197" s="16" t="s">
        <v>519</v>
      </c>
      <c r="D197" s="11"/>
      <c r="E197" s="11" t="s">
        <v>314</v>
      </c>
      <c r="F197" s="57" t="n">
        <v>1.33632</v>
      </c>
      <c r="G197" s="58" t="n">
        <v>0</v>
      </c>
      <c r="H197" s="57">
        <f>ROUND(F197*AO197,2)</f>
      </c>
      <c r="I197" s="57">
        <f>ROUND(F197*AP197,2)</f>
      </c>
      <c r="J197" s="57">
        <f>ROUND(F197*G197,2)</f>
      </c>
      <c r="K197" s="59" t="s">
        <v>62</v>
      </c>
      <c r="Z197" s="57">
        <f>ROUND(IF(AQ197="5",BJ197,0),2)</f>
      </c>
      <c r="AB197" s="57">
        <f>ROUND(IF(AQ197="1",BH197,0),2)</f>
      </c>
      <c r="AC197" s="57">
        <f>ROUND(IF(AQ197="1",BI197,0),2)</f>
      </c>
      <c r="AD197" s="57">
        <f>ROUND(IF(AQ197="7",BH197,0),2)</f>
      </c>
      <c r="AE197" s="57">
        <f>ROUND(IF(AQ197="7",BI197,0),2)</f>
      </c>
      <c r="AF197" s="57">
        <f>ROUND(IF(AQ197="2",BH197,0),2)</f>
      </c>
      <c r="AG197" s="57">
        <f>ROUND(IF(AQ197="2",BI197,0),2)</f>
      </c>
      <c r="AH197" s="57">
        <f>ROUND(IF(AQ197="0",BJ197,0),2)</f>
      </c>
      <c r="AI197" s="33" t="s">
        <v>57</v>
      </c>
      <c r="AJ197" s="57">
        <f>IF(AN197=0,J197,0)</f>
      </c>
      <c r="AK197" s="57">
        <f>IF(AN197=12,J197,0)</f>
      </c>
      <c r="AL197" s="57">
        <f>IF(AN197=21,J197,0)</f>
      </c>
      <c r="AN197" s="57" t="n">
        <v>12</v>
      </c>
      <c r="AO197" s="57">
        <f>G197*1</f>
      </c>
      <c r="AP197" s="57">
        <f>G197*(1-1)</f>
      </c>
      <c r="AQ197" s="60" t="s">
        <v>58</v>
      </c>
      <c r="AV197" s="57">
        <f>ROUND(AW197+AX197,2)</f>
      </c>
      <c r="AW197" s="57">
        <f>ROUND(F197*AO197,2)</f>
      </c>
      <c r="AX197" s="57">
        <f>ROUND(F197*AP197,2)</f>
      </c>
      <c r="AY197" s="60" t="s">
        <v>481</v>
      </c>
      <c r="AZ197" s="60" t="s">
        <v>482</v>
      </c>
      <c r="BA197" s="33" t="s">
        <v>65</v>
      </c>
      <c r="BB197" s="61" t="n">
        <v>100096</v>
      </c>
      <c r="BC197" s="57">
        <f>AW197+AX197</f>
      </c>
      <c r="BD197" s="57">
        <f>G197/(100-BE197)*100</f>
      </c>
      <c r="BE197" s="57" t="n">
        <v>0</v>
      </c>
      <c r="BF197" s="57">
        <f>197</f>
      </c>
      <c r="BH197" s="57">
        <f>F197*AO197</f>
      </c>
      <c r="BI197" s="57">
        <f>F197*AP197</f>
      </c>
      <c r="BJ197" s="57">
        <f>F197*G197</f>
      </c>
      <c r="BK197" s="60" t="s">
        <v>66</v>
      </c>
      <c r="BL197" s="57" t="n">
        <v>94</v>
      </c>
      <c r="BW197" s="57" t="n">
        <v>12</v>
      </c>
      <c r="BX197" s="16" t="s">
        <v>519</v>
      </c>
    </row>
    <row r="198">
      <c r="A198" s="10" t="s">
        <v>520</v>
      </c>
      <c r="B198" s="11" t="s">
        <v>521</v>
      </c>
      <c r="C198" s="16" t="s">
        <v>522</v>
      </c>
      <c r="D198" s="11"/>
      <c r="E198" s="11" t="s">
        <v>314</v>
      </c>
      <c r="F198" s="57" t="n">
        <v>0.44544</v>
      </c>
      <c r="G198" s="58" t="n">
        <v>0</v>
      </c>
      <c r="H198" s="57">
        <f>ROUND(F198*AO198,2)</f>
      </c>
      <c r="I198" s="57">
        <f>ROUND(F198*AP198,2)</f>
      </c>
      <c r="J198" s="57">
        <f>ROUND(F198*G198,2)</f>
      </c>
      <c r="K198" s="59" t="s">
        <v>62</v>
      </c>
      <c r="Z198" s="57">
        <f>ROUND(IF(AQ198="5",BJ198,0),2)</f>
      </c>
      <c r="AB198" s="57">
        <f>ROUND(IF(AQ198="1",BH198,0),2)</f>
      </c>
      <c r="AC198" s="57">
        <f>ROUND(IF(AQ198="1",BI198,0),2)</f>
      </c>
      <c r="AD198" s="57">
        <f>ROUND(IF(AQ198="7",BH198,0),2)</f>
      </c>
      <c r="AE198" s="57">
        <f>ROUND(IF(AQ198="7",BI198,0),2)</f>
      </c>
      <c r="AF198" s="57">
        <f>ROUND(IF(AQ198="2",BH198,0),2)</f>
      </c>
      <c r="AG198" s="57">
        <f>ROUND(IF(AQ198="2",BI198,0),2)</f>
      </c>
      <c r="AH198" s="57">
        <f>ROUND(IF(AQ198="0",BJ198,0),2)</f>
      </c>
      <c r="AI198" s="33" t="s">
        <v>57</v>
      </c>
      <c r="AJ198" s="57">
        <f>IF(AN198=0,J198,0)</f>
      </c>
      <c r="AK198" s="57">
        <f>IF(AN198=12,J198,0)</f>
      </c>
      <c r="AL198" s="57">
        <f>IF(AN198=21,J198,0)</f>
      </c>
      <c r="AN198" s="57" t="n">
        <v>12</v>
      </c>
      <c r="AO198" s="57">
        <f>G198*0.067868622</f>
      </c>
      <c r="AP198" s="57">
        <f>G198*(1-0.067868622)</f>
      </c>
      <c r="AQ198" s="60" t="s">
        <v>58</v>
      </c>
      <c r="AV198" s="57">
        <f>ROUND(AW198+AX198,2)</f>
      </c>
      <c r="AW198" s="57">
        <f>ROUND(F198*AO198,2)</f>
      </c>
      <c r="AX198" s="57">
        <f>ROUND(F198*AP198,2)</f>
      </c>
      <c r="AY198" s="60" t="s">
        <v>481</v>
      </c>
      <c r="AZ198" s="60" t="s">
        <v>482</v>
      </c>
      <c r="BA198" s="33" t="s">
        <v>65</v>
      </c>
      <c r="BB198" s="61" t="n">
        <v>100096</v>
      </c>
      <c r="BC198" s="57">
        <f>AW198+AX198</f>
      </c>
      <c r="BD198" s="57">
        <f>G198/(100-BE198)*100</f>
      </c>
      <c r="BE198" s="57" t="n">
        <v>0</v>
      </c>
      <c r="BF198" s="57">
        <f>198</f>
      </c>
      <c r="BH198" s="57">
        <f>F198*AO198</f>
      </c>
      <c r="BI198" s="57">
        <f>F198*AP198</f>
      </c>
      <c r="BJ198" s="57">
        <f>F198*G198</f>
      </c>
      <c r="BK198" s="60" t="s">
        <v>66</v>
      </c>
      <c r="BL198" s="57" t="n">
        <v>94</v>
      </c>
      <c r="BW198" s="57" t="n">
        <v>12</v>
      </c>
      <c r="BX198" s="16" t="s">
        <v>522</v>
      </c>
    </row>
    <row r="199">
      <c r="A199" s="10" t="s">
        <v>523</v>
      </c>
      <c r="B199" s="11" t="s">
        <v>524</v>
      </c>
      <c r="C199" s="16" t="s">
        <v>525</v>
      </c>
      <c r="D199" s="11"/>
      <c r="E199" s="11" t="s">
        <v>314</v>
      </c>
      <c r="F199" s="57" t="n">
        <v>0.44544</v>
      </c>
      <c r="G199" s="58" t="n">
        <v>0</v>
      </c>
      <c r="H199" s="57">
        <f>ROUND(F199*AO199,2)</f>
      </c>
      <c r="I199" s="57">
        <f>ROUND(F199*AP199,2)</f>
      </c>
      <c r="J199" s="57">
        <f>ROUND(F199*G199,2)</f>
      </c>
      <c r="K199" s="59" t="s">
        <v>62</v>
      </c>
      <c r="Z199" s="57">
        <f>ROUND(IF(AQ199="5",BJ199,0),2)</f>
      </c>
      <c r="AB199" s="57">
        <f>ROUND(IF(AQ199="1",BH199,0),2)</f>
      </c>
      <c r="AC199" s="57">
        <f>ROUND(IF(AQ199="1",BI199,0),2)</f>
      </c>
      <c r="AD199" s="57">
        <f>ROUND(IF(AQ199="7",BH199,0),2)</f>
      </c>
      <c r="AE199" s="57">
        <f>ROUND(IF(AQ199="7",BI199,0),2)</f>
      </c>
      <c r="AF199" s="57">
        <f>ROUND(IF(AQ199="2",BH199,0),2)</f>
      </c>
      <c r="AG199" s="57">
        <f>ROUND(IF(AQ199="2",BI199,0),2)</f>
      </c>
      <c r="AH199" s="57">
        <f>ROUND(IF(AQ199="0",BJ199,0),2)</f>
      </c>
      <c r="AI199" s="33" t="s">
        <v>57</v>
      </c>
      <c r="AJ199" s="57">
        <f>IF(AN199=0,J199,0)</f>
      </c>
      <c r="AK199" s="57">
        <f>IF(AN199=12,J199,0)</f>
      </c>
      <c r="AL199" s="57">
        <f>IF(AN199=21,J199,0)</f>
      </c>
      <c r="AN199" s="57" t="n">
        <v>12</v>
      </c>
      <c r="AO199" s="57">
        <f>G199*0.028900578</f>
      </c>
      <c r="AP199" s="57">
        <f>G199*(1-0.028900578)</f>
      </c>
      <c r="AQ199" s="60" t="s">
        <v>58</v>
      </c>
      <c r="AV199" s="57">
        <f>ROUND(AW199+AX199,2)</f>
      </c>
      <c r="AW199" s="57">
        <f>ROUND(F199*AO199,2)</f>
      </c>
      <c r="AX199" s="57">
        <f>ROUND(F199*AP199,2)</f>
      </c>
      <c r="AY199" s="60" t="s">
        <v>481</v>
      </c>
      <c r="AZ199" s="60" t="s">
        <v>482</v>
      </c>
      <c r="BA199" s="33" t="s">
        <v>65</v>
      </c>
      <c r="BB199" s="61" t="n">
        <v>100096</v>
      </c>
      <c r="BC199" s="57">
        <f>AW199+AX199</f>
      </c>
      <c r="BD199" s="57">
        <f>G199/(100-BE199)*100</f>
      </c>
      <c r="BE199" s="57" t="n">
        <v>0</v>
      </c>
      <c r="BF199" s="57">
        <f>199</f>
      </c>
      <c r="BH199" s="57">
        <f>F199*AO199</f>
      </c>
      <c r="BI199" s="57">
        <f>F199*AP199</f>
      </c>
      <c r="BJ199" s="57">
        <f>F199*G199</f>
      </c>
      <c r="BK199" s="60" t="s">
        <v>66</v>
      </c>
      <c r="BL199" s="57" t="n">
        <v>94</v>
      </c>
      <c r="BW199" s="57" t="n">
        <v>12</v>
      </c>
      <c r="BX199" s="16" t="s">
        <v>525</v>
      </c>
    </row>
    <row r="200">
      <c r="A200" s="10" t="s">
        <v>526</v>
      </c>
      <c r="B200" s="11" t="s">
        <v>527</v>
      </c>
      <c r="C200" s="16" t="s">
        <v>528</v>
      </c>
      <c r="D200" s="11"/>
      <c r="E200" s="11" t="s">
        <v>314</v>
      </c>
      <c r="F200" s="57" t="n">
        <v>1.64952</v>
      </c>
      <c r="G200" s="58" t="n">
        <v>0</v>
      </c>
      <c r="H200" s="57">
        <f>ROUND(F200*AO200,2)</f>
      </c>
      <c r="I200" s="57">
        <f>ROUND(F200*AP200,2)</f>
      </c>
      <c r="J200" s="57">
        <f>ROUND(F200*G200,2)</f>
      </c>
      <c r="K200" s="59" t="s">
        <v>62</v>
      </c>
      <c r="Z200" s="57">
        <f>ROUND(IF(AQ200="5",BJ200,0),2)</f>
      </c>
      <c r="AB200" s="57">
        <f>ROUND(IF(AQ200="1",BH200,0),2)</f>
      </c>
      <c r="AC200" s="57">
        <f>ROUND(IF(AQ200="1",BI200,0),2)</f>
      </c>
      <c r="AD200" s="57">
        <f>ROUND(IF(AQ200="7",BH200,0),2)</f>
      </c>
      <c r="AE200" s="57">
        <f>ROUND(IF(AQ200="7",BI200,0),2)</f>
      </c>
      <c r="AF200" s="57">
        <f>ROUND(IF(AQ200="2",BH200,0),2)</f>
      </c>
      <c r="AG200" s="57">
        <f>ROUND(IF(AQ200="2",BI200,0),2)</f>
      </c>
      <c r="AH200" s="57">
        <f>ROUND(IF(AQ200="0",BJ200,0),2)</f>
      </c>
      <c r="AI200" s="33" t="s">
        <v>57</v>
      </c>
      <c r="AJ200" s="57">
        <f>IF(AN200=0,J200,0)</f>
      </c>
      <c r="AK200" s="57">
        <f>IF(AN200=12,J200,0)</f>
      </c>
      <c r="AL200" s="57">
        <f>IF(AN200=21,J200,0)</f>
      </c>
      <c r="AN200" s="57" t="n">
        <v>12</v>
      </c>
      <c r="AO200" s="57">
        <f>G200*1</f>
      </c>
      <c r="AP200" s="57">
        <f>G200*(1-1)</f>
      </c>
      <c r="AQ200" s="60" t="s">
        <v>58</v>
      </c>
      <c r="AV200" s="57">
        <f>ROUND(AW200+AX200,2)</f>
      </c>
      <c r="AW200" s="57">
        <f>ROUND(F200*AO200,2)</f>
      </c>
      <c r="AX200" s="57">
        <f>ROUND(F200*AP200,2)</f>
      </c>
      <c r="AY200" s="60" t="s">
        <v>481</v>
      </c>
      <c r="AZ200" s="60" t="s">
        <v>482</v>
      </c>
      <c r="BA200" s="33" t="s">
        <v>65</v>
      </c>
      <c r="BB200" s="61" t="n">
        <v>100096</v>
      </c>
      <c r="BC200" s="57">
        <f>AW200+AX200</f>
      </c>
      <c r="BD200" s="57">
        <f>G200/(100-BE200)*100</f>
      </c>
      <c r="BE200" s="57" t="n">
        <v>0</v>
      </c>
      <c r="BF200" s="57">
        <f>200</f>
      </c>
      <c r="BH200" s="57">
        <f>F200*AO200</f>
      </c>
      <c r="BI200" s="57">
        <f>F200*AP200</f>
      </c>
      <c r="BJ200" s="57">
        <f>F200*G200</f>
      </c>
      <c r="BK200" s="60" t="s">
        <v>66</v>
      </c>
      <c r="BL200" s="57" t="n">
        <v>94</v>
      </c>
      <c r="BW200" s="57" t="n">
        <v>12</v>
      </c>
      <c r="BX200" s="16" t="s">
        <v>528</v>
      </c>
    </row>
    <row r="201">
      <c r="A201" s="10" t="s">
        <v>529</v>
      </c>
      <c r="B201" s="11" t="s">
        <v>530</v>
      </c>
      <c r="C201" s="16" t="s">
        <v>531</v>
      </c>
      <c r="D201" s="11"/>
      <c r="E201" s="11" t="s">
        <v>314</v>
      </c>
      <c r="F201" s="57" t="n">
        <v>0.54984</v>
      </c>
      <c r="G201" s="58" t="n">
        <v>0</v>
      </c>
      <c r="H201" s="57">
        <f>ROUND(F201*AO201,2)</f>
      </c>
      <c r="I201" s="57">
        <f>ROUND(F201*AP201,2)</f>
      </c>
      <c r="J201" s="57">
        <f>ROUND(F201*G201,2)</f>
      </c>
      <c r="K201" s="59" t="s">
        <v>62</v>
      </c>
      <c r="Z201" s="57">
        <f>ROUND(IF(AQ201="5",BJ201,0),2)</f>
      </c>
      <c r="AB201" s="57">
        <f>ROUND(IF(AQ201="1",BH201,0),2)</f>
      </c>
      <c r="AC201" s="57">
        <f>ROUND(IF(AQ201="1",BI201,0),2)</f>
      </c>
      <c r="AD201" s="57">
        <f>ROUND(IF(AQ201="7",BH201,0),2)</f>
      </c>
      <c r="AE201" s="57">
        <f>ROUND(IF(AQ201="7",BI201,0),2)</f>
      </c>
      <c r="AF201" s="57">
        <f>ROUND(IF(AQ201="2",BH201,0),2)</f>
      </c>
      <c r="AG201" s="57">
        <f>ROUND(IF(AQ201="2",BI201,0),2)</f>
      </c>
      <c r="AH201" s="57">
        <f>ROUND(IF(AQ201="0",BJ201,0),2)</f>
      </c>
      <c r="AI201" s="33" t="s">
        <v>57</v>
      </c>
      <c r="AJ201" s="57">
        <f>IF(AN201=0,J201,0)</f>
      </c>
      <c r="AK201" s="57">
        <f>IF(AN201=12,J201,0)</f>
      </c>
      <c r="AL201" s="57">
        <f>IF(AN201=21,J201,0)</f>
      </c>
      <c r="AN201" s="57" t="n">
        <v>12</v>
      </c>
      <c r="AO201" s="57">
        <f>G201*0.038601115</f>
      </c>
      <c r="AP201" s="57">
        <f>G201*(1-0.038601115)</f>
      </c>
      <c r="AQ201" s="60" t="s">
        <v>58</v>
      </c>
      <c r="AV201" s="57">
        <f>ROUND(AW201+AX201,2)</f>
      </c>
      <c r="AW201" s="57">
        <f>ROUND(F201*AO201,2)</f>
      </c>
      <c r="AX201" s="57">
        <f>ROUND(F201*AP201,2)</f>
      </c>
      <c r="AY201" s="60" t="s">
        <v>481</v>
      </c>
      <c r="AZ201" s="60" t="s">
        <v>482</v>
      </c>
      <c r="BA201" s="33" t="s">
        <v>65</v>
      </c>
      <c r="BB201" s="61" t="n">
        <v>100096</v>
      </c>
      <c r="BC201" s="57">
        <f>AW201+AX201</f>
      </c>
      <c r="BD201" s="57">
        <f>G201/(100-BE201)*100</f>
      </c>
      <c r="BE201" s="57" t="n">
        <v>0</v>
      </c>
      <c r="BF201" s="57">
        <f>201</f>
      </c>
      <c r="BH201" s="57">
        <f>F201*AO201</f>
      </c>
      <c r="BI201" s="57">
        <f>F201*AP201</f>
      </c>
      <c r="BJ201" s="57">
        <f>F201*G201</f>
      </c>
      <c r="BK201" s="60" t="s">
        <v>66</v>
      </c>
      <c r="BL201" s="57" t="n">
        <v>94</v>
      </c>
      <c r="BW201" s="57" t="n">
        <v>12</v>
      </c>
      <c r="BX201" s="16" t="s">
        <v>531</v>
      </c>
    </row>
    <row r="202">
      <c r="A202" s="10" t="s">
        <v>532</v>
      </c>
      <c r="B202" s="11" t="s">
        <v>533</v>
      </c>
      <c r="C202" s="16" t="s">
        <v>534</v>
      </c>
      <c r="D202" s="11"/>
      <c r="E202" s="11" t="s">
        <v>314</v>
      </c>
      <c r="F202" s="57" t="n">
        <v>0.54984</v>
      </c>
      <c r="G202" s="58" t="n">
        <v>0</v>
      </c>
      <c r="H202" s="57">
        <f>ROUND(F202*AO202,2)</f>
      </c>
      <c r="I202" s="57">
        <f>ROUND(F202*AP202,2)</f>
      </c>
      <c r="J202" s="57">
        <f>ROUND(F202*G202,2)</f>
      </c>
      <c r="K202" s="59" t="s">
        <v>62</v>
      </c>
      <c r="Z202" s="57">
        <f>ROUND(IF(AQ202="5",BJ202,0),2)</f>
      </c>
      <c r="AB202" s="57">
        <f>ROUND(IF(AQ202="1",BH202,0),2)</f>
      </c>
      <c r="AC202" s="57">
        <f>ROUND(IF(AQ202="1",BI202,0),2)</f>
      </c>
      <c r="AD202" s="57">
        <f>ROUND(IF(AQ202="7",BH202,0),2)</f>
      </c>
      <c r="AE202" s="57">
        <f>ROUND(IF(AQ202="7",BI202,0),2)</f>
      </c>
      <c r="AF202" s="57">
        <f>ROUND(IF(AQ202="2",BH202,0),2)</f>
      </c>
      <c r="AG202" s="57">
        <f>ROUND(IF(AQ202="2",BI202,0),2)</f>
      </c>
      <c r="AH202" s="57">
        <f>ROUND(IF(AQ202="0",BJ202,0),2)</f>
      </c>
      <c r="AI202" s="33" t="s">
        <v>57</v>
      </c>
      <c r="AJ202" s="57">
        <f>IF(AN202=0,J202,0)</f>
      </c>
      <c r="AK202" s="57">
        <f>IF(AN202=12,J202,0)</f>
      </c>
      <c r="AL202" s="57">
        <f>IF(AN202=21,J202,0)</f>
      </c>
      <c r="AN202" s="57" t="n">
        <v>12</v>
      </c>
      <c r="AO202" s="57">
        <f>G202*0.012545779</f>
      </c>
      <c r="AP202" s="57">
        <f>G202*(1-0.012545779)</f>
      </c>
      <c r="AQ202" s="60" t="s">
        <v>58</v>
      </c>
      <c r="AV202" s="57">
        <f>ROUND(AW202+AX202,2)</f>
      </c>
      <c r="AW202" s="57">
        <f>ROUND(F202*AO202,2)</f>
      </c>
      <c r="AX202" s="57">
        <f>ROUND(F202*AP202,2)</f>
      </c>
      <c r="AY202" s="60" t="s">
        <v>481</v>
      </c>
      <c r="AZ202" s="60" t="s">
        <v>482</v>
      </c>
      <c r="BA202" s="33" t="s">
        <v>65</v>
      </c>
      <c r="BB202" s="61" t="n">
        <v>100096</v>
      </c>
      <c r="BC202" s="57">
        <f>AW202+AX202</f>
      </c>
      <c r="BD202" s="57">
        <f>G202/(100-BE202)*100</f>
      </c>
      <c r="BE202" s="57" t="n">
        <v>0</v>
      </c>
      <c r="BF202" s="57">
        <f>202</f>
      </c>
      <c r="BH202" s="57">
        <f>F202*AO202</f>
      </c>
      <c r="BI202" s="57">
        <f>F202*AP202</f>
      </c>
      <c r="BJ202" s="57">
        <f>F202*G202</f>
      </c>
      <c r="BK202" s="60" t="s">
        <v>66</v>
      </c>
      <c r="BL202" s="57" t="n">
        <v>94</v>
      </c>
      <c r="BW202" s="57" t="n">
        <v>12</v>
      </c>
      <c r="BX202" s="16" t="s">
        <v>534</v>
      </c>
    </row>
    <row r="203">
      <c r="A203" s="51" t="s">
        <v>53</v>
      </c>
      <c r="B203" s="52" t="s">
        <v>373</v>
      </c>
      <c r="C203" s="53" t="s">
        <v>535</v>
      </c>
      <c r="D203" s="52"/>
      <c r="E203" s="54" t="s">
        <v>4</v>
      </c>
      <c r="F203" s="54" t="s">
        <v>4</v>
      </c>
      <c r="G203" s="55" t="s">
        <v>4</v>
      </c>
      <c r="H203" s="2">
        <f>ROUND(SUM(H204:H210),2)</f>
      </c>
      <c r="I203" s="2">
        <f>ROUND(SUM(I204:I210),2)</f>
      </c>
      <c r="J203" s="2">
        <f>ROUND(SUM(J204:J210),2)</f>
      </c>
      <c r="K203" s="56" t="s">
        <v>53</v>
      </c>
      <c r="AI203" s="33" t="s">
        <v>57</v>
      </c>
      <c r="AS203" s="2">
        <f>SUM(AJ204:AJ210)</f>
      </c>
      <c r="AT203" s="2">
        <f>SUM(AK204:AK210)</f>
      </c>
      <c r="AU203" s="2">
        <f>SUM(AL204:AL210)</f>
      </c>
    </row>
    <row r="204">
      <c r="A204" s="10" t="s">
        <v>536</v>
      </c>
      <c r="B204" s="11" t="s">
        <v>537</v>
      </c>
      <c r="C204" s="16" t="s">
        <v>538</v>
      </c>
      <c r="D204" s="11"/>
      <c r="E204" s="11" t="s">
        <v>174</v>
      </c>
      <c r="F204" s="57" t="n">
        <v>508</v>
      </c>
      <c r="G204" s="58" t="n">
        <v>0</v>
      </c>
      <c r="H204" s="57">
        <f>ROUND(F204*AO204,2)</f>
      </c>
      <c r="I204" s="57">
        <f>ROUND(F204*AP204,2)</f>
      </c>
      <c r="J204" s="57">
        <f>ROUND(F204*G204,2)</f>
      </c>
      <c r="K204" s="59" t="s">
        <v>62</v>
      </c>
      <c r="Z204" s="57">
        <f>ROUND(IF(AQ204="5",BJ204,0),2)</f>
      </c>
      <c r="AB204" s="57">
        <f>ROUND(IF(AQ204="1",BH204,0),2)</f>
      </c>
      <c r="AC204" s="57">
        <f>ROUND(IF(AQ204="1",BI204,0),2)</f>
      </c>
      <c r="AD204" s="57">
        <f>ROUND(IF(AQ204="7",BH204,0),2)</f>
      </c>
      <c r="AE204" s="57">
        <f>ROUND(IF(AQ204="7",BI204,0),2)</f>
      </c>
      <c r="AF204" s="57">
        <f>ROUND(IF(AQ204="2",BH204,0),2)</f>
      </c>
      <c r="AG204" s="57">
        <f>ROUND(IF(AQ204="2",BI204,0),2)</f>
      </c>
      <c r="AH204" s="57">
        <f>ROUND(IF(AQ204="0",BJ204,0),2)</f>
      </c>
      <c r="AI204" s="33" t="s">
        <v>57</v>
      </c>
      <c r="AJ204" s="57">
        <f>IF(AN204=0,J204,0)</f>
      </c>
      <c r="AK204" s="57">
        <f>IF(AN204=12,J204,0)</f>
      </c>
      <c r="AL204" s="57">
        <f>IF(AN204=21,J204,0)</f>
      </c>
      <c r="AN204" s="57" t="n">
        <v>12</v>
      </c>
      <c r="AO204" s="57">
        <f>G204*0.349839915</f>
      </c>
      <c r="AP204" s="57">
        <f>G204*(1-0.349839915)</f>
      </c>
      <c r="AQ204" s="60" t="s">
        <v>58</v>
      </c>
      <c r="AV204" s="57">
        <f>ROUND(AW204+AX204,2)</f>
      </c>
      <c r="AW204" s="57">
        <f>ROUND(F204*AO204,2)</f>
      </c>
      <c r="AX204" s="57">
        <f>ROUND(F204*AP204,2)</f>
      </c>
      <c r="AY204" s="60" t="s">
        <v>539</v>
      </c>
      <c r="AZ204" s="60" t="s">
        <v>540</v>
      </c>
      <c r="BA204" s="33" t="s">
        <v>65</v>
      </c>
      <c r="BB204" s="61" t="n">
        <v>100097</v>
      </c>
      <c r="BC204" s="57">
        <f>AW204+AX204</f>
      </c>
      <c r="BD204" s="57">
        <f>G204/(100-BE204)*100</f>
      </c>
      <c r="BE204" s="57" t="n">
        <v>0</v>
      </c>
      <c r="BF204" s="57">
        <f>204</f>
      </c>
      <c r="BH204" s="57">
        <f>F204*AO204</f>
      </c>
      <c r="BI204" s="57">
        <f>F204*AP204</f>
      </c>
      <c r="BJ204" s="57">
        <f>F204*G204</f>
      </c>
      <c r="BK204" s="60" t="s">
        <v>66</v>
      </c>
      <c r="BL204" s="57" t="n">
        <v>95</v>
      </c>
      <c r="BW204" s="57" t="n">
        <v>12</v>
      </c>
      <c r="BX204" s="16" t="s">
        <v>538</v>
      </c>
    </row>
    <row r="205">
      <c r="A205" s="10" t="s">
        <v>541</v>
      </c>
      <c r="B205" s="11" t="s">
        <v>138</v>
      </c>
      <c r="C205" s="16" t="s">
        <v>542</v>
      </c>
      <c r="D205" s="11"/>
      <c r="E205" s="11" t="s">
        <v>174</v>
      </c>
      <c r="F205" s="57" t="n">
        <v>508</v>
      </c>
      <c r="G205" s="58" t="n">
        <v>0</v>
      </c>
      <c r="H205" s="57">
        <f>ROUND(F205*AO205,2)</f>
      </c>
      <c r="I205" s="57">
        <f>ROUND(F205*AP205,2)</f>
      </c>
      <c r="J205" s="57">
        <f>ROUND(F205*G205,2)</f>
      </c>
      <c r="K205" s="59" t="s">
        <v>140</v>
      </c>
      <c r="Z205" s="57">
        <f>ROUND(IF(AQ205="5",BJ205,0),2)</f>
      </c>
      <c r="AB205" s="57">
        <f>ROUND(IF(AQ205="1",BH205,0),2)</f>
      </c>
      <c r="AC205" s="57">
        <f>ROUND(IF(AQ205="1",BI205,0),2)</f>
      </c>
      <c r="AD205" s="57">
        <f>ROUND(IF(AQ205="7",BH205,0),2)</f>
      </c>
      <c r="AE205" s="57">
        <f>ROUND(IF(AQ205="7",BI205,0),2)</f>
      </c>
      <c r="AF205" s="57">
        <f>ROUND(IF(AQ205="2",BH205,0),2)</f>
      </c>
      <c r="AG205" s="57">
        <f>ROUND(IF(AQ205="2",BI205,0),2)</f>
      </c>
      <c r="AH205" s="57">
        <f>ROUND(IF(AQ205="0",BJ205,0),2)</f>
      </c>
      <c r="AI205" s="33" t="s">
        <v>57</v>
      </c>
      <c r="AJ205" s="57">
        <f>IF(AN205=0,J205,0)</f>
      </c>
      <c r="AK205" s="57">
        <f>IF(AN205=12,J205,0)</f>
      </c>
      <c r="AL205" s="57">
        <f>IF(AN205=21,J205,0)</f>
      </c>
      <c r="AN205" s="57" t="n">
        <v>12</v>
      </c>
      <c r="AO205" s="57">
        <f>G205*1</f>
      </c>
      <c r="AP205" s="57">
        <f>G205*(1-1)</f>
      </c>
      <c r="AQ205" s="60" t="s">
        <v>58</v>
      </c>
      <c r="AV205" s="57">
        <f>ROUND(AW205+AX205,2)</f>
      </c>
      <c r="AW205" s="57">
        <f>ROUND(F205*AO205,2)</f>
      </c>
      <c r="AX205" s="57">
        <f>ROUND(F205*AP205,2)</f>
      </c>
      <c r="AY205" s="60" t="s">
        <v>539</v>
      </c>
      <c r="AZ205" s="60" t="s">
        <v>540</v>
      </c>
      <c r="BA205" s="33" t="s">
        <v>65</v>
      </c>
      <c r="BC205" s="57">
        <f>AW205+AX205</f>
      </c>
      <c r="BD205" s="57">
        <f>G205/(100-BE205)*100</f>
      </c>
      <c r="BE205" s="57" t="n">
        <v>0</v>
      </c>
      <c r="BF205" s="57">
        <f>205</f>
      </c>
      <c r="BH205" s="57">
        <f>F205*AO205</f>
      </c>
      <c r="BI205" s="57">
        <f>F205*AP205</f>
      </c>
      <c r="BJ205" s="57">
        <f>F205*G205</f>
      </c>
      <c r="BK205" s="60" t="s">
        <v>98</v>
      </c>
      <c r="BL205" s="57" t="n">
        <v>95</v>
      </c>
      <c r="BW205" s="57" t="n">
        <v>12</v>
      </c>
      <c r="BX205" s="16" t="s">
        <v>542</v>
      </c>
    </row>
    <row r="206">
      <c r="A206" s="10" t="s">
        <v>543</v>
      </c>
      <c r="B206" s="11" t="s">
        <v>138</v>
      </c>
      <c r="C206" s="16" t="s">
        <v>544</v>
      </c>
      <c r="D206" s="11"/>
      <c r="E206" s="11" t="s">
        <v>174</v>
      </c>
      <c r="F206" s="57" t="n">
        <v>508</v>
      </c>
      <c r="G206" s="58" t="n">
        <v>0</v>
      </c>
      <c r="H206" s="57">
        <f>ROUND(F206*AO206,2)</f>
      </c>
      <c r="I206" s="57">
        <f>ROUND(F206*AP206,2)</f>
      </c>
      <c r="J206" s="57">
        <f>ROUND(F206*G206,2)</f>
      </c>
      <c r="K206" s="59" t="s">
        <v>140</v>
      </c>
      <c r="Z206" s="57">
        <f>ROUND(IF(AQ206="5",BJ206,0),2)</f>
      </c>
      <c r="AB206" s="57">
        <f>ROUND(IF(AQ206="1",BH206,0),2)</f>
      </c>
      <c r="AC206" s="57">
        <f>ROUND(IF(AQ206="1",BI206,0),2)</f>
      </c>
      <c r="AD206" s="57">
        <f>ROUND(IF(AQ206="7",BH206,0),2)</f>
      </c>
      <c r="AE206" s="57">
        <f>ROUND(IF(AQ206="7",BI206,0),2)</f>
      </c>
      <c r="AF206" s="57">
        <f>ROUND(IF(AQ206="2",BH206,0),2)</f>
      </c>
      <c r="AG206" s="57">
        <f>ROUND(IF(AQ206="2",BI206,0),2)</f>
      </c>
      <c r="AH206" s="57">
        <f>ROUND(IF(AQ206="0",BJ206,0),2)</f>
      </c>
      <c r="AI206" s="33" t="s">
        <v>57</v>
      </c>
      <c r="AJ206" s="57">
        <f>IF(AN206=0,J206,0)</f>
      </c>
      <c r="AK206" s="57">
        <f>IF(AN206=12,J206,0)</f>
      </c>
      <c r="AL206" s="57">
        <f>IF(AN206=21,J206,0)</f>
      </c>
      <c r="AN206" s="57" t="n">
        <v>12</v>
      </c>
      <c r="AO206" s="57">
        <f>G206*1</f>
      </c>
      <c r="AP206" s="57">
        <f>G206*(1-1)</f>
      </c>
      <c r="AQ206" s="60" t="s">
        <v>58</v>
      </c>
      <c r="AV206" s="57">
        <f>ROUND(AW206+AX206,2)</f>
      </c>
      <c r="AW206" s="57">
        <f>ROUND(F206*AO206,2)</f>
      </c>
      <c r="AX206" s="57">
        <f>ROUND(F206*AP206,2)</f>
      </c>
      <c r="AY206" s="60" t="s">
        <v>539</v>
      </c>
      <c r="AZ206" s="60" t="s">
        <v>540</v>
      </c>
      <c r="BA206" s="33" t="s">
        <v>65</v>
      </c>
      <c r="BC206" s="57">
        <f>AW206+AX206</f>
      </c>
      <c r="BD206" s="57">
        <f>G206/(100-BE206)*100</f>
      </c>
      <c r="BE206" s="57" t="n">
        <v>0</v>
      </c>
      <c r="BF206" s="57">
        <f>206</f>
      </c>
      <c r="BH206" s="57">
        <f>F206*AO206</f>
      </c>
      <c r="BI206" s="57">
        <f>F206*AP206</f>
      </c>
      <c r="BJ206" s="57">
        <f>F206*G206</f>
      </c>
      <c r="BK206" s="60" t="s">
        <v>98</v>
      </c>
      <c r="BL206" s="57" t="n">
        <v>95</v>
      </c>
      <c r="BW206" s="57" t="n">
        <v>12</v>
      </c>
      <c r="BX206" s="16" t="s">
        <v>544</v>
      </c>
    </row>
    <row r="207">
      <c r="A207" s="10" t="s">
        <v>545</v>
      </c>
      <c r="B207" s="11" t="s">
        <v>546</v>
      </c>
      <c r="C207" s="16" t="s">
        <v>547</v>
      </c>
      <c r="D207" s="11"/>
      <c r="E207" s="11" t="s">
        <v>174</v>
      </c>
      <c r="F207" s="57" t="n">
        <v>142</v>
      </c>
      <c r="G207" s="58" t="n">
        <v>0</v>
      </c>
      <c r="H207" s="57">
        <f>ROUND(F207*AO207,2)</f>
      </c>
      <c r="I207" s="57">
        <f>ROUND(F207*AP207,2)</f>
      </c>
      <c r="J207" s="57">
        <f>ROUND(F207*G207,2)</f>
      </c>
      <c r="K207" s="59" t="s">
        <v>62</v>
      </c>
      <c r="Z207" s="57">
        <f>ROUND(IF(AQ207="5",BJ207,0),2)</f>
      </c>
      <c r="AB207" s="57">
        <f>ROUND(IF(AQ207="1",BH207,0),2)</f>
      </c>
      <c r="AC207" s="57">
        <f>ROUND(IF(AQ207="1",BI207,0),2)</f>
      </c>
      <c r="AD207" s="57">
        <f>ROUND(IF(AQ207="7",BH207,0),2)</f>
      </c>
      <c r="AE207" s="57">
        <f>ROUND(IF(AQ207="7",BI207,0),2)</f>
      </c>
      <c r="AF207" s="57">
        <f>ROUND(IF(AQ207="2",BH207,0),2)</f>
      </c>
      <c r="AG207" s="57">
        <f>ROUND(IF(AQ207="2",BI207,0),2)</f>
      </c>
      <c r="AH207" s="57">
        <f>ROUND(IF(AQ207="0",BJ207,0),2)</f>
      </c>
      <c r="AI207" s="33" t="s">
        <v>57</v>
      </c>
      <c r="AJ207" s="57">
        <f>IF(AN207=0,J207,0)</f>
      </c>
      <c r="AK207" s="57">
        <f>IF(AN207=12,J207,0)</f>
      </c>
      <c r="AL207" s="57">
        <f>IF(AN207=21,J207,0)</f>
      </c>
      <c r="AN207" s="57" t="n">
        <v>12</v>
      </c>
      <c r="AO207" s="57">
        <f>G207*0.405658537</f>
      </c>
      <c r="AP207" s="57">
        <f>G207*(1-0.405658537)</f>
      </c>
      <c r="AQ207" s="60" t="s">
        <v>58</v>
      </c>
      <c r="AV207" s="57">
        <f>ROUND(AW207+AX207,2)</f>
      </c>
      <c r="AW207" s="57">
        <f>ROUND(F207*AO207,2)</f>
      </c>
      <c r="AX207" s="57">
        <f>ROUND(F207*AP207,2)</f>
      </c>
      <c r="AY207" s="60" t="s">
        <v>539</v>
      </c>
      <c r="AZ207" s="60" t="s">
        <v>540</v>
      </c>
      <c r="BA207" s="33" t="s">
        <v>65</v>
      </c>
      <c r="BB207" s="61" t="n">
        <v>100097</v>
      </c>
      <c r="BC207" s="57">
        <f>AW207+AX207</f>
      </c>
      <c r="BD207" s="57">
        <f>G207/(100-BE207)*100</f>
      </c>
      <c r="BE207" s="57" t="n">
        <v>0</v>
      </c>
      <c r="BF207" s="57">
        <f>207</f>
      </c>
      <c r="BH207" s="57">
        <f>F207*AO207</f>
      </c>
      <c r="BI207" s="57">
        <f>F207*AP207</f>
      </c>
      <c r="BJ207" s="57">
        <f>F207*G207</f>
      </c>
      <c r="BK207" s="60" t="s">
        <v>66</v>
      </c>
      <c r="BL207" s="57" t="n">
        <v>95</v>
      </c>
      <c r="BW207" s="57" t="n">
        <v>12</v>
      </c>
      <c r="BX207" s="16" t="s">
        <v>547</v>
      </c>
    </row>
    <row r="208">
      <c r="A208" s="10" t="s">
        <v>548</v>
      </c>
      <c r="B208" s="11" t="s">
        <v>138</v>
      </c>
      <c r="C208" s="16" t="s">
        <v>549</v>
      </c>
      <c r="D208" s="11"/>
      <c r="E208" s="11" t="s">
        <v>174</v>
      </c>
      <c r="F208" s="57" t="n">
        <v>140</v>
      </c>
      <c r="G208" s="58" t="n">
        <v>0</v>
      </c>
      <c r="H208" s="57">
        <f>ROUND(F208*AO208,2)</f>
      </c>
      <c r="I208" s="57">
        <f>ROUND(F208*AP208,2)</f>
      </c>
      <c r="J208" s="57">
        <f>ROUND(F208*G208,2)</f>
      </c>
      <c r="K208" s="59" t="s">
        <v>140</v>
      </c>
      <c r="Z208" s="57">
        <f>ROUND(IF(AQ208="5",BJ208,0),2)</f>
      </c>
      <c r="AB208" s="57">
        <f>ROUND(IF(AQ208="1",BH208,0),2)</f>
      </c>
      <c r="AC208" s="57">
        <f>ROUND(IF(AQ208="1",BI208,0),2)</f>
      </c>
      <c r="AD208" s="57">
        <f>ROUND(IF(AQ208="7",BH208,0),2)</f>
      </c>
      <c r="AE208" s="57">
        <f>ROUND(IF(AQ208="7",BI208,0),2)</f>
      </c>
      <c r="AF208" s="57">
        <f>ROUND(IF(AQ208="2",BH208,0),2)</f>
      </c>
      <c r="AG208" s="57">
        <f>ROUND(IF(AQ208="2",BI208,0),2)</f>
      </c>
      <c r="AH208" s="57">
        <f>ROUND(IF(AQ208="0",BJ208,0),2)</f>
      </c>
      <c r="AI208" s="33" t="s">
        <v>57</v>
      </c>
      <c r="AJ208" s="57">
        <f>IF(AN208=0,J208,0)</f>
      </c>
      <c r="AK208" s="57">
        <f>IF(AN208=12,J208,0)</f>
      </c>
      <c r="AL208" s="57">
        <f>IF(AN208=21,J208,0)</f>
      </c>
      <c r="AN208" s="57" t="n">
        <v>12</v>
      </c>
      <c r="AO208" s="57">
        <f>G208*1</f>
      </c>
      <c r="AP208" s="57">
        <f>G208*(1-1)</f>
      </c>
      <c r="AQ208" s="60" t="s">
        <v>58</v>
      </c>
      <c r="AV208" s="57">
        <f>ROUND(AW208+AX208,2)</f>
      </c>
      <c r="AW208" s="57">
        <f>ROUND(F208*AO208,2)</f>
      </c>
      <c r="AX208" s="57">
        <f>ROUND(F208*AP208,2)</f>
      </c>
      <c r="AY208" s="60" t="s">
        <v>539</v>
      </c>
      <c r="AZ208" s="60" t="s">
        <v>540</v>
      </c>
      <c r="BA208" s="33" t="s">
        <v>65</v>
      </c>
      <c r="BC208" s="57">
        <f>AW208+AX208</f>
      </c>
      <c r="BD208" s="57">
        <f>G208/(100-BE208)*100</f>
      </c>
      <c r="BE208" s="57" t="n">
        <v>0</v>
      </c>
      <c r="BF208" s="57">
        <f>208</f>
      </c>
      <c r="BH208" s="57">
        <f>F208*AO208</f>
      </c>
      <c r="BI208" s="57">
        <f>F208*AP208</f>
      </c>
      <c r="BJ208" s="57">
        <f>F208*G208</f>
      </c>
      <c r="BK208" s="60" t="s">
        <v>98</v>
      </c>
      <c r="BL208" s="57" t="n">
        <v>95</v>
      </c>
      <c r="BW208" s="57" t="n">
        <v>12</v>
      </c>
      <c r="BX208" s="16" t="s">
        <v>549</v>
      </c>
    </row>
    <row r="209">
      <c r="A209" s="10" t="s">
        <v>550</v>
      </c>
      <c r="B209" s="11" t="s">
        <v>138</v>
      </c>
      <c r="C209" s="16" t="s">
        <v>551</v>
      </c>
      <c r="D209" s="11"/>
      <c r="E209" s="11" t="s">
        <v>174</v>
      </c>
      <c r="F209" s="57" t="n">
        <v>2</v>
      </c>
      <c r="G209" s="58" t="n">
        <v>0</v>
      </c>
      <c r="H209" s="57">
        <f>ROUND(F209*AO209,2)</f>
      </c>
      <c r="I209" s="57">
        <f>ROUND(F209*AP209,2)</f>
      </c>
      <c r="J209" s="57">
        <f>ROUND(F209*G209,2)</f>
      </c>
      <c r="K209" s="59" t="s">
        <v>140</v>
      </c>
      <c r="Z209" s="57">
        <f>ROUND(IF(AQ209="5",BJ209,0),2)</f>
      </c>
      <c r="AB209" s="57">
        <f>ROUND(IF(AQ209="1",BH209,0),2)</f>
      </c>
      <c r="AC209" s="57">
        <f>ROUND(IF(AQ209="1",BI209,0),2)</f>
      </c>
      <c r="AD209" s="57">
        <f>ROUND(IF(AQ209="7",BH209,0),2)</f>
      </c>
      <c r="AE209" s="57">
        <f>ROUND(IF(AQ209="7",BI209,0),2)</f>
      </c>
      <c r="AF209" s="57">
        <f>ROUND(IF(AQ209="2",BH209,0),2)</f>
      </c>
      <c r="AG209" s="57">
        <f>ROUND(IF(AQ209="2",BI209,0),2)</f>
      </c>
      <c r="AH209" s="57">
        <f>ROUND(IF(AQ209="0",BJ209,0),2)</f>
      </c>
      <c r="AI209" s="33" t="s">
        <v>57</v>
      </c>
      <c r="AJ209" s="57">
        <f>IF(AN209=0,J209,0)</f>
      </c>
      <c r="AK209" s="57">
        <f>IF(AN209=12,J209,0)</f>
      </c>
      <c r="AL209" s="57">
        <f>IF(AN209=21,J209,0)</f>
      </c>
      <c r="AN209" s="57" t="n">
        <v>12</v>
      </c>
      <c r="AO209" s="57">
        <f>G209*1</f>
      </c>
      <c r="AP209" s="57">
        <f>G209*(1-1)</f>
      </c>
      <c r="AQ209" s="60" t="s">
        <v>58</v>
      </c>
      <c r="AV209" s="57">
        <f>ROUND(AW209+AX209,2)</f>
      </c>
      <c r="AW209" s="57">
        <f>ROUND(F209*AO209,2)</f>
      </c>
      <c r="AX209" s="57">
        <f>ROUND(F209*AP209,2)</f>
      </c>
      <c r="AY209" s="60" t="s">
        <v>539</v>
      </c>
      <c r="AZ209" s="60" t="s">
        <v>540</v>
      </c>
      <c r="BA209" s="33" t="s">
        <v>65</v>
      </c>
      <c r="BC209" s="57">
        <f>AW209+AX209</f>
      </c>
      <c r="BD209" s="57">
        <f>G209/(100-BE209)*100</f>
      </c>
      <c r="BE209" s="57" t="n">
        <v>0</v>
      </c>
      <c r="BF209" s="57">
        <f>209</f>
      </c>
      <c r="BH209" s="57">
        <f>F209*AO209</f>
      </c>
      <c r="BI209" s="57">
        <f>F209*AP209</f>
      </c>
      <c r="BJ209" s="57">
        <f>F209*G209</f>
      </c>
      <c r="BK209" s="60" t="s">
        <v>98</v>
      </c>
      <c r="BL209" s="57" t="n">
        <v>95</v>
      </c>
      <c r="BW209" s="57" t="n">
        <v>12</v>
      </c>
      <c r="BX209" s="16" t="s">
        <v>551</v>
      </c>
    </row>
    <row r="210">
      <c r="A210" s="10" t="s">
        <v>552</v>
      </c>
      <c r="B210" s="11" t="s">
        <v>138</v>
      </c>
      <c r="C210" s="16" t="s">
        <v>553</v>
      </c>
      <c r="D210" s="11"/>
      <c r="E210" s="11" t="s">
        <v>174</v>
      </c>
      <c r="F210" s="57" t="n">
        <v>142</v>
      </c>
      <c r="G210" s="58" t="n">
        <v>0</v>
      </c>
      <c r="H210" s="57">
        <f>ROUND(F210*AO210,2)</f>
      </c>
      <c r="I210" s="57">
        <f>ROUND(F210*AP210,2)</f>
      </c>
      <c r="J210" s="57">
        <f>ROUND(F210*G210,2)</f>
      </c>
      <c r="K210" s="59" t="s">
        <v>140</v>
      </c>
      <c r="Z210" s="57">
        <f>ROUND(IF(AQ210="5",BJ210,0),2)</f>
      </c>
      <c r="AB210" s="57">
        <f>ROUND(IF(AQ210="1",BH210,0),2)</f>
      </c>
      <c r="AC210" s="57">
        <f>ROUND(IF(AQ210="1",BI210,0),2)</f>
      </c>
      <c r="AD210" s="57">
        <f>ROUND(IF(AQ210="7",BH210,0),2)</f>
      </c>
      <c r="AE210" s="57">
        <f>ROUND(IF(AQ210="7",BI210,0),2)</f>
      </c>
      <c r="AF210" s="57">
        <f>ROUND(IF(AQ210="2",BH210,0),2)</f>
      </c>
      <c r="AG210" s="57">
        <f>ROUND(IF(AQ210="2",BI210,0),2)</f>
      </c>
      <c r="AH210" s="57">
        <f>ROUND(IF(AQ210="0",BJ210,0),2)</f>
      </c>
      <c r="AI210" s="33" t="s">
        <v>57</v>
      </c>
      <c r="AJ210" s="57">
        <f>IF(AN210=0,J210,0)</f>
      </c>
      <c r="AK210" s="57">
        <f>IF(AN210=12,J210,0)</f>
      </c>
      <c r="AL210" s="57">
        <f>IF(AN210=21,J210,0)</f>
      </c>
      <c r="AN210" s="57" t="n">
        <v>12</v>
      </c>
      <c r="AO210" s="57">
        <f>G210*1</f>
      </c>
      <c r="AP210" s="57">
        <f>G210*(1-1)</f>
      </c>
      <c r="AQ210" s="60" t="s">
        <v>58</v>
      </c>
      <c r="AV210" s="57">
        <f>ROUND(AW210+AX210,2)</f>
      </c>
      <c r="AW210" s="57">
        <f>ROUND(F210*AO210,2)</f>
      </c>
      <c r="AX210" s="57">
        <f>ROUND(F210*AP210,2)</f>
      </c>
      <c r="AY210" s="60" t="s">
        <v>539</v>
      </c>
      <c r="AZ210" s="60" t="s">
        <v>540</v>
      </c>
      <c r="BA210" s="33" t="s">
        <v>65</v>
      </c>
      <c r="BC210" s="57">
        <f>AW210+AX210</f>
      </c>
      <c r="BD210" s="57">
        <f>G210/(100-BE210)*100</f>
      </c>
      <c r="BE210" s="57" t="n">
        <v>0</v>
      </c>
      <c r="BF210" s="57">
        <f>210</f>
      </c>
      <c r="BH210" s="57">
        <f>F210*AO210</f>
      </c>
      <c r="BI210" s="57">
        <f>F210*AP210</f>
      </c>
      <c r="BJ210" s="57">
        <f>F210*G210</f>
      </c>
      <c r="BK210" s="60" t="s">
        <v>98</v>
      </c>
      <c r="BL210" s="57" t="n">
        <v>95</v>
      </c>
      <c r="BW210" s="57" t="n">
        <v>12</v>
      </c>
      <c r="BX210" s="16" t="s">
        <v>553</v>
      </c>
    </row>
    <row r="211">
      <c r="A211" s="51" t="s">
        <v>53</v>
      </c>
      <c r="B211" s="52" t="s">
        <v>376</v>
      </c>
      <c r="C211" s="53" t="s">
        <v>554</v>
      </c>
      <c r="D211" s="52"/>
      <c r="E211" s="54" t="s">
        <v>4</v>
      </c>
      <c r="F211" s="54" t="s">
        <v>4</v>
      </c>
      <c r="G211" s="55" t="s">
        <v>4</v>
      </c>
      <c r="H211" s="2">
        <f>ROUND(SUM(H212:H215),2)</f>
      </c>
      <c r="I211" s="2">
        <f>ROUND(SUM(I212:I215),2)</f>
      </c>
      <c r="J211" s="2">
        <f>ROUND(SUM(J212:J215),2)</f>
      </c>
      <c r="K211" s="56" t="s">
        <v>53</v>
      </c>
      <c r="AI211" s="33" t="s">
        <v>57</v>
      </c>
      <c r="AS211" s="2">
        <f>SUM(AJ212:AJ215)</f>
      </c>
      <c r="AT211" s="2">
        <f>SUM(AK212:AK215)</f>
      </c>
      <c r="AU211" s="2">
        <f>SUM(AL212:AL215)</f>
      </c>
    </row>
    <row r="212">
      <c r="A212" s="10" t="s">
        <v>555</v>
      </c>
      <c r="B212" s="11" t="s">
        <v>556</v>
      </c>
      <c r="C212" s="16" t="s">
        <v>557</v>
      </c>
      <c r="D212" s="11"/>
      <c r="E212" s="11" t="s">
        <v>61</v>
      </c>
      <c r="F212" s="57" t="n">
        <v>42.05625</v>
      </c>
      <c r="G212" s="58" t="n">
        <v>0</v>
      </c>
      <c r="H212" s="57">
        <f>ROUND(F212*AO212,2)</f>
      </c>
      <c r="I212" s="57">
        <f>ROUND(F212*AP212,2)</f>
      </c>
      <c r="J212" s="57">
        <f>ROUND(F212*G212,2)</f>
      </c>
      <c r="K212" s="59" t="s">
        <v>62</v>
      </c>
      <c r="Z212" s="57">
        <f>ROUND(IF(AQ212="5",BJ212,0),2)</f>
      </c>
      <c r="AB212" s="57">
        <f>ROUND(IF(AQ212="1",BH212,0),2)</f>
      </c>
      <c r="AC212" s="57">
        <f>ROUND(IF(AQ212="1",BI212,0),2)</f>
      </c>
      <c r="AD212" s="57">
        <f>ROUND(IF(AQ212="7",BH212,0),2)</f>
      </c>
      <c r="AE212" s="57">
        <f>ROUND(IF(AQ212="7",BI212,0),2)</f>
      </c>
      <c r="AF212" s="57">
        <f>ROUND(IF(AQ212="2",BH212,0),2)</f>
      </c>
      <c r="AG212" s="57">
        <f>ROUND(IF(AQ212="2",BI212,0),2)</f>
      </c>
      <c r="AH212" s="57">
        <f>ROUND(IF(AQ212="0",BJ212,0),2)</f>
      </c>
      <c r="AI212" s="33" t="s">
        <v>57</v>
      </c>
      <c r="AJ212" s="57">
        <f>IF(AN212=0,J212,0)</f>
      </c>
      <c r="AK212" s="57">
        <f>IF(AN212=12,J212,0)</f>
      </c>
      <c r="AL212" s="57">
        <f>IF(AN212=21,J212,0)</f>
      </c>
      <c r="AN212" s="57" t="n">
        <v>12</v>
      </c>
      <c r="AO212" s="57">
        <f>G212*0.110718181</f>
      </c>
      <c r="AP212" s="57">
        <f>G212*(1-0.110718181)</f>
      </c>
      <c r="AQ212" s="60" t="s">
        <v>58</v>
      </c>
      <c r="AV212" s="57">
        <f>ROUND(AW212+AX212,2)</f>
      </c>
      <c r="AW212" s="57">
        <f>ROUND(F212*AO212,2)</f>
      </c>
      <c r="AX212" s="57">
        <f>ROUND(F212*AP212,2)</f>
      </c>
      <c r="AY212" s="60" t="s">
        <v>558</v>
      </c>
      <c r="AZ212" s="60" t="s">
        <v>559</v>
      </c>
      <c r="BA212" s="33" t="s">
        <v>65</v>
      </c>
      <c r="BB212" s="61" t="n">
        <v>100098</v>
      </c>
      <c r="BC212" s="57">
        <f>AW212+AX212</f>
      </c>
      <c r="BD212" s="57">
        <f>G212/(100-BE212)*100</f>
      </c>
      <c r="BE212" s="57" t="n">
        <v>0</v>
      </c>
      <c r="BF212" s="57">
        <f>212</f>
      </c>
      <c r="BH212" s="57">
        <f>F212*AO212</f>
      </c>
      <c r="BI212" s="57">
        <f>F212*AP212</f>
      </c>
      <c r="BJ212" s="57">
        <f>F212*G212</f>
      </c>
      <c r="BK212" s="60" t="s">
        <v>66</v>
      </c>
      <c r="BL212" s="57" t="n">
        <v>96</v>
      </c>
      <c r="BW212" s="57" t="n">
        <v>12</v>
      </c>
      <c r="BX212" s="16" t="s">
        <v>557</v>
      </c>
    </row>
    <row r="213">
      <c r="A213" s="10" t="s">
        <v>560</v>
      </c>
      <c r="B213" s="11" t="s">
        <v>561</v>
      </c>
      <c r="C213" s="16" t="s">
        <v>562</v>
      </c>
      <c r="D213" s="11"/>
      <c r="E213" s="11" t="s">
        <v>61</v>
      </c>
      <c r="F213" s="57" t="n">
        <v>60.4485</v>
      </c>
      <c r="G213" s="58" t="n">
        <v>0</v>
      </c>
      <c r="H213" s="57">
        <f>ROUND(F213*AO213,2)</f>
      </c>
      <c r="I213" s="57">
        <f>ROUND(F213*AP213,2)</f>
      </c>
      <c r="J213" s="57">
        <f>ROUND(F213*G213,2)</f>
      </c>
      <c r="K213" s="59" t="s">
        <v>62</v>
      </c>
      <c r="Z213" s="57">
        <f>ROUND(IF(AQ213="5",BJ213,0),2)</f>
      </c>
      <c r="AB213" s="57">
        <f>ROUND(IF(AQ213="1",BH213,0),2)</f>
      </c>
      <c r="AC213" s="57">
        <f>ROUND(IF(AQ213="1",BI213,0),2)</f>
      </c>
      <c r="AD213" s="57">
        <f>ROUND(IF(AQ213="7",BH213,0),2)</f>
      </c>
      <c r="AE213" s="57">
        <f>ROUND(IF(AQ213="7",BI213,0),2)</f>
      </c>
      <c r="AF213" s="57">
        <f>ROUND(IF(AQ213="2",BH213,0),2)</f>
      </c>
      <c r="AG213" s="57">
        <f>ROUND(IF(AQ213="2",BI213,0),2)</f>
      </c>
      <c r="AH213" s="57">
        <f>ROUND(IF(AQ213="0",BJ213,0),2)</f>
      </c>
      <c r="AI213" s="33" t="s">
        <v>57</v>
      </c>
      <c r="AJ213" s="57">
        <f>IF(AN213=0,J213,0)</f>
      </c>
      <c r="AK213" s="57">
        <f>IF(AN213=12,J213,0)</f>
      </c>
      <c r="AL213" s="57">
        <f>IF(AN213=21,J213,0)</f>
      </c>
      <c r="AN213" s="57" t="n">
        <v>12</v>
      </c>
      <c r="AO213" s="57">
        <f>G213*0</f>
      </c>
      <c r="AP213" s="57">
        <f>G213*(1-0)</f>
      </c>
      <c r="AQ213" s="60" t="s">
        <v>58</v>
      </c>
      <c r="AV213" s="57">
        <f>ROUND(AW213+AX213,2)</f>
      </c>
      <c r="AW213" s="57">
        <f>ROUND(F213*AO213,2)</f>
      </c>
      <c r="AX213" s="57">
        <f>ROUND(F213*AP213,2)</f>
      </c>
      <c r="AY213" s="60" t="s">
        <v>558</v>
      </c>
      <c r="AZ213" s="60" t="s">
        <v>559</v>
      </c>
      <c r="BA213" s="33" t="s">
        <v>65</v>
      </c>
      <c r="BB213" s="61" t="n">
        <v>100098</v>
      </c>
      <c r="BC213" s="57">
        <f>AW213+AX213</f>
      </c>
      <c r="BD213" s="57">
        <f>G213/(100-BE213)*100</f>
      </c>
      <c r="BE213" s="57" t="n">
        <v>0</v>
      </c>
      <c r="BF213" s="57">
        <f>213</f>
      </c>
      <c r="BH213" s="57">
        <f>F213*AO213</f>
      </c>
      <c r="BI213" s="57">
        <f>F213*AP213</f>
      </c>
      <c r="BJ213" s="57">
        <f>F213*G213</f>
      </c>
      <c r="BK213" s="60" t="s">
        <v>66</v>
      </c>
      <c r="BL213" s="57" t="n">
        <v>96</v>
      </c>
      <c r="BW213" s="57" t="n">
        <v>12</v>
      </c>
      <c r="BX213" s="16" t="s">
        <v>562</v>
      </c>
    </row>
    <row r="214">
      <c r="A214" s="10" t="s">
        <v>563</v>
      </c>
      <c r="B214" s="11" t="s">
        <v>564</v>
      </c>
      <c r="C214" s="16" t="s">
        <v>565</v>
      </c>
      <c r="D214" s="11"/>
      <c r="E214" s="11" t="s">
        <v>174</v>
      </c>
      <c r="F214" s="57" t="n">
        <v>32</v>
      </c>
      <c r="G214" s="58" t="n">
        <v>0</v>
      </c>
      <c r="H214" s="57">
        <f>ROUND(F214*AO214,2)</f>
      </c>
      <c r="I214" s="57">
        <f>ROUND(F214*AP214,2)</f>
      </c>
      <c r="J214" s="57">
        <f>ROUND(F214*G214,2)</f>
      </c>
      <c r="K214" s="59" t="s">
        <v>62</v>
      </c>
      <c r="Z214" s="57">
        <f>ROUND(IF(AQ214="5",BJ214,0),2)</f>
      </c>
      <c r="AB214" s="57">
        <f>ROUND(IF(AQ214="1",BH214,0),2)</f>
      </c>
      <c r="AC214" s="57">
        <f>ROUND(IF(AQ214="1",BI214,0),2)</f>
      </c>
      <c r="AD214" s="57">
        <f>ROUND(IF(AQ214="7",BH214,0),2)</f>
      </c>
      <c r="AE214" s="57">
        <f>ROUND(IF(AQ214="7",BI214,0),2)</f>
      </c>
      <c r="AF214" s="57">
        <f>ROUND(IF(AQ214="2",BH214,0),2)</f>
      </c>
      <c r="AG214" s="57">
        <f>ROUND(IF(AQ214="2",BI214,0),2)</f>
      </c>
      <c r="AH214" s="57">
        <f>ROUND(IF(AQ214="0",BJ214,0),2)</f>
      </c>
      <c r="AI214" s="33" t="s">
        <v>57</v>
      </c>
      <c r="AJ214" s="57">
        <f>IF(AN214=0,J214,0)</f>
      </c>
      <c r="AK214" s="57">
        <f>IF(AN214=12,J214,0)</f>
      </c>
      <c r="AL214" s="57">
        <f>IF(AN214=21,J214,0)</f>
      </c>
      <c r="AN214" s="57" t="n">
        <v>12</v>
      </c>
      <c r="AO214" s="57">
        <f>G214*0</f>
      </c>
      <c r="AP214" s="57">
        <f>G214*(1-0)</f>
      </c>
      <c r="AQ214" s="60" t="s">
        <v>58</v>
      </c>
      <c r="AV214" s="57">
        <f>ROUND(AW214+AX214,2)</f>
      </c>
      <c r="AW214" s="57">
        <f>ROUND(F214*AO214,2)</f>
      </c>
      <c r="AX214" s="57">
        <f>ROUND(F214*AP214,2)</f>
      </c>
      <c r="AY214" s="60" t="s">
        <v>558</v>
      </c>
      <c r="AZ214" s="60" t="s">
        <v>559</v>
      </c>
      <c r="BA214" s="33" t="s">
        <v>65</v>
      </c>
      <c r="BB214" s="61" t="n">
        <v>100098</v>
      </c>
      <c r="BC214" s="57">
        <f>AW214+AX214</f>
      </c>
      <c r="BD214" s="57">
        <f>G214/(100-BE214)*100</f>
      </c>
      <c r="BE214" s="57" t="n">
        <v>0</v>
      </c>
      <c r="BF214" s="57">
        <f>214</f>
      </c>
      <c r="BH214" s="57">
        <f>F214*AO214</f>
      </c>
      <c r="BI214" s="57">
        <f>F214*AP214</f>
      </c>
      <c r="BJ214" s="57">
        <f>F214*G214</f>
      </c>
      <c r="BK214" s="60" t="s">
        <v>66</v>
      </c>
      <c r="BL214" s="57" t="n">
        <v>96</v>
      </c>
      <c r="BW214" s="57" t="n">
        <v>12</v>
      </c>
      <c r="BX214" s="16" t="s">
        <v>565</v>
      </c>
    </row>
    <row r="215">
      <c r="A215" s="10" t="s">
        <v>566</v>
      </c>
      <c r="B215" s="11" t="s">
        <v>567</v>
      </c>
      <c r="C215" s="16" t="s">
        <v>568</v>
      </c>
      <c r="D215" s="11"/>
      <c r="E215" s="11" t="s">
        <v>61</v>
      </c>
      <c r="F215" s="57" t="n">
        <v>17.28</v>
      </c>
      <c r="G215" s="58" t="n">
        <v>0</v>
      </c>
      <c r="H215" s="57">
        <f>ROUND(F215*AO215,2)</f>
      </c>
      <c r="I215" s="57">
        <f>ROUND(F215*AP215,2)</f>
      </c>
      <c r="J215" s="57">
        <f>ROUND(F215*G215,2)</f>
      </c>
      <c r="K215" s="59" t="s">
        <v>62</v>
      </c>
      <c r="Z215" s="57">
        <f>ROUND(IF(AQ215="5",BJ215,0),2)</f>
      </c>
      <c r="AB215" s="57">
        <f>ROUND(IF(AQ215="1",BH215,0),2)</f>
      </c>
      <c r="AC215" s="57">
        <f>ROUND(IF(AQ215="1",BI215,0),2)</f>
      </c>
      <c r="AD215" s="57">
        <f>ROUND(IF(AQ215="7",BH215,0),2)</f>
      </c>
      <c r="AE215" s="57">
        <f>ROUND(IF(AQ215="7",BI215,0),2)</f>
      </c>
      <c r="AF215" s="57">
        <f>ROUND(IF(AQ215="2",BH215,0),2)</f>
      </c>
      <c r="AG215" s="57">
        <f>ROUND(IF(AQ215="2",BI215,0),2)</f>
      </c>
      <c r="AH215" s="57">
        <f>ROUND(IF(AQ215="0",BJ215,0),2)</f>
      </c>
      <c r="AI215" s="33" t="s">
        <v>57</v>
      </c>
      <c r="AJ215" s="57">
        <f>IF(AN215=0,J215,0)</f>
      </c>
      <c r="AK215" s="57">
        <f>IF(AN215=12,J215,0)</f>
      </c>
      <c r="AL215" s="57">
        <f>IF(AN215=21,J215,0)</f>
      </c>
      <c r="AN215" s="57" t="n">
        <v>12</v>
      </c>
      <c r="AO215" s="57">
        <f>G215*0.103776487</f>
      </c>
      <c r="AP215" s="57">
        <f>G215*(1-0.103776487)</f>
      </c>
      <c r="AQ215" s="60" t="s">
        <v>58</v>
      </c>
      <c r="AV215" s="57">
        <f>ROUND(AW215+AX215,2)</f>
      </c>
      <c r="AW215" s="57">
        <f>ROUND(F215*AO215,2)</f>
      </c>
      <c r="AX215" s="57">
        <f>ROUND(F215*AP215,2)</f>
      </c>
      <c r="AY215" s="60" t="s">
        <v>558</v>
      </c>
      <c r="AZ215" s="60" t="s">
        <v>559</v>
      </c>
      <c r="BA215" s="33" t="s">
        <v>65</v>
      </c>
      <c r="BB215" s="61" t="n">
        <v>100098</v>
      </c>
      <c r="BC215" s="57">
        <f>AW215+AX215</f>
      </c>
      <c r="BD215" s="57">
        <f>G215/(100-BE215)*100</f>
      </c>
      <c r="BE215" s="57" t="n">
        <v>0</v>
      </c>
      <c r="BF215" s="57">
        <f>215</f>
      </c>
      <c r="BH215" s="57">
        <f>F215*AO215</f>
      </c>
      <c r="BI215" s="57">
        <f>F215*AP215</f>
      </c>
      <c r="BJ215" s="57">
        <f>F215*G215</f>
      </c>
      <c r="BK215" s="60" t="s">
        <v>66</v>
      </c>
      <c r="BL215" s="57" t="n">
        <v>96</v>
      </c>
      <c r="BW215" s="57" t="n">
        <v>12</v>
      </c>
      <c r="BX215" s="16" t="s">
        <v>568</v>
      </c>
    </row>
    <row r="216">
      <c r="A216" s="51" t="s">
        <v>53</v>
      </c>
      <c r="B216" s="52" t="s">
        <v>377</v>
      </c>
      <c r="C216" s="53" t="s">
        <v>569</v>
      </c>
      <c r="D216" s="52"/>
      <c r="E216" s="54" t="s">
        <v>4</v>
      </c>
      <c r="F216" s="54" t="s">
        <v>4</v>
      </c>
      <c r="G216" s="55" t="s">
        <v>4</v>
      </c>
      <c r="H216" s="2">
        <f>ROUND(SUM(H217:H219),2)</f>
      </c>
      <c r="I216" s="2">
        <f>ROUND(SUM(I217:I219),2)</f>
      </c>
      <c r="J216" s="2">
        <f>ROUND(SUM(J217:J219),2)</f>
      </c>
      <c r="K216" s="56" t="s">
        <v>53</v>
      </c>
      <c r="AI216" s="33" t="s">
        <v>57</v>
      </c>
      <c r="AS216" s="2">
        <f>SUM(AJ217:AJ219)</f>
      </c>
      <c r="AT216" s="2">
        <f>SUM(AK217:AK219)</f>
      </c>
      <c r="AU216" s="2">
        <f>SUM(AL217:AL219)</f>
      </c>
    </row>
    <row r="217">
      <c r="A217" s="10" t="s">
        <v>570</v>
      </c>
      <c r="B217" s="11" t="s">
        <v>571</v>
      </c>
      <c r="C217" s="16" t="s">
        <v>572</v>
      </c>
      <c r="D217" s="11"/>
      <c r="E217" s="11" t="s">
        <v>61</v>
      </c>
      <c r="F217" s="57" t="n">
        <v>3107.35997</v>
      </c>
      <c r="G217" s="58" t="n">
        <v>0</v>
      </c>
      <c r="H217" s="57">
        <f>ROUND(F217*AO217,2)</f>
      </c>
      <c r="I217" s="57">
        <f>ROUND(F217*AP217,2)</f>
      </c>
      <c r="J217" s="57">
        <f>ROUND(F217*G217,2)</f>
      </c>
      <c r="K217" s="59" t="s">
        <v>62</v>
      </c>
      <c r="Z217" s="57">
        <f>ROUND(IF(AQ217="5",BJ217,0),2)</f>
      </c>
      <c r="AB217" s="57">
        <f>ROUND(IF(AQ217="1",BH217,0),2)</f>
      </c>
      <c r="AC217" s="57">
        <f>ROUND(IF(AQ217="1",BI217,0),2)</f>
      </c>
      <c r="AD217" s="57">
        <f>ROUND(IF(AQ217="7",BH217,0),2)</f>
      </c>
      <c r="AE217" s="57">
        <f>ROUND(IF(AQ217="7",BI217,0),2)</f>
      </c>
      <c r="AF217" s="57">
        <f>ROUND(IF(AQ217="2",BH217,0),2)</f>
      </c>
      <c r="AG217" s="57">
        <f>ROUND(IF(AQ217="2",BI217,0),2)</f>
      </c>
      <c r="AH217" s="57">
        <f>ROUND(IF(AQ217="0",BJ217,0),2)</f>
      </c>
      <c r="AI217" s="33" t="s">
        <v>57</v>
      </c>
      <c r="AJ217" s="57">
        <f>IF(AN217=0,J217,0)</f>
      </c>
      <c r="AK217" s="57">
        <f>IF(AN217=12,J217,0)</f>
      </c>
      <c r="AL217" s="57">
        <f>IF(AN217=21,J217,0)</f>
      </c>
      <c r="AN217" s="57" t="n">
        <v>12</v>
      </c>
      <c r="AO217" s="57">
        <f>G217*0</f>
      </c>
      <c r="AP217" s="57">
        <f>G217*(1-0)</f>
      </c>
      <c r="AQ217" s="60" t="s">
        <v>58</v>
      </c>
      <c r="AV217" s="57">
        <f>ROUND(AW217+AX217,2)</f>
      </c>
      <c r="AW217" s="57">
        <f>ROUND(F217*AO217,2)</f>
      </c>
      <c r="AX217" s="57">
        <f>ROUND(F217*AP217,2)</f>
      </c>
      <c r="AY217" s="60" t="s">
        <v>573</v>
      </c>
      <c r="AZ217" s="60" t="s">
        <v>574</v>
      </c>
      <c r="BA217" s="33" t="s">
        <v>65</v>
      </c>
      <c r="BB217" s="61" t="n">
        <v>100099</v>
      </c>
      <c r="BC217" s="57">
        <f>AW217+AX217</f>
      </c>
      <c r="BD217" s="57">
        <f>G217/(100-BE217)*100</f>
      </c>
      <c r="BE217" s="57" t="n">
        <v>0</v>
      </c>
      <c r="BF217" s="57">
        <f>217</f>
      </c>
      <c r="BH217" s="57">
        <f>F217*AO217</f>
      </c>
      <c r="BI217" s="57">
        <f>F217*AP217</f>
      </c>
      <c r="BJ217" s="57">
        <f>F217*G217</f>
      </c>
      <c r="BK217" s="60" t="s">
        <v>66</v>
      </c>
      <c r="BL217" s="57" t="n">
        <v>97</v>
      </c>
      <c r="BW217" s="57" t="n">
        <v>12</v>
      </c>
      <c r="BX217" s="16" t="s">
        <v>572</v>
      </c>
    </row>
    <row r="218">
      <c r="A218" s="10" t="s">
        <v>575</v>
      </c>
      <c r="B218" s="11" t="s">
        <v>576</v>
      </c>
      <c r="C218" s="16" t="s">
        <v>577</v>
      </c>
      <c r="D218" s="11"/>
      <c r="E218" s="11" t="s">
        <v>61</v>
      </c>
      <c r="F218" s="57" t="n">
        <v>130.58</v>
      </c>
      <c r="G218" s="58" t="n">
        <v>0</v>
      </c>
      <c r="H218" s="57">
        <f>ROUND(F218*AO218,2)</f>
      </c>
      <c r="I218" s="57">
        <f>ROUND(F218*AP218,2)</f>
      </c>
      <c r="J218" s="57">
        <f>ROUND(F218*G218,2)</f>
      </c>
      <c r="K218" s="59" t="s">
        <v>62</v>
      </c>
      <c r="Z218" s="57">
        <f>ROUND(IF(AQ218="5",BJ218,0),2)</f>
      </c>
      <c r="AB218" s="57">
        <f>ROUND(IF(AQ218="1",BH218,0),2)</f>
      </c>
      <c r="AC218" s="57">
        <f>ROUND(IF(AQ218="1",BI218,0),2)</f>
      </c>
      <c r="AD218" s="57">
        <f>ROUND(IF(AQ218="7",BH218,0),2)</f>
      </c>
      <c r="AE218" s="57">
        <f>ROUND(IF(AQ218="7",BI218,0),2)</f>
      </c>
      <c r="AF218" s="57">
        <f>ROUND(IF(AQ218="2",BH218,0),2)</f>
      </c>
      <c r="AG218" s="57">
        <f>ROUND(IF(AQ218="2",BI218,0),2)</f>
      </c>
      <c r="AH218" s="57">
        <f>ROUND(IF(AQ218="0",BJ218,0),2)</f>
      </c>
      <c r="AI218" s="33" t="s">
        <v>57</v>
      </c>
      <c r="AJ218" s="57">
        <f>IF(AN218=0,J218,0)</f>
      </c>
      <c r="AK218" s="57">
        <f>IF(AN218=12,J218,0)</f>
      </c>
      <c r="AL218" s="57">
        <f>IF(AN218=21,J218,0)</f>
      </c>
      <c r="AN218" s="57" t="n">
        <v>12</v>
      </c>
      <c r="AO218" s="57">
        <f>G218*0</f>
      </c>
      <c r="AP218" s="57">
        <f>G218*(1-0)</f>
      </c>
      <c r="AQ218" s="60" t="s">
        <v>58</v>
      </c>
      <c r="AV218" s="57">
        <f>ROUND(AW218+AX218,2)</f>
      </c>
      <c r="AW218" s="57">
        <f>ROUND(F218*AO218,2)</f>
      </c>
      <c r="AX218" s="57">
        <f>ROUND(F218*AP218,2)</f>
      </c>
      <c r="AY218" s="60" t="s">
        <v>573</v>
      </c>
      <c r="AZ218" s="60" t="s">
        <v>574</v>
      </c>
      <c r="BA218" s="33" t="s">
        <v>65</v>
      </c>
      <c r="BB218" s="61" t="n">
        <v>100099</v>
      </c>
      <c r="BC218" s="57">
        <f>AW218+AX218</f>
      </c>
      <c r="BD218" s="57">
        <f>G218/(100-BE218)*100</f>
      </c>
      <c r="BE218" s="57" t="n">
        <v>0</v>
      </c>
      <c r="BF218" s="57">
        <f>218</f>
      </c>
      <c r="BH218" s="57">
        <f>F218*AO218</f>
      </c>
      <c r="BI218" s="57">
        <f>F218*AP218</f>
      </c>
      <c r="BJ218" s="57">
        <f>F218*G218</f>
      </c>
      <c r="BK218" s="60" t="s">
        <v>66</v>
      </c>
      <c r="BL218" s="57" t="n">
        <v>97</v>
      </c>
      <c r="BW218" s="57" t="n">
        <v>12</v>
      </c>
      <c r="BX218" s="16" t="s">
        <v>577</v>
      </c>
    </row>
    <row r="219">
      <c r="A219" s="10" t="s">
        <v>578</v>
      </c>
      <c r="B219" s="11" t="s">
        <v>579</v>
      </c>
      <c r="C219" s="16" t="s">
        <v>580</v>
      </c>
      <c r="D219" s="11"/>
      <c r="E219" s="11" t="s">
        <v>61</v>
      </c>
      <c r="F219" s="57" t="n">
        <v>44.802</v>
      </c>
      <c r="G219" s="58" t="n">
        <v>0</v>
      </c>
      <c r="H219" s="57">
        <f>ROUND(F219*AO219,2)</f>
      </c>
      <c r="I219" s="57">
        <f>ROUND(F219*AP219,2)</f>
      </c>
      <c r="J219" s="57">
        <f>ROUND(F219*G219,2)</f>
      </c>
      <c r="K219" s="59" t="s">
        <v>62</v>
      </c>
      <c r="Z219" s="57">
        <f>ROUND(IF(AQ219="5",BJ219,0),2)</f>
      </c>
      <c r="AB219" s="57">
        <f>ROUND(IF(AQ219="1",BH219,0),2)</f>
      </c>
      <c r="AC219" s="57">
        <f>ROUND(IF(AQ219="1",BI219,0),2)</f>
      </c>
      <c r="AD219" s="57">
        <f>ROUND(IF(AQ219="7",BH219,0),2)</f>
      </c>
      <c r="AE219" s="57">
        <f>ROUND(IF(AQ219="7",BI219,0),2)</f>
      </c>
      <c r="AF219" s="57">
        <f>ROUND(IF(AQ219="2",BH219,0),2)</f>
      </c>
      <c r="AG219" s="57">
        <f>ROUND(IF(AQ219="2",BI219,0),2)</f>
      </c>
      <c r="AH219" s="57">
        <f>ROUND(IF(AQ219="0",BJ219,0),2)</f>
      </c>
      <c r="AI219" s="33" t="s">
        <v>57</v>
      </c>
      <c r="AJ219" s="57">
        <f>IF(AN219=0,J219,0)</f>
      </c>
      <c r="AK219" s="57">
        <f>IF(AN219=12,J219,0)</f>
      </c>
      <c r="AL219" s="57">
        <f>IF(AN219=21,J219,0)</f>
      </c>
      <c r="AN219" s="57" t="n">
        <v>12</v>
      </c>
      <c r="AO219" s="57">
        <f>G219*0</f>
      </c>
      <c r="AP219" s="57">
        <f>G219*(1-0)</f>
      </c>
      <c r="AQ219" s="60" t="s">
        <v>58</v>
      </c>
      <c r="AV219" s="57">
        <f>ROUND(AW219+AX219,2)</f>
      </c>
      <c r="AW219" s="57">
        <f>ROUND(F219*AO219,2)</f>
      </c>
      <c r="AX219" s="57">
        <f>ROUND(F219*AP219,2)</f>
      </c>
      <c r="AY219" s="60" t="s">
        <v>573</v>
      </c>
      <c r="AZ219" s="60" t="s">
        <v>574</v>
      </c>
      <c r="BA219" s="33" t="s">
        <v>65</v>
      </c>
      <c r="BB219" s="61" t="n">
        <v>100099</v>
      </c>
      <c r="BC219" s="57">
        <f>AW219+AX219</f>
      </c>
      <c r="BD219" s="57">
        <f>G219/(100-BE219)*100</f>
      </c>
      <c r="BE219" s="57" t="n">
        <v>0</v>
      </c>
      <c r="BF219" s="57">
        <f>219</f>
      </c>
      <c r="BH219" s="57">
        <f>F219*AO219</f>
      </c>
      <c r="BI219" s="57">
        <f>F219*AP219</f>
      </c>
      <c r="BJ219" s="57">
        <f>F219*G219</f>
      </c>
      <c r="BK219" s="60" t="s">
        <v>66</v>
      </c>
      <c r="BL219" s="57" t="n">
        <v>97</v>
      </c>
      <c r="BW219" s="57" t="n">
        <v>12</v>
      </c>
      <c r="BX219" s="16" t="s">
        <v>580</v>
      </c>
    </row>
    <row r="220">
      <c r="A220" s="51" t="s">
        <v>53</v>
      </c>
      <c r="B220" s="52" t="s">
        <v>581</v>
      </c>
      <c r="C220" s="53" t="s">
        <v>582</v>
      </c>
      <c r="D220" s="52"/>
      <c r="E220" s="54" t="s">
        <v>4</v>
      </c>
      <c r="F220" s="54" t="s">
        <v>4</v>
      </c>
      <c r="G220" s="55" t="s">
        <v>4</v>
      </c>
      <c r="H220" s="2">
        <f>ROUND(SUM(H221:H221),2)</f>
      </c>
      <c r="I220" s="2">
        <f>ROUND(SUM(I221:I221),2)</f>
      </c>
      <c r="J220" s="2">
        <f>ROUND(SUM(J221:J221),2)</f>
      </c>
      <c r="K220" s="56" t="s">
        <v>53</v>
      </c>
      <c r="AI220" s="33" t="s">
        <v>57</v>
      </c>
      <c r="AS220" s="2">
        <f>SUM(AJ221:AJ221)</f>
      </c>
      <c r="AT220" s="2">
        <f>SUM(AK221:AK221)</f>
      </c>
      <c r="AU220" s="2">
        <f>SUM(AL221:AL221)</f>
      </c>
    </row>
    <row r="221">
      <c r="A221" s="10" t="s">
        <v>583</v>
      </c>
      <c r="B221" s="11" t="s">
        <v>584</v>
      </c>
      <c r="C221" s="16" t="s">
        <v>585</v>
      </c>
      <c r="D221" s="11"/>
      <c r="E221" s="11" t="s">
        <v>314</v>
      </c>
      <c r="F221" s="57" t="n">
        <v>271.40519</v>
      </c>
      <c r="G221" s="58" t="n">
        <v>0</v>
      </c>
      <c r="H221" s="57">
        <f>ROUND(F221*AO221,2)</f>
      </c>
      <c r="I221" s="57">
        <f>ROUND(F221*AP221,2)</f>
      </c>
      <c r="J221" s="57">
        <f>ROUND(F221*G221,2)</f>
      </c>
      <c r="K221" s="59" t="s">
        <v>62</v>
      </c>
      <c r="Z221" s="57">
        <f>ROUND(IF(AQ221="5",BJ221,0),2)</f>
      </c>
      <c r="AB221" s="57">
        <f>ROUND(IF(AQ221="1",BH221,0),2)</f>
      </c>
      <c r="AC221" s="57">
        <f>ROUND(IF(AQ221="1",BI221,0),2)</f>
      </c>
      <c r="AD221" s="57">
        <f>ROUND(IF(AQ221="7",BH221,0),2)</f>
      </c>
      <c r="AE221" s="57">
        <f>ROUND(IF(AQ221="7",BI221,0),2)</f>
      </c>
      <c r="AF221" s="57">
        <f>ROUND(IF(AQ221="2",BH221,0),2)</f>
      </c>
      <c r="AG221" s="57">
        <f>ROUND(IF(AQ221="2",BI221,0),2)</f>
      </c>
      <c r="AH221" s="57">
        <f>ROUND(IF(AQ221="0",BJ221,0),2)</f>
      </c>
      <c r="AI221" s="33" t="s">
        <v>57</v>
      </c>
      <c r="AJ221" s="57">
        <f>IF(AN221=0,J221,0)</f>
      </c>
      <c r="AK221" s="57">
        <f>IF(AN221=12,J221,0)</f>
      </c>
      <c r="AL221" s="57">
        <f>IF(AN221=21,J221,0)</f>
      </c>
      <c r="AN221" s="57" t="n">
        <v>12</v>
      </c>
      <c r="AO221" s="57">
        <f>G221*0</f>
      </c>
      <c r="AP221" s="57">
        <f>G221*(1-0)</f>
      </c>
      <c r="AQ221" s="60" t="s">
        <v>76</v>
      </c>
      <c r="AV221" s="57">
        <f>ROUND(AW221+AX221,2)</f>
      </c>
      <c r="AW221" s="57">
        <f>ROUND(F221*AO221,2)</f>
      </c>
      <c r="AX221" s="57">
        <f>ROUND(F221*AP221,2)</f>
      </c>
      <c r="AY221" s="60" t="s">
        <v>586</v>
      </c>
      <c r="AZ221" s="60" t="s">
        <v>587</v>
      </c>
      <c r="BA221" s="33" t="s">
        <v>65</v>
      </c>
      <c r="BB221" s="61" t="n">
        <v>100100</v>
      </c>
      <c r="BC221" s="57">
        <f>AW221+AX221</f>
      </c>
      <c r="BD221" s="57">
        <f>G221/(100-BE221)*100</f>
      </c>
      <c r="BE221" s="57" t="n">
        <v>0</v>
      </c>
      <c r="BF221" s="57">
        <f>221</f>
      </c>
      <c r="BH221" s="57">
        <f>F221*AO221</f>
      </c>
      <c r="BI221" s="57">
        <f>F221*AP221</f>
      </c>
      <c r="BJ221" s="57">
        <f>F221*G221</f>
      </c>
      <c r="BK221" s="60" t="s">
        <v>66</v>
      </c>
      <c r="BL221" s="57"/>
      <c r="BW221" s="57" t="n">
        <v>12</v>
      </c>
      <c r="BX221" s="16" t="s">
        <v>585</v>
      </c>
    </row>
    <row r="222">
      <c r="A222" s="51" t="s">
        <v>53</v>
      </c>
      <c r="B222" s="52" t="s">
        <v>588</v>
      </c>
      <c r="C222" s="53" t="s">
        <v>589</v>
      </c>
      <c r="D222" s="52"/>
      <c r="E222" s="54" t="s">
        <v>4</v>
      </c>
      <c r="F222" s="54" t="s">
        <v>4</v>
      </c>
      <c r="G222" s="55" t="s">
        <v>4</v>
      </c>
      <c r="H222" s="2">
        <f>ROUND(SUM(H223:H226),2)</f>
      </c>
      <c r="I222" s="2">
        <f>ROUND(SUM(I223:I226),2)</f>
      </c>
      <c r="J222" s="2">
        <f>ROUND(SUM(J223:J226),2)</f>
      </c>
      <c r="K222" s="56" t="s">
        <v>53</v>
      </c>
      <c r="AI222" s="33" t="s">
        <v>57</v>
      </c>
      <c r="AS222" s="2">
        <f>SUM(AJ223:AJ226)</f>
      </c>
      <c r="AT222" s="2">
        <f>SUM(AK223:AK226)</f>
      </c>
      <c r="AU222" s="2">
        <f>SUM(AL223:AL226)</f>
      </c>
    </row>
    <row r="223">
      <c r="A223" s="10" t="s">
        <v>590</v>
      </c>
      <c r="B223" s="11" t="s">
        <v>591</v>
      </c>
      <c r="C223" s="16" t="s">
        <v>592</v>
      </c>
      <c r="D223" s="11"/>
      <c r="E223" s="11" t="s">
        <v>174</v>
      </c>
      <c r="F223" s="57" t="n">
        <v>3</v>
      </c>
      <c r="G223" s="58" t="n">
        <v>0</v>
      </c>
      <c r="H223" s="57">
        <f>ROUND(F223*AO223,2)</f>
      </c>
      <c r="I223" s="57">
        <f>ROUND(F223*AP223,2)</f>
      </c>
      <c r="J223" s="57">
        <f>ROUND(F223*G223,2)</f>
      </c>
      <c r="K223" s="59" t="s">
        <v>62</v>
      </c>
      <c r="Z223" s="57">
        <f>ROUND(IF(AQ223="5",BJ223,0),2)</f>
      </c>
      <c r="AB223" s="57">
        <f>ROUND(IF(AQ223="1",BH223,0),2)</f>
      </c>
      <c r="AC223" s="57">
        <f>ROUND(IF(AQ223="1",BI223,0),2)</f>
      </c>
      <c r="AD223" s="57">
        <f>ROUND(IF(AQ223="7",BH223,0),2)</f>
      </c>
      <c r="AE223" s="57">
        <f>ROUND(IF(AQ223="7",BI223,0),2)</f>
      </c>
      <c r="AF223" s="57">
        <f>ROUND(IF(AQ223="2",BH223,0),2)</f>
      </c>
      <c r="AG223" s="57">
        <f>ROUND(IF(AQ223="2",BI223,0),2)</f>
      </c>
      <c r="AH223" s="57">
        <f>ROUND(IF(AQ223="0",BJ223,0),2)</f>
      </c>
      <c r="AI223" s="33" t="s">
        <v>57</v>
      </c>
      <c r="AJ223" s="57">
        <f>IF(AN223=0,J223,0)</f>
      </c>
      <c r="AK223" s="57">
        <f>IF(AN223=12,J223,0)</f>
      </c>
      <c r="AL223" s="57">
        <f>IF(AN223=21,J223,0)</f>
      </c>
      <c r="AN223" s="57" t="n">
        <v>12</v>
      </c>
      <c r="AO223" s="57">
        <f>G223*0</f>
      </c>
      <c r="AP223" s="57">
        <f>G223*(1-0)</f>
      </c>
      <c r="AQ223" s="60" t="s">
        <v>67</v>
      </c>
      <c r="AV223" s="57">
        <f>ROUND(AW223+AX223,2)</f>
      </c>
      <c r="AW223" s="57">
        <f>ROUND(F223*AO223,2)</f>
      </c>
      <c r="AX223" s="57">
        <f>ROUND(F223*AP223,2)</f>
      </c>
      <c r="AY223" s="60" t="s">
        <v>593</v>
      </c>
      <c r="AZ223" s="60" t="s">
        <v>594</v>
      </c>
      <c r="BA223" s="33" t="s">
        <v>65</v>
      </c>
      <c r="BB223" s="61" t="n">
        <v>100101</v>
      </c>
      <c r="BC223" s="57">
        <f>AW223+AX223</f>
      </c>
      <c r="BD223" s="57">
        <f>G223/(100-BE223)*100</f>
      </c>
      <c r="BE223" s="57" t="n">
        <v>0</v>
      </c>
      <c r="BF223" s="57">
        <f>223</f>
      </c>
      <c r="BH223" s="57">
        <f>F223*AO223</f>
      </c>
      <c r="BI223" s="57">
        <f>F223*AP223</f>
      </c>
      <c r="BJ223" s="57">
        <f>F223*G223</f>
      </c>
      <c r="BK223" s="60" t="s">
        <v>66</v>
      </c>
      <c r="BL223" s="57"/>
      <c r="BW223" s="57" t="n">
        <v>12</v>
      </c>
      <c r="BX223" s="16" t="s">
        <v>592</v>
      </c>
    </row>
    <row r="224">
      <c r="A224" s="10" t="s">
        <v>595</v>
      </c>
      <c r="B224" s="11" t="s">
        <v>138</v>
      </c>
      <c r="C224" s="16" t="s">
        <v>596</v>
      </c>
      <c r="D224" s="11"/>
      <c r="E224" s="11" t="s">
        <v>174</v>
      </c>
      <c r="F224" s="57" t="n">
        <v>3</v>
      </c>
      <c r="G224" s="58" t="n">
        <v>0</v>
      </c>
      <c r="H224" s="57">
        <f>ROUND(F224*AO224,2)</f>
      </c>
      <c r="I224" s="57">
        <f>ROUND(F224*AP224,2)</f>
      </c>
      <c r="J224" s="57">
        <f>ROUND(F224*G224,2)</f>
      </c>
      <c r="K224" s="59" t="s">
        <v>140</v>
      </c>
      <c r="Z224" s="57">
        <f>ROUND(IF(AQ224="5",BJ224,0),2)</f>
      </c>
      <c r="AB224" s="57">
        <f>ROUND(IF(AQ224="1",BH224,0),2)</f>
      </c>
      <c r="AC224" s="57">
        <f>ROUND(IF(AQ224="1",BI224,0),2)</f>
      </c>
      <c r="AD224" s="57">
        <f>ROUND(IF(AQ224="7",BH224,0),2)</f>
      </c>
      <c r="AE224" s="57">
        <f>ROUND(IF(AQ224="7",BI224,0),2)</f>
      </c>
      <c r="AF224" s="57">
        <f>ROUND(IF(AQ224="2",BH224,0),2)</f>
      </c>
      <c r="AG224" s="57">
        <f>ROUND(IF(AQ224="2",BI224,0),2)</f>
      </c>
      <c r="AH224" s="57">
        <f>ROUND(IF(AQ224="0",BJ224,0),2)</f>
      </c>
      <c r="AI224" s="33" t="s">
        <v>57</v>
      </c>
      <c r="AJ224" s="57">
        <f>IF(AN224=0,J224,0)</f>
      </c>
      <c r="AK224" s="57">
        <f>IF(AN224=12,J224,0)</f>
      </c>
      <c r="AL224" s="57">
        <f>IF(AN224=21,J224,0)</f>
      </c>
      <c r="AN224" s="57" t="n">
        <v>12</v>
      </c>
      <c r="AO224" s="57">
        <f>G224*0</f>
      </c>
      <c r="AP224" s="57">
        <f>G224*(1-0)</f>
      </c>
      <c r="AQ224" s="60" t="s">
        <v>67</v>
      </c>
      <c r="AV224" s="57">
        <f>ROUND(AW224+AX224,2)</f>
      </c>
      <c r="AW224" s="57">
        <f>ROUND(F224*AO224,2)</f>
      </c>
      <c r="AX224" s="57">
        <f>ROUND(F224*AP224,2)</f>
      </c>
      <c r="AY224" s="60" t="s">
        <v>593</v>
      </c>
      <c r="AZ224" s="60" t="s">
        <v>594</v>
      </c>
      <c r="BA224" s="33" t="s">
        <v>65</v>
      </c>
      <c r="BB224" s="61" t="n">
        <v>100101</v>
      </c>
      <c r="BC224" s="57">
        <f>AW224+AX224</f>
      </c>
      <c r="BD224" s="57">
        <f>G224/(100-BE224)*100</f>
      </c>
      <c r="BE224" s="57" t="n">
        <v>0</v>
      </c>
      <c r="BF224" s="57">
        <f>224</f>
      </c>
      <c r="BH224" s="57">
        <f>F224*AO224</f>
      </c>
      <c r="BI224" s="57">
        <f>F224*AP224</f>
      </c>
      <c r="BJ224" s="57">
        <f>F224*G224</f>
      </c>
      <c r="BK224" s="60" t="s">
        <v>66</v>
      </c>
      <c r="BL224" s="57"/>
      <c r="BW224" s="57" t="n">
        <v>12</v>
      </c>
      <c r="BX224" s="16" t="s">
        <v>596</v>
      </c>
    </row>
    <row r="225">
      <c r="A225" s="10" t="s">
        <v>597</v>
      </c>
      <c r="B225" s="11" t="s">
        <v>598</v>
      </c>
      <c r="C225" s="16" t="s">
        <v>599</v>
      </c>
      <c r="D225" s="11"/>
      <c r="E225" s="11" t="s">
        <v>600</v>
      </c>
      <c r="F225" s="57" t="n">
        <v>2454.03</v>
      </c>
      <c r="G225" s="58" t="n">
        <v>0</v>
      </c>
      <c r="H225" s="57">
        <f>ROUND(F225*AO225,2)</f>
      </c>
      <c r="I225" s="57">
        <f>ROUND(F225*AP225,2)</f>
      </c>
      <c r="J225" s="57">
        <f>ROUND(F225*G225,2)</f>
      </c>
      <c r="K225" s="59" t="s">
        <v>140</v>
      </c>
      <c r="Z225" s="57">
        <f>ROUND(IF(AQ225="5",BJ225,0),2)</f>
      </c>
      <c r="AB225" s="57">
        <f>ROUND(IF(AQ225="1",BH225,0),2)</f>
      </c>
      <c r="AC225" s="57">
        <f>ROUND(IF(AQ225="1",BI225,0),2)</f>
      </c>
      <c r="AD225" s="57">
        <f>ROUND(IF(AQ225="7",BH225,0),2)</f>
      </c>
      <c r="AE225" s="57">
        <f>ROUND(IF(AQ225="7",BI225,0),2)</f>
      </c>
      <c r="AF225" s="57">
        <f>ROUND(IF(AQ225="2",BH225,0),2)</f>
      </c>
      <c r="AG225" s="57">
        <f>ROUND(IF(AQ225="2",BI225,0),2)</f>
      </c>
      <c r="AH225" s="57">
        <f>ROUND(IF(AQ225="0",BJ225,0),2)</f>
      </c>
      <c r="AI225" s="33" t="s">
        <v>57</v>
      </c>
      <c r="AJ225" s="57">
        <f>IF(AN225=0,J225,0)</f>
      </c>
      <c r="AK225" s="57">
        <f>IF(AN225=12,J225,0)</f>
      </c>
      <c r="AL225" s="57">
        <f>IF(AN225=21,J225,0)</f>
      </c>
      <c r="AN225" s="57" t="n">
        <v>12</v>
      </c>
      <c r="AO225" s="57">
        <f>G225*0</f>
      </c>
      <c r="AP225" s="57">
        <f>G225*(1-0)</f>
      </c>
      <c r="AQ225" s="60" t="s">
        <v>67</v>
      </c>
      <c r="AV225" s="57">
        <f>ROUND(AW225+AX225,2)</f>
      </c>
      <c r="AW225" s="57">
        <f>ROUND(F225*AO225,2)</f>
      </c>
      <c r="AX225" s="57">
        <f>ROUND(F225*AP225,2)</f>
      </c>
      <c r="AY225" s="60" t="s">
        <v>593</v>
      </c>
      <c r="AZ225" s="60" t="s">
        <v>594</v>
      </c>
      <c r="BA225" s="33" t="s">
        <v>65</v>
      </c>
      <c r="BB225" s="61" t="n">
        <v>100101</v>
      </c>
      <c r="BC225" s="57">
        <f>AW225+AX225</f>
      </c>
      <c r="BD225" s="57">
        <f>G225/(100-BE225)*100</f>
      </c>
      <c r="BE225" s="57" t="n">
        <v>0</v>
      </c>
      <c r="BF225" s="57">
        <f>225</f>
      </c>
      <c r="BH225" s="57">
        <f>F225*AO225</f>
      </c>
      <c r="BI225" s="57">
        <f>F225*AP225</f>
      </c>
      <c r="BJ225" s="57">
        <f>F225*G225</f>
      </c>
      <c r="BK225" s="60" t="s">
        <v>66</v>
      </c>
      <c r="BL225" s="57"/>
      <c r="BW225" s="57" t="n">
        <v>12</v>
      </c>
      <c r="BX225" s="16" t="s">
        <v>599</v>
      </c>
    </row>
    <row r="226">
      <c r="A226" s="10" t="s">
        <v>601</v>
      </c>
      <c r="B226" s="11" t="s">
        <v>602</v>
      </c>
      <c r="C226" s="16" t="s">
        <v>603</v>
      </c>
      <c r="D226" s="11"/>
      <c r="E226" s="11" t="s">
        <v>600</v>
      </c>
      <c r="F226" s="57" t="n">
        <v>2454.03</v>
      </c>
      <c r="G226" s="58" t="n">
        <v>0</v>
      </c>
      <c r="H226" s="57">
        <f>ROUND(F226*AO226,2)</f>
      </c>
      <c r="I226" s="57">
        <f>ROUND(F226*AP226,2)</f>
      </c>
      <c r="J226" s="57">
        <f>ROUND(F226*G226,2)</f>
      </c>
      <c r="K226" s="59" t="s">
        <v>140</v>
      </c>
      <c r="Z226" s="57">
        <f>ROUND(IF(AQ226="5",BJ226,0),2)</f>
      </c>
      <c r="AB226" s="57">
        <f>ROUND(IF(AQ226="1",BH226,0),2)</f>
      </c>
      <c r="AC226" s="57">
        <f>ROUND(IF(AQ226="1",BI226,0),2)</f>
      </c>
      <c r="AD226" s="57">
        <f>ROUND(IF(AQ226="7",BH226,0),2)</f>
      </c>
      <c r="AE226" s="57">
        <f>ROUND(IF(AQ226="7",BI226,0),2)</f>
      </c>
      <c r="AF226" s="57">
        <f>ROUND(IF(AQ226="2",BH226,0),2)</f>
      </c>
      <c r="AG226" s="57">
        <f>ROUND(IF(AQ226="2",BI226,0),2)</f>
      </c>
      <c r="AH226" s="57">
        <f>ROUND(IF(AQ226="0",BJ226,0),2)</f>
      </c>
      <c r="AI226" s="33" t="s">
        <v>57</v>
      </c>
      <c r="AJ226" s="57">
        <f>IF(AN226=0,J226,0)</f>
      </c>
      <c r="AK226" s="57">
        <f>IF(AN226=12,J226,0)</f>
      </c>
      <c r="AL226" s="57">
        <f>IF(AN226=21,J226,0)</f>
      </c>
      <c r="AN226" s="57" t="n">
        <v>12</v>
      </c>
      <c r="AO226" s="57">
        <f>G226*0</f>
      </c>
      <c r="AP226" s="57">
        <f>G226*(1-0)</f>
      </c>
      <c r="AQ226" s="60" t="s">
        <v>67</v>
      </c>
      <c r="AV226" s="57">
        <f>ROUND(AW226+AX226,2)</f>
      </c>
      <c r="AW226" s="57">
        <f>ROUND(F226*AO226,2)</f>
      </c>
      <c r="AX226" s="57">
        <f>ROUND(F226*AP226,2)</f>
      </c>
      <c r="AY226" s="60" t="s">
        <v>593</v>
      </c>
      <c r="AZ226" s="60" t="s">
        <v>594</v>
      </c>
      <c r="BA226" s="33" t="s">
        <v>65</v>
      </c>
      <c r="BB226" s="61" t="n">
        <v>100101</v>
      </c>
      <c r="BC226" s="57">
        <f>AW226+AX226</f>
      </c>
      <c r="BD226" s="57">
        <f>G226/(100-BE226)*100</f>
      </c>
      <c r="BE226" s="57" t="n">
        <v>0</v>
      </c>
      <c r="BF226" s="57">
        <f>226</f>
      </c>
      <c r="BH226" s="57">
        <f>F226*AO226</f>
      </c>
      <c r="BI226" s="57">
        <f>F226*AP226</f>
      </c>
      <c r="BJ226" s="57">
        <f>F226*G226</f>
      </c>
      <c r="BK226" s="60" t="s">
        <v>66</v>
      </c>
      <c r="BL226" s="57"/>
      <c r="BW226" s="57" t="n">
        <v>12</v>
      </c>
      <c r="BX226" s="16" t="s">
        <v>603</v>
      </c>
    </row>
    <row r="227">
      <c r="A227" s="51" t="s">
        <v>53</v>
      </c>
      <c r="B227" s="52" t="s">
        <v>604</v>
      </c>
      <c r="C227" s="53" t="s">
        <v>605</v>
      </c>
      <c r="D227" s="52"/>
      <c r="E227" s="54" t="s">
        <v>4</v>
      </c>
      <c r="F227" s="54" t="s">
        <v>4</v>
      </c>
      <c r="G227" s="55" t="s">
        <v>4</v>
      </c>
      <c r="H227" s="2">
        <f>ROUND(SUM(H228:H231),2)</f>
      </c>
      <c r="I227" s="2">
        <f>ROUND(SUM(I228:I231),2)</f>
      </c>
      <c r="J227" s="2">
        <f>ROUND(SUM(J228:J231),2)</f>
      </c>
      <c r="K227" s="56" t="s">
        <v>53</v>
      </c>
      <c r="AI227" s="33" t="s">
        <v>57</v>
      </c>
      <c r="AS227" s="2">
        <f>SUM(AJ228:AJ231)</f>
      </c>
      <c r="AT227" s="2">
        <f>SUM(AK228:AK231)</f>
      </c>
      <c r="AU227" s="2">
        <f>SUM(AL228:AL231)</f>
      </c>
    </row>
    <row r="228">
      <c r="A228" s="10" t="s">
        <v>606</v>
      </c>
      <c r="B228" s="11" t="s">
        <v>607</v>
      </c>
      <c r="C228" s="16" t="s">
        <v>608</v>
      </c>
      <c r="D228" s="11"/>
      <c r="E228" s="11" t="s">
        <v>174</v>
      </c>
      <c r="F228" s="57" t="n">
        <v>3</v>
      </c>
      <c r="G228" s="58" t="n">
        <v>0</v>
      </c>
      <c r="H228" s="57">
        <f>ROUND(F228*AO228,2)</f>
      </c>
      <c r="I228" s="57">
        <f>ROUND(F228*AP228,2)</f>
      </c>
      <c r="J228" s="57">
        <f>ROUND(F228*G228,2)</f>
      </c>
      <c r="K228" s="59" t="s">
        <v>62</v>
      </c>
      <c r="Z228" s="57">
        <f>ROUND(IF(AQ228="5",BJ228,0),2)</f>
      </c>
      <c r="AB228" s="57">
        <f>ROUND(IF(AQ228="1",BH228,0),2)</f>
      </c>
      <c r="AC228" s="57">
        <f>ROUND(IF(AQ228="1",BI228,0),2)</f>
      </c>
      <c r="AD228" s="57">
        <f>ROUND(IF(AQ228="7",BH228,0),2)</f>
      </c>
      <c r="AE228" s="57">
        <f>ROUND(IF(AQ228="7",BI228,0),2)</f>
      </c>
      <c r="AF228" s="57">
        <f>ROUND(IF(AQ228="2",BH228,0),2)</f>
      </c>
      <c r="AG228" s="57">
        <f>ROUND(IF(AQ228="2",BI228,0),2)</f>
      </c>
      <c r="AH228" s="57">
        <f>ROUND(IF(AQ228="0",BJ228,0),2)</f>
      </c>
      <c r="AI228" s="33" t="s">
        <v>57</v>
      </c>
      <c r="AJ228" s="57">
        <f>IF(AN228=0,J228,0)</f>
      </c>
      <c r="AK228" s="57">
        <f>IF(AN228=12,J228,0)</f>
      </c>
      <c r="AL228" s="57">
        <f>IF(AN228=21,J228,0)</f>
      </c>
      <c r="AN228" s="57" t="n">
        <v>12</v>
      </c>
      <c r="AO228" s="57">
        <f>G228*0</f>
      </c>
      <c r="AP228" s="57">
        <f>G228*(1-0)</f>
      </c>
      <c r="AQ228" s="60" t="s">
        <v>67</v>
      </c>
      <c r="AV228" s="57">
        <f>ROUND(AW228+AX228,2)</f>
      </c>
      <c r="AW228" s="57">
        <f>ROUND(F228*AO228,2)</f>
      </c>
      <c r="AX228" s="57">
        <f>ROUND(F228*AP228,2)</f>
      </c>
      <c r="AY228" s="60" t="s">
        <v>609</v>
      </c>
      <c r="AZ228" s="60" t="s">
        <v>610</v>
      </c>
      <c r="BA228" s="33" t="s">
        <v>65</v>
      </c>
      <c r="BB228" s="61" t="n">
        <v>100102</v>
      </c>
      <c r="BC228" s="57">
        <f>AW228+AX228</f>
      </c>
      <c r="BD228" s="57">
        <f>G228/(100-BE228)*100</f>
      </c>
      <c r="BE228" s="57" t="n">
        <v>0</v>
      </c>
      <c r="BF228" s="57">
        <f>228</f>
      </c>
      <c r="BH228" s="57">
        <f>F228*AO228</f>
      </c>
      <c r="BI228" s="57">
        <f>F228*AP228</f>
      </c>
      <c r="BJ228" s="57">
        <f>F228*G228</f>
      </c>
      <c r="BK228" s="60" t="s">
        <v>66</v>
      </c>
      <c r="BL228" s="57"/>
      <c r="BW228" s="57" t="n">
        <v>12</v>
      </c>
      <c r="BX228" s="16" t="s">
        <v>608</v>
      </c>
    </row>
    <row r="229">
      <c r="A229" s="10" t="s">
        <v>611</v>
      </c>
      <c r="B229" s="11" t="s">
        <v>612</v>
      </c>
      <c r="C229" s="16" t="s">
        <v>613</v>
      </c>
      <c r="D229" s="11"/>
      <c r="E229" s="11" t="s">
        <v>174</v>
      </c>
      <c r="F229" s="57" t="n">
        <v>3</v>
      </c>
      <c r="G229" s="58" t="n">
        <v>0</v>
      </c>
      <c r="H229" s="57">
        <f>ROUND(F229*AO229,2)</f>
      </c>
      <c r="I229" s="57">
        <f>ROUND(F229*AP229,2)</f>
      </c>
      <c r="J229" s="57">
        <f>ROUND(F229*G229,2)</f>
      </c>
      <c r="K229" s="59" t="s">
        <v>62</v>
      </c>
      <c r="Z229" s="57">
        <f>ROUND(IF(AQ229="5",BJ229,0),2)</f>
      </c>
      <c r="AB229" s="57">
        <f>ROUND(IF(AQ229="1",BH229,0),2)</f>
      </c>
      <c r="AC229" s="57">
        <f>ROUND(IF(AQ229="1",BI229,0),2)</f>
      </c>
      <c r="AD229" s="57">
        <f>ROUND(IF(AQ229="7",BH229,0),2)</f>
      </c>
      <c r="AE229" s="57">
        <f>ROUND(IF(AQ229="7",BI229,0),2)</f>
      </c>
      <c r="AF229" s="57">
        <f>ROUND(IF(AQ229="2",BH229,0),2)</f>
      </c>
      <c r="AG229" s="57">
        <f>ROUND(IF(AQ229="2",BI229,0),2)</f>
      </c>
      <c r="AH229" s="57">
        <f>ROUND(IF(AQ229="0",BJ229,0),2)</f>
      </c>
      <c r="AI229" s="33" t="s">
        <v>57</v>
      </c>
      <c r="AJ229" s="57">
        <f>IF(AN229=0,J229,0)</f>
      </c>
      <c r="AK229" s="57">
        <f>IF(AN229=12,J229,0)</f>
      </c>
      <c r="AL229" s="57">
        <f>IF(AN229=21,J229,0)</f>
      </c>
      <c r="AN229" s="57" t="n">
        <v>12</v>
      </c>
      <c r="AO229" s="57">
        <f>G229*0</f>
      </c>
      <c r="AP229" s="57">
        <f>G229*(1-0)</f>
      </c>
      <c r="AQ229" s="60" t="s">
        <v>67</v>
      </c>
      <c r="AV229" s="57">
        <f>ROUND(AW229+AX229,2)</f>
      </c>
      <c r="AW229" s="57">
        <f>ROUND(F229*AO229,2)</f>
      </c>
      <c r="AX229" s="57">
        <f>ROUND(F229*AP229,2)</f>
      </c>
      <c r="AY229" s="60" t="s">
        <v>609</v>
      </c>
      <c r="AZ229" s="60" t="s">
        <v>610</v>
      </c>
      <c r="BA229" s="33" t="s">
        <v>65</v>
      </c>
      <c r="BB229" s="61" t="n">
        <v>100102</v>
      </c>
      <c r="BC229" s="57">
        <f>AW229+AX229</f>
      </c>
      <c r="BD229" s="57">
        <f>G229/(100-BE229)*100</f>
      </c>
      <c r="BE229" s="57" t="n">
        <v>0</v>
      </c>
      <c r="BF229" s="57">
        <f>229</f>
      </c>
      <c r="BH229" s="57">
        <f>F229*AO229</f>
      </c>
      <c r="BI229" s="57">
        <f>F229*AP229</f>
      </c>
      <c r="BJ229" s="57">
        <f>F229*G229</f>
      </c>
      <c r="BK229" s="60" t="s">
        <v>66</v>
      </c>
      <c r="BL229" s="57"/>
      <c r="BW229" s="57" t="n">
        <v>12</v>
      </c>
      <c r="BX229" s="16" t="s">
        <v>613</v>
      </c>
    </row>
    <row r="230">
      <c r="A230" s="10" t="s">
        <v>614</v>
      </c>
      <c r="B230" s="11" t="s">
        <v>598</v>
      </c>
      <c r="C230" s="16" t="s">
        <v>599</v>
      </c>
      <c r="D230" s="11"/>
      <c r="E230" s="11" t="s">
        <v>600</v>
      </c>
      <c r="F230" s="57" t="n">
        <v>1198.5</v>
      </c>
      <c r="G230" s="58" t="n">
        <v>0</v>
      </c>
      <c r="H230" s="57">
        <f>ROUND(F230*AO230,2)</f>
      </c>
      <c r="I230" s="57">
        <f>ROUND(F230*AP230,2)</f>
      </c>
      <c r="J230" s="57">
        <f>ROUND(F230*G230,2)</f>
      </c>
      <c r="K230" s="59" t="s">
        <v>140</v>
      </c>
      <c r="Z230" s="57">
        <f>ROUND(IF(AQ230="5",BJ230,0),2)</f>
      </c>
      <c r="AB230" s="57">
        <f>ROUND(IF(AQ230="1",BH230,0),2)</f>
      </c>
      <c r="AC230" s="57">
        <f>ROUND(IF(AQ230="1",BI230,0),2)</f>
      </c>
      <c r="AD230" s="57">
        <f>ROUND(IF(AQ230="7",BH230,0),2)</f>
      </c>
      <c r="AE230" s="57">
        <f>ROUND(IF(AQ230="7",BI230,0),2)</f>
      </c>
      <c r="AF230" s="57">
        <f>ROUND(IF(AQ230="2",BH230,0),2)</f>
      </c>
      <c r="AG230" s="57">
        <f>ROUND(IF(AQ230="2",BI230,0),2)</f>
      </c>
      <c r="AH230" s="57">
        <f>ROUND(IF(AQ230="0",BJ230,0),2)</f>
      </c>
      <c r="AI230" s="33" t="s">
        <v>57</v>
      </c>
      <c r="AJ230" s="57">
        <f>IF(AN230=0,J230,0)</f>
      </c>
      <c r="AK230" s="57">
        <f>IF(AN230=12,J230,0)</f>
      </c>
      <c r="AL230" s="57">
        <f>IF(AN230=21,J230,0)</f>
      </c>
      <c r="AN230" s="57" t="n">
        <v>12</v>
      </c>
      <c r="AO230" s="57">
        <f>G230*0</f>
      </c>
      <c r="AP230" s="57">
        <f>G230*(1-0)</f>
      </c>
      <c r="AQ230" s="60" t="s">
        <v>67</v>
      </c>
      <c r="AV230" s="57">
        <f>ROUND(AW230+AX230,2)</f>
      </c>
      <c r="AW230" s="57">
        <f>ROUND(F230*AO230,2)</f>
      </c>
      <c r="AX230" s="57">
        <f>ROUND(F230*AP230,2)</f>
      </c>
      <c r="AY230" s="60" t="s">
        <v>609</v>
      </c>
      <c r="AZ230" s="60" t="s">
        <v>610</v>
      </c>
      <c r="BA230" s="33" t="s">
        <v>65</v>
      </c>
      <c r="BB230" s="61" t="n">
        <v>100102</v>
      </c>
      <c r="BC230" s="57">
        <f>AW230+AX230</f>
      </c>
      <c r="BD230" s="57">
        <f>G230/(100-BE230)*100</f>
      </c>
      <c r="BE230" s="57" t="n">
        <v>0</v>
      </c>
      <c r="BF230" s="57">
        <f>230</f>
      </c>
      <c r="BH230" s="57">
        <f>F230*AO230</f>
      </c>
      <c r="BI230" s="57">
        <f>F230*AP230</f>
      </c>
      <c r="BJ230" s="57">
        <f>F230*G230</f>
      </c>
      <c r="BK230" s="60" t="s">
        <v>66</v>
      </c>
      <c r="BL230" s="57"/>
      <c r="BW230" s="57" t="n">
        <v>12</v>
      </c>
      <c r="BX230" s="16" t="s">
        <v>599</v>
      </c>
    </row>
    <row r="231">
      <c r="A231" s="10" t="s">
        <v>615</v>
      </c>
      <c r="B231" s="11" t="s">
        <v>602</v>
      </c>
      <c r="C231" s="16" t="s">
        <v>603</v>
      </c>
      <c r="D231" s="11"/>
      <c r="E231" s="11" t="s">
        <v>600</v>
      </c>
      <c r="F231" s="57" t="n">
        <v>1198.5</v>
      </c>
      <c r="G231" s="58" t="n">
        <v>0</v>
      </c>
      <c r="H231" s="57">
        <f>ROUND(F231*AO231,2)</f>
      </c>
      <c r="I231" s="57">
        <f>ROUND(F231*AP231,2)</f>
      </c>
      <c r="J231" s="57">
        <f>ROUND(F231*G231,2)</f>
      </c>
      <c r="K231" s="59" t="s">
        <v>140</v>
      </c>
      <c r="Z231" s="57">
        <f>ROUND(IF(AQ231="5",BJ231,0),2)</f>
      </c>
      <c r="AB231" s="57">
        <f>ROUND(IF(AQ231="1",BH231,0),2)</f>
      </c>
      <c r="AC231" s="57">
        <f>ROUND(IF(AQ231="1",BI231,0),2)</f>
      </c>
      <c r="AD231" s="57">
        <f>ROUND(IF(AQ231="7",BH231,0),2)</f>
      </c>
      <c r="AE231" s="57">
        <f>ROUND(IF(AQ231="7",BI231,0),2)</f>
      </c>
      <c r="AF231" s="57">
        <f>ROUND(IF(AQ231="2",BH231,0),2)</f>
      </c>
      <c r="AG231" s="57">
        <f>ROUND(IF(AQ231="2",BI231,0),2)</f>
      </c>
      <c r="AH231" s="57">
        <f>ROUND(IF(AQ231="0",BJ231,0),2)</f>
      </c>
      <c r="AI231" s="33" t="s">
        <v>57</v>
      </c>
      <c r="AJ231" s="57">
        <f>IF(AN231=0,J231,0)</f>
      </c>
      <c r="AK231" s="57">
        <f>IF(AN231=12,J231,0)</f>
      </c>
      <c r="AL231" s="57">
        <f>IF(AN231=21,J231,0)</f>
      </c>
      <c r="AN231" s="57" t="n">
        <v>12</v>
      </c>
      <c r="AO231" s="57">
        <f>G231*0</f>
      </c>
      <c r="AP231" s="57">
        <f>G231*(1-0)</f>
      </c>
      <c r="AQ231" s="60" t="s">
        <v>67</v>
      </c>
      <c r="AV231" s="57">
        <f>ROUND(AW231+AX231,2)</f>
      </c>
      <c r="AW231" s="57">
        <f>ROUND(F231*AO231,2)</f>
      </c>
      <c r="AX231" s="57">
        <f>ROUND(F231*AP231,2)</f>
      </c>
      <c r="AY231" s="60" t="s">
        <v>609</v>
      </c>
      <c r="AZ231" s="60" t="s">
        <v>610</v>
      </c>
      <c r="BA231" s="33" t="s">
        <v>65</v>
      </c>
      <c r="BB231" s="61" t="n">
        <v>100102</v>
      </c>
      <c r="BC231" s="57">
        <f>AW231+AX231</f>
      </c>
      <c r="BD231" s="57">
        <f>G231/(100-BE231)*100</f>
      </c>
      <c r="BE231" s="57" t="n">
        <v>0</v>
      </c>
      <c r="BF231" s="57">
        <f>231</f>
      </c>
      <c r="BH231" s="57">
        <f>F231*AO231</f>
      </c>
      <c r="BI231" s="57">
        <f>F231*AP231</f>
      </c>
      <c r="BJ231" s="57">
        <f>F231*G231</f>
      </c>
      <c r="BK231" s="60" t="s">
        <v>66</v>
      </c>
      <c r="BL231" s="57"/>
      <c r="BW231" s="57" t="n">
        <v>12</v>
      </c>
      <c r="BX231" s="16" t="s">
        <v>603</v>
      </c>
    </row>
    <row r="232">
      <c r="A232" s="51" t="s">
        <v>53</v>
      </c>
      <c r="B232" s="52" t="s">
        <v>616</v>
      </c>
      <c r="C232" s="53" t="s">
        <v>617</v>
      </c>
      <c r="D232" s="52"/>
      <c r="E232" s="54" t="s">
        <v>4</v>
      </c>
      <c r="F232" s="54" t="s">
        <v>4</v>
      </c>
      <c r="G232" s="55" t="s">
        <v>4</v>
      </c>
      <c r="H232" s="2">
        <f>ROUND(SUM(H233:H241),2)</f>
      </c>
      <c r="I232" s="2">
        <f>ROUND(SUM(I233:I241),2)</f>
      </c>
      <c r="J232" s="2">
        <f>ROUND(SUM(J233:J241),2)</f>
      </c>
      <c r="K232" s="56" t="s">
        <v>53</v>
      </c>
      <c r="AI232" s="33" t="s">
        <v>57</v>
      </c>
      <c r="AS232" s="2">
        <f>SUM(AJ233:AJ241)</f>
      </c>
      <c r="AT232" s="2">
        <f>SUM(AK233:AK241)</f>
      </c>
      <c r="AU232" s="2">
        <f>SUM(AL233:AL241)</f>
      </c>
    </row>
    <row r="233">
      <c r="A233" s="10" t="s">
        <v>618</v>
      </c>
      <c r="B233" s="11" t="s">
        <v>619</v>
      </c>
      <c r="C233" s="16" t="s">
        <v>620</v>
      </c>
      <c r="D233" s="11"/>
      <c r="E233" s="11" t="s">
        <v>314</v>
      </c>
      <c r="F233" s="57" t="n">
        <v>1.72235</v>
      </c>
      <c r="G233" s="58" t="n">
        <v>0</v>
      </c>
      <c r="H233" s="57">
        <f>ROUND(F233*AO233,2)</f>
      </c>
      <c r="I233" s="57">
        <f>ROUND(F233*AP233,2)</f>
      </c>
      <c r="J233" s="57">
        <f>ROUND(F233*G233,2)</f>
      </c>
      <c r="K233" s="59" t="s">
        <v>62</v>
      </c>
      <c r="Z233" s="57">
        <f>ROUND(IF(AQ233="5",BJ233,0),2)</f>
      </c>
      <c r="AB233" s="57">
        <f>ROUND(IF(AQ233="1",BH233,0),2)</f>
      </c>
      <c r="AC233" s="57">
        <f>ROUND(IF(AQ233="1",BI233,0),2)</f>
      </c>
      <c r="AD233" s="57">
        <f>ROUND(IF(AQ233="7",BH233,0),2)</f>
      </c>
      <c r="AE233" s="57">
        <f>ROUND(IF(AQ233="7",BI233,0),2)</f>
      </c>
      <c r="AF233" s="57">
        <f>ROUND(IF(AQ233="2",BH233,0),2)</f>
      </c>
      <c r="AG233" s="57">
        <f>ROUND(IF(AQ233="2",BI233,0),2)</f>
      </c>
      <c r="AH233" s="57">
        <f>ROUND(IF(AQ233="0",BJ233,0),2)</f>
      </c>
      <c r="AI233" s="33" t="s">
        <v>57</v>
      </c>
      <c r="AJ233" s="57">
        <f>IF(AN233=0,J233,0)</f>
      </c>
      <c r="AK233" s="57">
        <f>IF(AN233=12,J233,0)</f>
      </c>
      <c r="AL233" s="57">
        <f>IF(AN233=21,J233,0)</f>
      </c>
      <c r="AN233" s="57" t="n">
        <v>12</v>
      </c>
      <c r="AO233" s="57">
        <f>G233*0</f>
      </c>
      <c r="AP233" s="57">
        <f>G233*(1-0)</f>
      </c>
      <c r="AQ233" s="60" t="s">
        <v>76</v>
      </c>
      <c r="AV233" s="57">
        <f>ROUND(AW233+AX233,2)</f>
      </c>
      <c r="AW233" s="57">
        <f>ROUND(F233*AO233,2)</f>
      </c>
      <c r="AX233" s="57">
        <f>ROUND(F233*AP233,2)</f>
      </c>
      <c r="AY233" s="60" t="s">
        <v>621</v>
      </c>
      <c r="AZ233" s="60" t="s">
        <v>622</v>
      </c>
      <c r="BA233" s="33" t="s">
        <v>65</v>
      </c>
      <c r="BB233" s="61" t="n">
        <v>100103</v>
      </c>
      <c r="BC233" s="57">
        <f>AW233+AX233</f>
      </c>
      <c r="BD233" s="57">
        <f>G233/(100-BE233)*100</f>
      </c>
      <c r="BE233" s="57" t="n">
        <v>0</v>
      </c>
      <c r="BF233" s="57">
        <f>233</f>
      </c>
      <c r="BH233" s="57">
        <f>F233*AO233</f>
      </c>
      <c r="BI233" s="57">
        <f>F233*AP233</f>
      </c>
      <c r="BJ233" s="57">
        <f>F233*G233</f>
      </c>
      <c r="BK233" s="60" t="s">
        <v>66</v>
      </c>
      <c r="BL233" s="57"/>
      <c r="BW233" s="57" t="n">
        <v>12</v>
      </c>
      <c r="BX233" s="16" t="s">
        <v>620</v>
      </c>
    </row>
    <row r="234">
      <c r="A234" s="10" t="s">
        <v>623</v>
      </c>
      <c r="B234" s="11" t="s">
        <v>624</v>
      </c>
      <c r="C234" s="16" t="s">
        <v>625</v>
      </c>
      <c r="D234" s="11"/>
      <c r="E234" s="11" t="s">
        <v>314</v>
      </c>
      <c r="F234" s="57" t="n">
        <v>51.4228</v>
      </c>
      <c r="G234" s="58" t="n">
        <v>0</v>
      </c>
      <c r="H234" s="57">
        <f>ROUND(F234*AO234,2)</f>
      </c>
      <c r="I234" s="57">
        <f>ROUND(F234*AP234,2)</f>
      </c>
      <c r="J234" s="57">
        <f>ROUND(F234*G234,2)</f>
      </c>
      <c r="K234" s="59" t="s">
        <v>62</v>
      </c>
      <c r="Z234" s="57">
        <f>ROUND(IF(AQ234="5",BJ234,0),2)</f>
      </c>
      <c r="AB234" s="57">
        <f>ROUND(IF(AQ234="1",BH234,0),2)</f>
      </c>
      <c r="AC234" s="57">
        <f>ROUND(IF(AQ234="1",BI234,0),2)</f>
      </c>
      <c r="AD234" s="57">
        <f>ROUND(IF(AQ234="7",BH234,0),2)</f>
      </c>
      <c r="AE234" s="57">
        <f>ROUND(IF(AQ234="7",BI234,0),2)</f>
      </c>
      <c r="AF234" s="57">
        <f>ROUND(IF(AQ234="2",BH234,0),2)</f>
      </c>
      <c r="AG234" s="57">
        <f>ROUND(IF(AQ234="2",BI234,0),2)</f>
      </c>
      <c r="AH234" s="57">
        <f>ROUND(IF(AQ234="0",BJ234,0),2)</f>
      </c>
      <c r="AI234" s="33" t="s">
        <v>57</v>
      </c>
      <c r="AJ234" s="57">
        <f>IF(AN234=0,J234,0)</f>
      </c>
      <c r="AK234" s="57">
        <f>IF(AN234=12,J234,0)</f>
      </c>
      <c r="AL234" s="57">
        <f>IF(AN234=21,J234,0)</f>
      </c>
      <c r="AN234" s="57" t="n">
        <v>12</v>
      </c>
      <c r="AO234" s="57">
        <f>G234*0</f>
      </c>
      <c r="AP234" s="57">
        <f>G234*(1-0)</f>
      </c>
      <c r="AQ234" s="60" t="s">
        <v>76</v>
      </c>
      <c r="AV234" s="57">
        <f>ROUND(AW234+AX234,2)</f>
      </c>
      <c r="AW234" s="57">
        <f>ROUND(F234*AO234,2)</f>
      </c>
      <c r="AX234" s="57">
        <f>ROUND(F234*AP234,2)</f>
      </c>
      <c r="AY234" s="60" t="s">
        <v>621</v>
      </c>
      <c r="AZ234" s="60" t="s">
        <v>622</v>
      </c>
      <c r="BA234" s="33" t="s">
        <v>65</v>
      </c>
      <c r="BB234" s="61" t="n">
        <v>100103</v>
      </c>
      <c r="BC234" s="57">
        <f>AW234+AX234</f>
      </c>
      <c r="BD234" s="57">
        <f>G234/(100-BE234)*100</f>
      </c>
      <c r="BE234" s="57" t="n">
        <v>0</v>
      </c>
      <c r="BF234" s="57">
        <f>234</f>
      </c>
      <c r="BH234" s="57">
        <f>F234*AO234</f>
      </c>
      <c r="BI234" s="57">
        <f>F234*AP234</f>
      </c>
      <c r="BJ234" s="57">
        <f>F234*G234</f>
      </c>
      <c r="BK234" s="60" t="s">
        <v>66</v>
      </c>
      <c r="BL234" s="57"/>
      <c r="BW234" s="57" t="n">
        <v>12</v>
      </c>
      <c r="BX234" s="16" t="s">
        <v>625</v>
      </c>
    </row>
    <row r="235" ht="24.75">
      <c r="A235" s="10" t="s">
        <v>626</v>
      </c>
      <c r="B235" s="11" t="s">
        <v>627</v>
      </c>
      <c r="C235" s="16" t="s">
        <v>628</v>
      </c>
      <c r="D235" s="11"/>
      <c r="E235" s="11" t="s">
        <v>314</v>
      </c>
      <c r="F235" s="57" t="n">
        <v>29.83177</v>
      </c>
      <c r="G235" s="58" t="n">
        <v>0</v>
      </c>
      <c r="H235" s="57">
        <f>ROUND(F235*AO235,2)</f>
      </c>
      <c r="I235" s="57">
        <f>ROUND(F235*AP235,2)</f>
      </c>
      <c r="J235" s="57">
        <f>ROUND(F235*G235,2)</f>
      </c>
      <c r="K235" s="59" t="s">
        <v>62</v>
      </c>
      <c r="Z235" s="57">
        <f>ROUND(IF(AQ235="5",BJ235,0),2)</f>
      </c>
      <c r="AB235" s="57">
        <f>ROUND(IF(AQ235="1",BH235,0),2)</f>
      </c>
      <c r="AC235" s="57">
        <f>ROUND(IF(AQ235="1",BI235,0),2)</f>
      </c>
      <c r="AD235" s="57">
        <f>ROUND(IF(AQ235="7",BH235,0),2)</f>
      </c>
      <c r="AE235" s="57">
        <f>ROUND(IF(AQ235="7",BI235,0),2)</f>
      </c>
      <c r="AF235" s="57">
        <f>ROUND(IF(AQ235="2",BH235,0),2)</f>
      </c>
      <c r="AG235" s="57">
        <f>ROUND(IF(AQ235="2",BI235,0),2)</f>
      </c>
      <c r="AH235" s="57">
        <f>ROUND(IF(AQ235="0",BJ235,0),2)</f>
      </c>
      <c r="AI235" s="33" t="s">
        <v>57</v>
      </c>
      <c r="AJ235" s="57">
        <f>IF(AN235=0,J235,0)</f>
      </c>
      <c r="AK235" s="57">
        <f>IF(AN235=12,J235,0)</f>
      </c>
      <c r="AL235" s="57">
        <f>IF(AN235=21,J235,0)</f>
      </c>
      <c r="AN235" s="57" t="n">
        <v>12</v>
      </c>
      <c r="AO235" s="57">
        <f>G235*0</f>
      </c>
      <c r="AP235" s="57">
        <f>G235*(1-0)</f>
      </c>
      <c r="AQ235" s="60" t="s">
        <v>76</v>
      </c>
      <c r="AV235" s="57">
        <f>ROUND(AW235+AX235,2)</f>
      </c>
      <c r="AW235" s="57">
        <f>ROUND(F235*AO235,2)</f>
      </c>
      <c r="AX235" s="57">
        <f>ROUND(F235*AP235,2)</f>
      </c>
      <c r="AY235" s="60" t="s">
        <v>621</v>
      </c>
      <c r="AZ235" s="60" t="s">
        <v>622</v>
      </c>
      <c r="BA235" s="33" t="s">
        <v>65</v>
      </c>
      <c r="BB235" s="61" t="n">
        <v>100103</v>
      </c>
      <c r="BC235" s="57">
        <f>AW235+AX235</f>
      </c>
      <c r="BD235" s="57">
        <f>G235/(100-BE235)*100</f>
      </c>
      <c r="BE235" s="57" t="n">
        <v>0</v>
      </c>
      <c r="BF235" s="57">
        <f>235</f>
      </c>
      <c r="BH235" s="57">
        <f>F235*AO235</f>
      </c>
      <c r="BI235" s="57">
        <f>F235*AP235</f>
      </c>
      <c r="BJ235" s="57">
        <f>F235*G235</f>
      </c>
      <c r="BK235" s="60" t="s">
        <v>66</v>
      </c>
      <c r="BL235" s="57"/>
      <c r="BW235" s="57" t="n">
        <v>12</v>
      </c>
      <c r="BX235" s="16" t="s">
        <v>628</v>
      </c>
    </row>
    <row r="236">
      <c r="A236" s="10" t="s">
        <v>629</v>
      </c>
      <c r="B236" s="11" t="s">
        <v>630</v>
      </c>
      <c r="C236" s="16" t="s">
        <v>631</v>
      </c>
      <c r="D236" s="11"/>
      <c r="E236" s="11" t="s">
        <v>314</v>
      </c>
      <c r="F236" s="57" t="n">
        <v>84.31076</v>
      </c>
      <c r="G236" s="58" t="n">
        <v>0</v>
      </c>
      <c r="H236" s="57">
        <f>ROUND(F236*AO236,2)</f>
      </c>
      <c r="I236" s="57">
        <f>ROUND(F236*AP236,2)</f>
      </c>
      <c r="J236" s="57">
        <f>ROUND(F236*G236,2)</f>
      </c>
      <c r="K236" s="59" t="s">
        <v>62</v>
      </c>
      <c r="Z236" s="57">
        <f>ROUND(IF(AQ236="5",BJ236,0),2)</f>
      </c>
      <c r="AB236" s="57">
        <f>ROUND(IF(AQ236="1",BH236,0),2)</f>
      </c>
      <c r="AC236" s="57">
        <f>ROUND(IF(AQ236="1",BI236,0),2)</f>
      </c>
      <c r="AD236" s="57">
        <f>ROUND(IF(AQ236="7",BH236,0),2)</f>
      </c>
      <c r="AE236" s="57">
        <f>ROUND(IF(AQ236="7",BI236,0),2)</f>
      </c>
      <c r="AF236" s="57">
        <f>ROUND(IF(AQ236="2",BH236,0),2)</f>
      </c>
      <c r="AG236" s="57">
        <f>ROUND(IF(AQ236="2",BI236,0),2)</f>
      </c>
      <c r="AH236" s="57">
        <f>ROUND(IF(AQ236="0",BJ236,0),2)</f>
      </c>
      <c r="AI236" s="33" t="s">
        <v>57</v>
      </c>
      <c r="AJ236" s="57">
        <f>IF(AN236=0,J236,0)</f>
      </c>
      <c r="AK236" s="57">
        <f>IF(AN236=12,J236,0)</f>
      </c>
      <c r="AL236" s="57">
        <f>IF(AN236=21,J236,0)</f>
      </c>
      <c r="AN236" s="57" t="n">
        <v>12</v>
      </c>
      <c r="AO236" s="57">
        <f>G236*0</f>
      </c>
      <c r="AP236" s="57">
        <f>G236*(1-0)</f>
      </c>
      <c r="AQ236" s="60" t="s">
        <v>76</v>
      </c>
      <c r="AV236" s="57">
        <f>ROUND(AW236+AX236,2)</f>
      </c>
      <c r="AW236" s="57">
        <f>ROUND(F236*AO236,2)</f>
      </c>
      <c r="AX236" s="57">
        <f>ROUND(F236*AP236,2)</f>
      </c>
      <c r="AY236" s="60" t="s">
        <v>621</v>
      </c>
      <c r="AZ236" s="60" t="s">
        <v>622</v>
      </c>
      <c r="BA236" s="33" t="s">
        <v>65</v>
      </c>
      <c r="BB236" s="61" t="n">
        <v>100103</v>
      </c>
      <c r="BC236" s="57">
        <f>AW236+AX236</f>
      </c>
      <c r="BD236" s="57">
        <f>G236/(100-BE236)*100</f>
      </c>
      <c r="BE236" s="57" t="n">
        <v>0</v>
      </c>
      <c r="BF236" s="57">
        <f>236</f>
      </c>
      <c r="BH236" s="57">
        <f>F236*AO236</f>
      </c>
      <c r="BI236" s="57">
        <f>F236*AP236</f>
      </c>
      <c r="BJ236" s="57">
        <f>F236*G236</f>
      </c>
      <c r="BK236" s="60" t="s">
        <v>66</v>
      </c>
      <c r="BL236" s="57"/>
      <c r="BW236" s="57" t="n">
        <v>12</v>
      </c>
      <c r="BX236" s="16" t="s">
        <v>631</v>
      </c>
    </row>
    <row r="237">
      <c r="A237" s="10" t="s">
        <v>632</v>
      </c>
      <c r="B237" s="11" t="s">
        <v>633</v>
      </c>
      <c r="C237" s="16" t="s">
        <v>634</v>
      </c>
      <c r="D237" s="11"/>
      <c r="E237" s="11" t="s">
        <v>314</v>
      </c>
      <c r="F237" s="57" t="n">
        <v>84.31076</v>
      </c>
      <c r="G237" s="58" t="n">
        <v>0</v>
      </c>
      <c r="H237" s="57">
        <f>ROUND(F237*AO237,2)</f>
      </c>
      <c r="I237" s="57">
        <f>ROUND(F237*AP237,2)</f>
      </c>
      <c r="J237" s="57">
        <f>ROUND(F237*G237,2)</f>
      </c>
      <c r="K237" s="59" t="s">
        <v>62</v>
      </c>
      <c r="Z237" s="57">
        <f>ROUND(IF(AQ237="5",BJ237,0),2)</f>
      </c>
      <c r="AB237" s="57">
        <f>ROUND(IF(AQ237="1",BH237,0),2)</f>
      </c>
      <c r="AC237" s="57">
        <f>ROUND(IF(AQ237="1",BI237,0),2)</f>
      </c>
      <c r="AD237" s="57">
        <f>ROUND(IF(AQ237="7",BH237,0),2)</f>
      </c>
      <c r="AE237" s="57">
        <f>ROUND(IF(AQ237="7",BI237,0),2)</f>
      </c>
      <c r="AF237" s="57">
        <f>ROUND(IF(AQ237="2",BH237,0),2)</f>
      </c>
      <c r="AG237" s="57">
        <f>ROUND(IF(AQ237="2",BI237,0),2)</f>
      </c>
      <c r="AH237" s="57">
        <f>ROUND(IF(AQ237="0",BJ237,0),2)</f>
      </c>
      <c r="AI237" s="33" t="s">
        <v>57</v>
      </c>
      <c r="AJ237" s="57">
        <f>IF(AN237=0,J237,0)</f>
      </c>
      <c r="AK237" s="57">
        <f>IF(AN237=12,J237,0)</f>
      </c>
      <c r="AL237" s="57">
        <f>IF(AN237=21,J237,0)</f>
      </c>
      <c r="AN237" s="57" t="n">
        <v>12</v>
      </c>
      <c r="AO237" s="57">
        <f>G237*0</f>
      </c>
      <c r="AP237" s="57">
        <f>G237*(1-0)</f>
      </c>
      <c r="AQ237" s="60" t="s">
        <v>76</v>
      </c>
      <c r="AV237" s="57">
        <f>ROUND(AW237+AX237,2)</f>
      </c>
      <c r="AW237" s="57">
        <f>ROUND(F237*AO237,2)</f>
      </c>
      <c r="AX237" s="57">
        <f>ROUND(F237*AP237,2)</f>
      </c>
      <c r="AY237" s="60" t="s">
        <v>621</v>
      </c>
      <c r="AZ237" s="60" t="s">
        <v>622</v>
      </c>
      <c r="BA237" s="33" t="s">
        <v>65</v>
      </c>
      <c r="BB237" s="61" t="n">
        <v>100103</v>
      </c>
      <c r="BC237" s="57">
        <f>AW237+AX237</f>
      </c>
      <c r="BD237" s="57">
        <f>G237/(100-BE237)*100</f>
      </c>
      <c r="BE237" s="57" t="n">
        <v>0</v>
      </c>
      <c r="BF237" s="57">
        <f>237</f>
      </c>
      <c r="BH237" s="57">
        <f>F237*AO237</f>
      </c>
      <c r="BI237" s="57">
        <f>F237*AP237</f>
      </c>
      <c r="BJ237" s="57">
        <f>F237*G237</f>
      </c>
      <c r="BK237" s="60" t="s">
        <v>66</v>
      </c>
      <c r="BL237" s="57"/>
      <c r="BW237" s="57" t="n">
        <v>12</v>
      </c>
      <c r="BX237" s="16" t="s">
        <v>634</v>
      </c>
    </row>
    <row r="238">
      <c r="A238" s="10" t="s">
        <v>635</v>
      </c>
      <c r="B238" s="11" t="s">
        <v>636</v>
      </c>
      <c r="C238" s="16" t="s">
        <v>637</v>
      </c>
      <c r="D238" s="11"/>
      <c r="E238" s="11" t="s">
        <v>314</v>
      </c>
      <c r="F238" s="57" t="n">
        <v>84.31076</v>
      </c>
      <c r="G238" s="58" t="n">
        <v>0</v>
      </c>
      <c r="H238" s="57">
        <f>ROUND(F238*AO238,2)</f>
      </c>
      <c r="I238" s="57">
        <f>ROUND(F238*AP238,2)</f>
      </c>
      <c r="J238" s="57">
        <f>ROUND(F238*G238,2)</f>
      </c>
      <c r="K238" s="59" t="s">
        <v>62</v>
      </c>
      <c r="Z238" s="57">
        <f>ROUND(IF(AQ238="5",BJ238,0),2)</f>
      </c>
      <c r="AB238" s="57">
        <f>ROUND(IF(AQ238="1",BH238,0),2)</f>
      </c>
      <c r="AC238" s="57">
        <f>ROUND(IF(AQ238="1",BI238,0),2)</f>
      </c>
      <c r="AD238" s="57">
        <f>ROUND(IF(AQ238="7",BH238,0),2)</f>
      </c>
      <c r="AE238" s="57">
        <f>ROUND(IF(AQ238="7",BI238,0),2)</f>
      </c>
      <c r="AF238" s="57">
        <f>ROUND(IF(AQ238="2",BH238,0),2)</f>
      </c>
      <c r="AG238" s="57">
        <f>ROUND(IF(AQ238="2",BI238,0),2)</f>
      </c>
      <c r="AH238" s="57">
        <f>ROUND(IF(AQ238="0",BJ238,0),2)</f>
      </c>
      <c r="AI238" s="33" t="s">
        <v>57</v>
      </c>
      <c r="AJ238" s="57">
        <f>IF(AN238=0,J238,0)</f>
      </c>
      <c r="AK238" s="57">
        <f>IF(AN238=12,J238,0)</f>
      </c>
      <c r="AL238" s="57">
        <f>IF(AN238=21,J238,0)</f>
      </c>
      <c r="AN238" s="57" t="n">
        <v>12</v>
      </c>
      <c r="AO238" s="57">
        <f>G238*0</f>
      </c>
      <c r="AP238" s="57">
        <f>G238*(1-0)</f>
      </c>
      <c r="AQ238" s="60" t="s">
        <v>76</v>
      </c>
      <c r="AV238" s="57">
        <f>ROUND(AW238+AX238,2)</f>
      </c>
      <c r="AW238" s="57">
        <f>ROUND(F238*AO238,2)</f>
      </c>
      <c r="AX238" s="57">
        <f>ROUND(F238*AP238,2)</f>
      </c>
      <c r="AY238" s="60" t="s">
        <v>621</v>
      </c>
      <c r="AZ238" s="60" t="s">
        <v>622</v>
      </c>
      <c r="BA238" s="33" t="s">
        <v>65</v>
      </c>
      <c r="BB238" s="61" t="n">
        <v>100103</v>
      </c>
      <c r="BC238" s="57">
        <f>AW238+AX238</f>
      </c>
      <c r="BD238" s="57">
        <f>G238/(100-BE238)*100</f>
      </c>
      <c r="BE238" s="57" t="n">
        <v>0</v>
      </c>
      <c r="BF238" s="57">
        <f>238</f>
      </c>
      <c r="BH238" s="57">
        <f>F238*AO238</f>
      </c>
      <c r="BI238" s="57">
        <f>F238*AP238</f>
      </c>
      <c r="BJ238" s="57">
        <f>F238*G238</f>
      </c>
      <c r="BK238" s="60" t="s">
        <v>66</v>
      </c>
      <c r="BL238" s="57"/>
      <c r="BW238" s="57" t="n">
        <v>12</v>
      </c>
      <c r="BX238" s="16" t="s">
        <v>637</v>
      </c>
    </row>
    <row r="239">
      <c r="A239" s="10" t="s">
        <v>638</v>
      </c>
      <c r="B239" s="11" t="s">
        <v>639</v>
      </c>
      <c r="C239" s="16" t="s">
        <v>640</v>
      </c>
      <c r="D239" s="11"/>
      <c r="E239" s="11" t="s">
        <v>314</v>
      </c>
      <c r="F239" s="57" t="n">
        <v>252.93228</v>
      </c>
      <c r="G239" s="58" t="n">
        <v>0</v>
      </c>
      <c r="H239" s="57">
        <f>ROUND(F239*AO239,2)</f>
      </c>
      <c r="I239" s="57">
        <f>ROUND(F239*AP239,2)</f>
      </c>
      <c r="J239" s="57">
        <f>ROUND(F239*G239,2)</f>
      </c>
      <c r="K239" s="59" t="s">
        <v>62</v>
      </c>
      <c r="Z239" s="57">
        <f>ROUND(IF(AQ239="5",BJ239,0),2)</f>
      </c>
      <c r="AB239" s="57">
        <f>ROUND(IF(AQ239="1",BH239,0),2)</f>
      </c>
      <c r="AC239" s="57">
        <f>ROUND(IF(AQ239="1",BI239,0),2)</f>
      </c>
      <c r="AD239" s="57">
        <f>ROUND(IF(AQ239="7",BH239,0),2)</f>
      </c>
      <c r="AE239" s="57">
        <f>ROUND(IF(AQ239="7",BI239,0),2)</f>
      </c>
      <c r="AF239" s="57">
        <f>ROUND(IF(AQ239="2",BH239,0),2)</f>
      </c>
      <c r="AG239" s="57">
        <f>ROUND(IF(AQ239="2",BI239,0),2)</f>
      </c>
      <c r="AH239" s="57">
        <f>ROUND(IF(AQ239="0",BJ239,0),2)</f>
      </c>
      <c r="AI239" s="33" t="s">
        <v>57</v>
      </c>
      <c r="AJ239" s="57">
        <f>IF(AN239=0,J239,0)</f>
      </c>
      <c r="AK239" s="57">
        <f>IF(AN239=12,J239,0)</f>
      </c>
      <c r="AL239" s="57">
        <f>IF(AN239=21,J239,0)</f>
      </c>
      <c r="AN239" s="57" t="n">
        <v>12</v>
      </c>
      <c r="AO239" s="57">
        <f>G239*0</f>
      </c>
      <c r="AP239" s="57">
        <f>G239*(1-0)</f>
      </c>
      <c r="AQ239" s="60" t="s">
        <v>76</v>
      </c>
      <c r="AV239" s="57">
        <f>ROUND(AW239+AX239,2)</f>
      </c>
      <c r="AW239" s="57">
        <f>ROUND(F239*AO239,2)</f>
      </c>
      <c r="AX239" s="57">
        <f>ROUND(F239*AP239,2)</f>
      </c>
      <c r="AY239" s="60" t="s">
        <v>621</v>
      </c>
      <c r="AZ239" s="60" t="s">
        <v>622</v>
      </c>
      <c r="BA239" s="33" t="s">
        <v>65</v>
      </c>
      <c r="BB239" s="61" t="n">
        <v>100103</v>
      </c>
      <c r="BC239" s="57">
        <f>AW239+AX239</f>
      </c>
      <c r="BD239" s="57">
        <f>G239/(100-BE239)*100</f>
      </c>
      <c r="BE239" s="57" t="n">
        <v>0</v>
      </c>
      <c r="BF239" s="57">
        <f>239</f>
      </c>
      <c r="BH239" s="57">
        <f>F239*AO239</f>
      </c>
      <c r="BI239" s="57">
        <f>F239*AP239</f>
      </c>
      <c r="BJ239" s="57">
        <f>F239*G239</f>
      </c>
      <c r="BK239" s="60" t="s">
        <v>66</v>
      </c>
      <c r="BL239" s="57"/>
      <c r="BW239" s="57" t="n">
        <v>12</v>
      </c>
      <c r="BX239" s="16" t="s">
        <v>640</v>
      </c>
    </row>
    <row r="240">
      <c r="A240" s="10" t="s">
        <v>641</v>
      </c>
      <c r="B240" s="11" t="s">
        <v>642</v>
      </c>
      <c r="C240" s="16" t="s">
        <v>643</v>
      </c>
      <c r="D240" s="11"/>
      <c r="E240" s="11" t="s">
        <v>314</v>
      </c>
      <c r="F240" s="57" t="n">
        <v>84.31076</v>
      </c>
      <c r="G240" s="58" t="n">
        <v>0</v>
      </c>
      <c r="H240" s="57">
        <f>ROUND(F240*AO240,2)</f>
      </c>
      <c r="I240" s="57">
        <f>ROUND(F240*AP240,2)</f>
      </c>
      <c r="J240" s="57">
        <f>ROUND(F240*G240,2)</f>
      </c>
      <c r="K240" s="59" t="s">
        <v>62</v>
      </c>
      <c r="Z240" s="57">
        <f>ROUND(IF(AQ240="5",BJ240,0),2)</f>
      </c>
      <c r="AB240" s="57">
        <f>ROUND(IF(AQ240="1",BH240,0),2)</f>
      </c>
      <c r="AC240" s="57">
        <f>ROUND(IF(AQ240="1",BI240,0),2)</f>
      </c>
      <c r="AD240" s="57">
        <f>ROUND(IF(AQ240="7",BH240,0),2)</f>
      </c>
      <c r="AE240" s="57">
        <f>ROUND(IF(AQ240="7",BI240,0),2)</f>
      </c>
      <c r="AF240" s="57">
        <f>ROUND(IF(AQ240="2",BH240,0),2)</f>
      </c>
      <c r="AG240" s="57">
        <f>ROUND(IF(AQ240="2",BI240,0),2)</f>
      </c>
      <c r="AH240" s="57">
        <f>ROUND(IF(AQ240="0",BJ240,0),2)</f>
      </c>
      <c r="AI240" s="33" t="s">
        <v>57</v>
      </c>
      <c r="AJ240" s="57">
        <f>IF(AN240=0,J240,0)</f>
      </c>
      <c r="AK240" s="57">
        <f>IF(AN240=12,J240,0)</f>
      </c>
      <c r="AL240" s="57">
        <f>IF(AN240=21,J240,0)</f>
      </c>
      <c r="AN240" s="57" t="n">
        <v>12</v>
      </c>
      <c r="AO240" s="57">
        <f>G240*0</f>
      </c>
      <c r="AP240" s="57">
        <f>G240*(1-0)</f>
      </c>
      <c r="AQ240" s="60" t="s">
        <v>76</v>
      </c>
      <c r="AV240" s="57">
        <f>ROUND(AW240+AX240,2)</f>
      </c>
      <c r="AW240" s="57">
        <f>ROUND(F240*AO240,2)</f>
      </c>
      <c r="AX240" s="57">
        <f>ROUND(F240*AP240,2)</f>
      </c>
      <c r="AY240" s="60" t="s">
        <v>621</v>
      </c>
      <c r="AZ240" s="60" t="s">
        <v>622</v>
      </c>
      <c r="BA240" s="33" t="s">
        <v>65</v>
      </c>
      <c r="BB240" s="61" t="n">
        <v>100103</v>
      </c>
      <c r="BC240" s="57">
        <f>AW240+AX240</f>
      </c>
      <c r="BD240" s="57">
        <f>G240/(100-BE240)*100</f>
      </c>
      <c r="BE240" s="57" t="n">
        <v>0</v>
      </c>
      <c r="BF240" s="57">
        <f>240</f>
      </c>
      <c r="BH240" s="57">
        <f>F240*AO240</f>
      </c>
      <c r="BI240" s="57">
        <f>F240*AP240</f>
      </c>
      <c r="BJ240" s="57">
        <f>F240*G240</f>
      </c>
      <c r="BK240" s="60" t="s">
        <v>66</v>
      </c>
      <c r="BL240" s="57"/>
      <c r="BW240" s="57" t="n">
        <v>12</v>
      </c>
      <c r="BX240" s="16" t="s">
        <v>643</v>
      </c>
    </row>
    <row r="241">
      <c r="A241" s="10" t="s">
        <v>644</v>
      </c>
      <c r="B241" s="11" t="s">
        <v>645</v>
      </c>
      <c r="C241" s="16" t="s">
        <v>646</v>
      </c>
      <c r="D241" s="11"/>
      <c r="E241" s="11" t="s">
        <v>314</v>
      </c>
      <c r="F241" s="57" t="n">
        <v>843.1076</v>
      </c>
      <c r="G241" s="58" t="n">
        <v>0</v>
      </c>
      <c r="H241" s="57">
        <f>ROUND(F241*AO241,2)</f>
      </c>
      <c r="I241" s="57">
        <f>ROUND(F241*AP241,2)</f>
      </c>
      <c r="J241" s="57">
        <f>ROUND(F241*G241,2)</f>
      </c>
      <c r="K241" s="59" t="s">
        <v>62</v>
      </c>
      <c r="Z241" s="57">
        <f>ROUND(IF(AQ241="5",BJ241,0),2)</f>
      </c>
      <c r="AB241" s="57">
        <f>ROUND(IF(AQ241="1",BH241,0),2)</f>
      </c>
      <c r="AC241" s="57">
        <f>ROUND(IF(AQ241="1",BI241,0),2)</f>
      </c>
      <c r="AD241" s="57">
        <f>ROUND(IF(AQ241="7",BH241,0),2)</f>
      </c>
      <c r="AE241" s="57">
        <f>ROUND(IF(AQ241="7",BI241,0),2)</f>
      </c>
      <c r="AF241" s="57">
        <f>ROUND(IF(AQ241="2",BH241,0),2)</f>
      </c>
      <c r="AG241" s="57">
        <f>ROUND(IF(AQ241="2",BI241,0),2)</f>
      </c>
      <c r="AH241" s="57">
        <f>ROUND(IF(AQ241="0",BJ241,0),2)</f>
      </c>
      <c r="AI241" s="33" t="s">
        <v>57</v>
      </c>
      <c r="AJ241" s="57">
        <f>IF(AN241=0,J241,0)</f>
      </c>
      <c r="AK241" s="57">
        <f>IF(AN241=12,J241,0)</f>
      </c>
      <c r="AL241" s="57">
        <f>IF(AN241=21,J241,0)</f>
      </c>
      <c r="AN241" s="57" t="n">
        <v>12</v>
      </c>
      <c r="AO241" s="57">
        <f>G241*0</f>
      </c>
      <c r="AP241" s="57">
        <f>G241*(1-0)</f>
      </c>
      <c r="AQ241" s="60" t="s">
        <v>76</v>
      </c>
      <c r="AV241" s="57">
        <f>ROUND(AW241+AX241,2)</f>
      </c>
      <c r="AW241" s="57">
        <f>ROUND(F241*AO241,2)</f>
      </c>
      <c r="AX241" s="57">
        <f>ROUND(F241*AP241,2)</f>
      </c>
      <c r="AY241" s="60" t="s">
        <v>621</v>
      </c>
      <c r="AZ241" s="60" t="s">
        <v>622</v>
      </c>
      <c r="BA241" s="33" t="s">
        <v>65</v>
      </c>
      <c r="BB241" s="61" t="n">
        <v>100103</v>
      </c>
      <c r="BC241" s="57">
        <f>AW241+AX241</f>
      </c>
      <c r="BD241" s="57">
        <f>G241/(100-BE241)*100</f>
      </c>
      <c r="BE241" s="57" t="n">
        <v>0</v>
      </c>
      <c r="BF241" s="57">
        <f>241</f>
      </c>
      <c r="BH241" s="57">
        <f>F241*AO241</f>
      </c>
      <c r="BI241" s="57">
        <f>F241*AP241</f>
      </c>
      <c r="BJ241" s="57">
        <f>F241*G241</f>
      </c>
      <c r="BK241" s="60" t="s">
        <v>66</v>
      </c>
      <c r="BL241" s="57"/>
      <c r="BW241" s="57" t="n">
        <v>12</v>
      </c>
      <c r="BX241" s="16" t="s">
        <v>646</v>
      </c>
    </row>
    <row r="242">
      <c r="A242" s="51" t="s">
        <v>53</v>
      </c>
      <c r="B242" s="52" t="s">
        <v>53</v>
      </c>
      <c r="C242" s="53" t="s">
        <v>647</v>
      </c>
      <c r="D242" s="52"/>
      <c r="E242" s="54" t="s">
        <v>4</v>
      </c>
      <c r="F242" s="54" t="s">
        <v>4</v>
      </c>
      <c r="G242" s="55" t="s">
        <v>4</v>
      </c>
      <c r="H242" s="2">
        <f>ROUND(SUM(H243,H249,H255,H257,H259),2)</f>
      </c>
      <c r="I242" s="2">
        <f>ROUND(SUM(I243,I249,I255,I257,I259),2)</f>
      </c>
      <c r="J242" s="2">
        <f>ROUND(SUM(J243,J249,J255,J257,J259),2)</f>
      </c>
      <c r="K242" s="56" t="s">
        <v>53</v>
      </c>
    </row>
    <row r="243">
      <c r="A243" s="51" t="s">
        <v>53</v>
      </c>
      <c r="B243" s="52" t="s">
        <v>648</v>
      </c>
      <c r="C243" s="53" t="s">
        <v>649</v>
      </c>
      <c r="D243" s="52"/>
      <c r="E243" s="54" t="s">
        <v>4</v>
      </c>
      <c r="F243" s="54" t="s">
        <v>4</v>
      </c>
      <c r="G243" s="55" t="s">
        <v>4</v>
      </c>
      <c r="H243" s="2">
        <f>ROUND(SUM(H244:H248),2)</f>
      </c>
      <c r="I243" s="2">
        <f>ROUND(SUM(I244:I248),2)</f>
      </c>
      <c r="J243" s="2">
        <f>ROUND(SUM(J244:J248),2)</f>
      </c>
      <c r="K243" s="56" t="s">
        <v>53</v>
      </c>
      <c r="AI243" s="33" t="s">
        <v>650</v>
      </c>
      <c r="AS243" s="2">
        <f>SUM(AJ244:AJ248)</f>
      </c>
      <c r="AT243" s="2">
        <f>SUM(AK244:AK248)</f>
      </c>
      <c r="AU243" s="2">
        <f>SUM(AL244:AL248)</f>
      </c>
    </row>
    <row r="244">
      <c r="A244" s="10" t="s">
        <v>651</v>
      </c>
      <c r="B244" s="11" t="s">
        <v>652</v>
      </c>
      <c r="C244" s="16" t="s">
        <v>653</v>
      </c>
      <c r="D244" s="11"/>
      <c r="E244" s="11" t="s">
        <v>61</v>
      </c>
      <c r="F244" s="57" t="n">
        <v>1016.76</v>
      </c>
      <c r="G244" s="58" t="n">
        <v>0</v>
      </c>
      <c r="H244" s="57">
        <f>ROUND(F244*AO244,2)</f>
      </c>
      <c r="I244" s="57">
        <f>ROUND(F244*AP244,2)</f>
      </c>
      <c r="J244" s="57">
        <f>ROUND(F244*G244,2)</f>
      </c>
      <c r="K244" s="59" t="s">
        <v>62</v>
      </c>
      <c r="Z244" s="57">
        <f>ROUND(IF(AQ244="5",BJ244,0),2)</f>
      </c>
      <c r="AB244" s="57">
        <f>ROUND(IF(AQ244="1",BH244,0),2)</f>
      </c>
      <c r="AC244" s="57">
        <f>ROUND(IF(AQ244="1",BI244,0),2)</f>
      </c>
      <c r="AD244" s="57">
        <f>ROUND(IF(AQ244="7",BH244,0),2)</f>
      </c>
      <c r="AE244" s="57">
        <f>ROUND(IF(AQ244="7",BI244,0),2)</f>
      </c>
      <c r="AF244" s="57">
        <f>ROUND(IF(AQ244="2",BH244,0),2)</f>
      </c>
      <c r="AG244" s="57">
        <f>ROUND(IF(AQ244="2",BI244,0),2)</f>
      </c>
      <c r="AH244" s="57">
        <f>ROUND(IF(AQ244="0",BJ244,0),2)</f>
      </c>
      <c r="AI244" s="33" t="s">
        <v>650</v>
      </c>
      <c r="AJ244" s="57">
        <f>IF(AN244=0,J244,0)</f>
      </c>
      <c r="AK244" s="57">
        <f>IF(AN244=12,J244,0)</f>
      </c>
      <c r="AL244" s="57">
        <f>IF(AN244=21,J244,0)</f>
      </c>
      <c r="AN244" s="57" t="n">
        <v>12</v>
      </c>
      <c r="AO244" s="57">
        <f>G244*0</f>
      </c>
      <c r="AP244" s="57">
        <f>G244*(1-0)</f>
      </c>
      <c r="AQ244" s="60" t="s">
        <v>89</v>
      </c>
      <c r="AV244" s="57">
        <f>ROUND(AW244+AX244,2)</f>
      </c>
      <c r="AW244" s="57">
        <f>ROUND(F244*AO244,2)</f>
      </c>
      <c r="AX244" s="57">
        <f>ROUND(F244*AP244,2)</f>
      </c>
      <c r="AY244" s="60" t="s">
        <v>654</v>
      </c>
      <c r="AZ244" s="60" t="s">
        <v>655</v>
      </c>
      <c r="BA244" s="33" t="s">
        <v>656</v>
      </c>
      <c r="BB244" s="61" t="n">
        <v>100131</v>
      </c>
      <c r="BC244" s="57">
        <f>AW244+AX244</f>
      </c>
      <c r="BD244" s="57">
        <f>G244/(100-BE244)*100</f>
      </c>
      <c r="BE244" s="57" t="n">
        <v>0</v>
      </c>
      <c r="BF244" s="57">
        <f>244</f>
      </c>
      <c r="BH244" s="57">
        <f>F244*AO244</f>
      </c>
      <c r="BI244" s="57">
        <f>F244*AP244</f>
      </c>
      <c r="BJ244" s="57">
        <f>F244*G244</f>
      </c>
      <c r="BK244" s="60" t="s">
        <v>66</v>
      </c>
      <c r="BL244" s="57" t="n">
        <v>713</v>
      </c>
      <c r="BW244" s="57" t="n">
        <v>12</v>
      </c>
      <c r="BX244" s="16" t="s">
        <v>653</v>
      </c>
    </row>
    <row r="245">
      <c r="A245" s="10" t="s">
        <v>657</v>
      </c>
      <c r="B245" s="11" t="s">
        <v>658</v>
      </c>
      <c r="C245" s="16" t="s">
        <v>659</v>
      </c>
      <c r="D245" s="11"/>
      <c r="E245" s="11" t="s">
        <v>61</v>
      </c>
      <c r="F245" s="57" t="n">
        <v>2236.872</v>
      </c>
      <c r="G245" s="58" t="n">
        <v>0</v>
      </c>
      <c r="H245" s="57">
        <f>ROUND(F245*AO245,2)</f>
      </c>
      <c r="I245" s="57">
        <f>ROUND(F245*AP245,2)</f>
      </c>
      <c r="J245" s="57">
        <f>ROUND(F245*G245,2)</f>
      </c>
      <c r="K245" s="59" t="s">
        <v>62</v>
      </c>
      <c r="Z245" s="57">
        <f>ROUND(IF(AQ245="5",BJ245,0),2)</f>
      </c>
      <c r="AB245" s="57">
        <f>ROUND(IF(AQ245="1",BH245,0),2)</f>
      </c>
      <c r="AC245" s="57">
        <f>ROUND(IF(AQ245="1",BI245,0),2)</f>
      </c>
      <c r="AD245" s="57">
        <f>ROUND(IF(AQ245="7",BH245,0),2)</f>
      </c>
      <c r="AE245" s="57">
        <f>ROUND(IF(AQ245="7",BI245,0),2)</f>
      </c>
      <c r="AF245" s="57">
        <f>ROUND(IF(AQ245="2",BH245,0),2)</f>
      </c>
      <c r="AG245" s="57">
        <f>ROUND(IF(AQ245="2",BI245,0),2)</f>
      </c>
      <c r="AH245" s="57">
        <f>ROUND(IF(AQ245="0",BJ245,0),2)</f>
      </c>
      <c r="AI245" s="33" t="s">
        <v>650</v>
      </c>
      <c r="AJ245" s="57">
        <f>IF(AN245=0,J245,0)</f>
      </c>
      <c r="AK245" s="57">
        <f>IF(AN245=12,J245,0)</f>
      </c>
      <c r="AL245" s="57">
        <f>IF(AN245=21,J245,0)</f>
      </c>
      <c r="AN245" s="57" t="n">
        <v>12</v>
      </c>
      <c r="AO245" s="57">
        <f>G245*1</f>
      </c>
      <c r="AP245" s="57">
        <f>G245*(1-1)</f>
      </c>
      <c r="AQ245" s="60" t="s">
        <v>89</v>
      </c>
      <c r="AV245" s="57">
        <f>ROUND(AW245+AX245,2)</f>
      </c>
      <c r="AW245" s="57">
        <f>ROUND(F245*AO245,2)</f>
      </c>
      <c r="AX245" s="57">
        <f>ROUND(F245*AP245,2)</f>
      </c>
      <c r="AY245" s="60" t="s">
        <v>654</v>
      </c>
      <c r="AZ245" s="60" t="s">
        <v>655</v>
      </c>
      <c r="BA245" s="33" t="s">
        <v>656</v>
      </c>
      <c r="BC245" s="57">
        <f>AW245+AX245</f>
      </c>
      <c r="BD245" s="57">
        <f>G245/(100-BE245)*100</f>
      </c>
      <c r="BE245" s="57" t="n">
        <v>0</v>
      </c>
      <c r="BF245" s="57">
        <f>245</f>
      </c>
      <c r="BH245" s="57">
        <f>F245*AO245</f>
      </c>
      <c r="BI245" s="57">
        <f>F245*AP245</f>
      </c>
      <c r="BJ245" s="57">
        <f>F245*G245</f>
      </c>
      <c r="BK245" s="60" t="s">
        <v>98</v>
      </c>
      <c r="BL245" s="57" t="n">
        <v>713</v>
      </c>
      <c r="BW245" s="57" t="n">
        <v>12</v>
      </c>
      <c r="BX245" s="16" t="s">
        <v>659</v>
      </c>
    </row>
    <row r="246">
      <c r="A246" s="10" t="s">
        <v>660</v>
      </c>
      <c r="B246" s="11" t="s">
        <v>661</v>
      </c>
      <c r="C246" s="16" t="s">
        <v>662</v>
      </c>
      <c r="D246" s="11"/>
      <c r="E246" s="11" t="s">
        <v>61</v>
      </c>
      <c r="F246" s="57" t="n">
        <v>1016.76</v>
      </c>
      <c r="G246" s="58" t="n">
        <v>0</v>
      </c>
      <c r="H246" s="57">
        <f>ROUND(F246*AO246,2)</f>
      </c>
      <c r="I246" s="57">
        <f>ROUND(F246*AP246,2)</f>
      </c>
      <c r="J246" s="57">
        <f>ROUND(F246*G246,2)</f>
      </c>
      <c r="K246" s="59" t="s">
        <v>62</v>
      </c>
      <c r="Z246" s="57">
        <f>ROUND(IF(AQ246="5",BJ246,0),2)</f>
      </c>
      <c r="AB246" s="57">
        <f>ROUND(IF(AQ246="1",BH246,0),2)</f>
      </c>
      <c r="AC246" s="57">
        <f>ROUND(IF(AQ246="1",BI246,0),2)</f>
      </c>
      <c r="AD246" s="57">
        <f>ROUND(IF(AQ246="7",BH246,0),2)</f>
      </c>
      <c r="AE246" s="57">
        <f>ROUND(IF(AQ246="7",BI246,0),2)</f>
      </c>
      <c r="AF246" s="57">
        <f>ROUND(IF(AQ246="2",BH246,0),2)</f>
      </c>
      <c r="AG246" s="57">
        <f>ROUND(IF(AQ246="2",BI246,0),2)</f>
      </c>
      <c r="AH246" s="57">
        <f>ROUND(IF(AQ246="0",BJ246,0),2)</f>
      </c>
      <c r="AI246" s="33" t="s">
        <v>650</v>
      </c>
      <c r="AJ246" s="57">
        <f>IF(AN246=0,J246,0)</f>
      </c>
      <c r="AK246" s="57">
        <f>IF(AN246=12,J246,0)</f>
      </c>
      <c r="AL246" s="57">
        <f>IF(AN246=21,J246,0)</f>
      </c>
      <c r="AN246" s="57" t="n">
        <v>12</v>
      </c>
      <c r="AO246" s="57">
        <f>G246*0</f>
      </c>
      <c r="AP246" s="57">
        <f>G246*(1-0)</f>
      </c>
      <c r="AQ246" s="60" t="s">
        <v>89</v>
      </c>
      <c r="AV246" s="57">
        <f>ROUND(AW246+AX246,2)</f>
      </c>
      <c r="AW246" s="57">
        <f>ROUND(F246*AO246,2)</f>
      </c>
      <c r="AX246" s="57">
        <f>ROUND(F246*AP246,2)</f>
      </c>
      <c r="AY246" s="60" t="s">
        <v>654</v>
      </c>
      <c r="AZ246" s="60" t="s">
        <v>655</v>
      </c>
      <c r="BA246" s="33" t="s">
        <v>656</v>
      </c>
      <c r="BB246" s="61" t="n">
        <v>100131</v>
      </c>
      <c r="BC246" s="57">
        <f>AW246+AX246</f>
      </c>
      <c r="BD246" s="57">
        <f>G246/(100-BE246)*100</f>
      </c>
      <c r="BE246" s="57" t="n">
        <v>0</v>
      </c>
      <c r="BF246" s="57">
        <f>246</f>
      </c>
      <c r="BH246" s="57">
        <f>F246*AO246</f>
      </c>
      <c r="BI246" s="57">
        <f>F246*AP246</f>
      </c>
      <c r="BJ246" s="57">
        <f>F246*G246</f>
      </c>
      <c r="BK246" s="60" t="s">
        <v>66</v>
      </c>
      <c r="BL246" s="57" t="n">
        <v>713</v>
      </c>
      <c r="BW246" s="57" t="n">
        <v>12</v>
      </c>
      <c r="BX246" s="16" t="s">
        <v>662</v>
      </c>
    </row>
    <row r="247">
      <c r="A247" s="10" t="s">
        <v>663</v>
      </c>
      <c r="B247" s="11" t="s">
        <v>664</v>
      </c>
      <c r="C247" s="16" t="s">
        <v>665</v>
      </c>
      <c r="D247" s="11"/>
      <c r="E247" s="11" t="s">
        <v>61</v>
      </c>
      <c r="F247" s="57" t="n">
        <v>1118.436</v>
      </c>
      <c r="G247" s="58" t="n">
        <v>0</v>
      </c>
      <c r="H247" s="57">
        <f>ROUND(F247*AO247,2)</f>
      </c>
      <c r="I247" s="57">
        <f>ROUND(F247*AP247,2)</f>
      </c>
      <c r="J247" s="57">
        <f>ROUND(F247*G247,2)</f>
      </c>
      <c r="K247" s="59" t="s">
        <v>62</v>
      </c>
      <c r="Z247" s="57">
        <f>ROUND(IF(AQ247="5",BJ247,0),2)</f>
      </c>
      <c r="AB247" s="57">
        <f>ROUND(IF(AQ247="1",BH247,0),2)</f>
      </c>
      <c r="AC247" s="57">
        <f>ROUND(IF(AQ247="1",BI247,0),2)</f>
      </c>
      <c r="AD247" s="57">
        <f>ROUND(IF(AQ247="7",BH247,0),2)</f>
      </c>
      <c r="AE247" s="57">
        <f>ROUND(IF(AQ247="7",BI247,0),2)</f>
      </c>
      <c r="AF247" s="57">
        <f>ROUND(IF(AQ247="2",BH247,0),2)</f>
      </c>
      <c r="AG247" s="57">
        <f>ROUND(IF(AQ247="2",BI247,0),2)</f>
      </c>
      <c r="AH247" s="57">
        <f>ROUND(IF(AQ247="0",BJ247,0),2)</f>
      </c>
      <c r="AI247" s="33" t="s">
        <v>650</v>
      </c>
      <c r="AJ247" s="57">
        <f>IF(AN247=0,J247,0)</f>
      </c>
      <c r="AK247" s="57">
        <f>IF(AN247=12,J247,0)</f>
      </c>
      <c r="AL247" s="57">
        <f>IF(AN247=21,J247,0)</f>
      </c>
      <c r="AN247" s="57" t="n">
        <v>12</v>
      </c>
      <c r="AO247" s="57">
        <f>G247*1</f>
      </c>
      <c r="AP247" s="57">
        <f>G247*(1-1)</f>
      </c>
      <c r="AQ247" s="60" t="s">
        <v>89</v>
      </c>
      <c r="AV247" s="57">
        <f>ROUND(AW247+AX247,2)</f>
      </c>
      <c r="AW247" s="57">
        <f>ROUND(F247*AO247,2)</f>
      </c>
      <c r="AX247" s="57">
        <f>ROUND(F247*AP247,2)</f>
      </c>
      <c r="AY247" s="60" t="s">
        <v>654</v>
      </c>
      <c r="AZ247" s="60" t="s">
        <v>655</v>
      </c>
      <c r="BA247" s="33" t="s">
        <v>656</v>
      </c>
      <c r="BC247" s="57">
        <f>AW247+AX247</f>
      </c>
      <c r="BD247" s="57">
        <f>G247/(100-BE247)*100</f>
      </c>
      <c r="BE247" s="57" t="n">
        <v>0</v>
      </c>
      <c r="BF247" s="57">
        <f>247</f>
      </c>
      <c r="BH247" s="57">
        <f>F247*AO247</f>
      </c>
      <c r="BI247" s="57">
        <f>F247*AP247</f>
      </c>
      <c r="BJ247" s="57">
        <f>F247*G247</f>
      </c>
      <c r="BK247" s="60" t="s">
        <v>98</v>
      </c>
      <c r="BL247" s="57" t="n">
        <v>713</v>
      </c>
      <c r="BW247" s="57" t="n">
        <v>12</v>
      </c>
      <c r="BX247" s="16" t="s">
        <v>665</v>
      </c>
    </row>
    <row r="248">
      <c r="A248" s="10" t="s">
        <v>666</v>
      </c>
      <c r="B248" s="11" t="s">
        <v>667</v>
      </c>
      <c r="C248" s="16" t="s">
        <v>668</v>
      </c>
      <c r="D248" s="11"/>
      <c r="E248" s="11" t="s">
        <v>314</v>
      </c>
      <c r="F248" s="57" t="n">
        <v>3.73558</v>
      </c>
      <c r="G248" s="58" t="n">
        <v>0</v>
      </c>
      <c r="H248" s="57">
        <f>ROUND(F248*AO248,2)</f>
      </c>
      <c r="I248" s="57">
        <f>ROUND(F248*AP248,2)</f>
      </c>
      <c r="J248" s="57">
        <f>ROUND(F248*G248,2)</f>
      </c>
      <c r="K248" s="59" t="s">
        <v>62</v>
      </c>
      <c r="Z248" s="57">
        <f>ROUND(IF(AQ248="5",BJ248,0),2)</f>
      </c>
      <c r="AB248" s="57">
        <f>ROUND(IF(AQ248="1",BH248,0),2)</f>
      </c>
      <c r="AC248" s="57">
        <f>ROUND(IF(AQ248="1",BI248,0),2)</f>
      </c>
      <c r="AD248" s="57">
        <f>ROUND(IF(AQ248="7",BH248,0),2)</f>
      </c>
      <c r="AE248" s="57">
        <f>ROUND(IF(AQ248="7",BI248,0),2)</f>
      </c>
      <c r="AF248" s="57">
        <f>ROUND(IF(AQ248="2",BH248,0),2)</f>
      </c>
      <c r="AG248" s="57">
        <f>ROUND(IF(AQ248="2",BI248,0),2)</f>
      </c>
      <c r="AH248" s="57">
        <f>ROUND(IF(AQ248="0",BJ248,0),2)</f>
      </c>
      <c r="AI248" s="33" t="s">
        <v>650</v>
      </c>
      <c r="AJ248" s="57">
        <f>IF(AN248=0,J248,0)</f>
      </c>
      <c r="AK248" s="57">
        <f>IF(AN248=12,J248,0)</f>
      </c>
      <c r="AL248" s="57">
        <f>IF(AN248=21,J248,0)</f>
      </c>
      <c r="AN248" s="57" t="n">
        <v>12</v>
      </c>
      <c r="AO248" s="57">
        <f>G248*0</f>
      </c>
      <c r="AP248" s="57">
        <f>G248*(1-0)</f>
      </c>
      <c r="AQ248" s="60" t="s">
        <v>76</v>
      </c>
      <c r="AV248" s="57">
        <f>ROUND(AW248+AX248,2)</f>
      </c>
      <c r="AW248" s="57">
        <f>ROUND(F248*AO248,2)</f>
      </c>
      <c r="AX248" s="57">
        <f>ROUND(F248*AP248,2)</f>
      </c>
      <c r="AY248" s="60" t="s">
        <v>654</v>
      </c>
      <c r="AZ248" s="60" t="s">
        <v>655</v>
      </c>
      <c r="BA248" s="33" t="s">
        <v>656</v>
      </c>
      <c r="BB248" s="61" t="n">
        <v>100131</v>
      </c>
      <c r="BC248" s="57">
        <f>AW248+AX248</f>
      </c>
      <c r="BD248" s="57">
        <f>G248/(100-BE248)*100</f>
      </c>
      <c r="BE248" s="57" t="n">
        <v>0</v>
      </c>
      <c r="BF248" s="57">
        <f>248</f>
      </c>
      <c r="BH248" s="57">
        <f>F248*AO248</f>
      </c>
      <c r="BI248" s="57">
        <f>F248*AP248</f>
      </c>
      <c r="BJ248" s="57">
        <f>F248*G248</f>
      </c>
      <c r="BK248" s="60" t="s">
        <v>66</v>
      </c>
      <c r="BL248" s="57" t="n">
        <v>713</v>
      </c>
      <c r="BW248" s="57" t="n">
        <v>12</v>
      </c>
      <c r="BX248" s="16" t="s">
        <v>668</v>
      </c>
    </row>
    <row r="249">
      <c r="A249" s="51" t="s">
        <v>53</v>
      </c>
      <c r="B249" s="52" t="s">
        <v>669</v>
      </c>
      <c r="C249" s="53" t="s">
        <v>670</v>
      </c>
      <c r="D249" s="52"/>
      <c r="E249" s="54" t="s">
        <v>4</v>
      </c>
      <c r="F249" s="54" t="s">
        <v>4</v>
      </c>
      <c r="G249" s="55" t="s">
        <v>4</v>
      </c>
      <c r="H249" s="2">
        <f>ROUND(SUM(H250:H254),2)</f>
      </c>
      <c r="I249" s="2">
        <f>ROUND(SUM(I250:I254),2)</f>
      </c>
      <c r="J249" s="2">
        <f>ROUND(SUM(J250:J254),2)</f>
      </c>
      <c r="K249" s="56" t="s">
        <v>53</v>
      </c>
      <c r="AI249" s="33" t="s">
        <v>650</v>
      </c>
      <c r="AS249" s="2">
        <f>SUM(AJ250:AJ254)</f>
      </c>
      <c r="AT249" s="2">
        <f>SUM(AK250:AK254)</f>
      </c>
      <c r="AU249" s="2">
        <f>SUM(AL250:AL254)</f>
      </c>
    </row>
    <row r="250">
      <c r="A250" s="10" t="s">
        <v>671</v>
      </c>
      <c r="B250" s="11" t="s">
        <v>672</v>
      </c>
      <c r="C250" s="16" t="s">
        <v>673</v>
      </c>
      <c r="D250" s="11"/>
      <c r="E250" s="11" t="s">
        <v>61</v>
      </c>
      <c r="F250" s="57" t="n">
        <v>109.5</v>
      </c>
      <c r="G250" s="58" t="n">
        <v>0</v>
      </c>
      <c r="H250" s="57">
        <f>ROUND(F250*AO250,2)</f>
      </c>
      <c r="I250" s="57">
        <f>ROUND(F250*AP250,2)</f>
      </c>
      <c r="J250" s="57">
        <f>ROUND(F250*G250,2)</f>
      </c>
      <c r="K250" s="59" t="s">
        <v>62</v>
      </c>
      <c r="Z250" s="57">
        <f>ROUND(IF(AQ250="5",BJ250,0),2)</f>
      </c>
      <c r="AB250" s="57">
        <f>ROUND(IF(AQ250="1",BH250,0),2)</f>
      </c>
      <c r="AC250" s="57">
        <f>ROUND(IF(AQ250="1",BI250,0),2)</f>
      </c>
      <c r="AD250" s="57">
        <f>ROUND(IF(AQ250="7",BH250,0),2)</f>
      </c>
      <c r="AE250" s="57">
        <f>ROUND(IF(AQ250="7",BI250,0),2)</f>
      </c>
      <c r="AF250" s="57">
        <f>ROUND(IF(AQ250="2",BH250,0),2)</f>
      </c>
      <c r="AG250" s="57">
        <f>ROUND(IF(AQ250="2",BI250,0),2)</f>
      </c>
      <c r="AH250" s="57">
        <f>ROUND(IF(AQ250="0",BJ250,0),2)</f>
      </c>
      <c r="AI250" s="33" t="s">
        <v>650</v>
      </c>
      <c r="AJ250" s="57">
        <f>IF(AN250=0,J250,0)</f>
      </c>
      <c r="AK250" s="57">
        <f>IF(AN250=12,J250,0)</f>
      </c>
      <c r="AL250" s="57">
        <f>IF(AN250=21,J250,0)</f>
      </c>
      <c r="AN250" s="57" t="n">
        <v>12</v>
      </c>
      <c r="AO250" s="57">
        <f>G250*0.733130016</f>
      </c>
      <c r="AP250" s="57">
        <f>G250*(1-0.733130016)</f>
      </c>
      <c r="AQ250" s="60" t="s">
        <v>89</v>
      </c>
      <c r="AV250" s="57">
        <f>ROUND(AW250+AX250,2)</f>
      </c>
      <c r="AW250" s="57">
        <f>ROUND(F250*AO250,2)</f>
      </c>
      <c r="AX250" s="57">
        <f>ROUND(F250*AP250,2)</f>
      </c>
      <c r="AY250" s="60" t="s">
        <v>674</v>
      </c>
      <c r="AZ250" s="60" t="s">
        <v>675</v>
      </c>
      <c r="BA250" s="33" t="s">
        <v>656</v>
      </c>
      <c r="BB250" s="61" t="n">
        <v>100133</v>
      </c>
      <c r="BC250" s="57">
        <f>AW250+AX250</f>
      </c>
      <c r="BD250" s="57">
        <f>G250/(100-BE250)*100</f>
      </c>
      <c r="BE250" s="57" t="n">
        <v>0</v>
      </c>
      <c r="BF250" s="57">
        <f>250</f>
      </c>
      <c r="BH250" s="57">
        <f>F250*AO250</f>
      </c>
      <c r="BI250" s="57">
        <f>F250*AP250</f>
      </c>
      <c r="BJ250" s="57">
        <f>F250*G250</f>
      </c>
      <c r="BK250" s="60" t="s">
        <v>66</v>
      </c>
      <c r="BL250" s="57" t="n">
        <v>763</v>
      </c>
      <c r="BW250" s="57" t="n">
        <v>12</v>
      </c>
      <c r="BX250" s="16" t="s">
        <v>673</v>
      </c>
    </row>
    <row r="251" customHeight="true" ht="13.5">
      <c r="A251" s="62"/>
      <c r="B251" s="63" t="s">
        <v>106</v>
      </c>
      <c r="C251" s="64" t="s">
        <v>676</v>
      </c>
      <c r="D251" s="65"/>
      <c r="E251" s="65"/>
      <c r="F251" s="65"/>
      <c r="G251" s="66"/>
      <c r="H251" s="65"/>
      <c r="I251" s="65"/>
      <c r="J251" s="65"/>
      <c r="K251" s="67"/>
    </row>
    <row r="252">
      <c r="A252" s="10" t="s">
        <v>677</v>
      </c>
      <c r="B252" s="11" t="s">
        <v>678</v>
      </c>
      <c r="C252" s="16" t="s">
        <v>679</v>
      </c>
      <c r="D252" s="11"/>
      <c r="E252" s="11" t="s">
        <v>126</v>
      </c>
      <c r="F252" s="57" t="n">
        <v>133.65</v>
      </c>
      <c r="G252" s="58" t="n">
        <v>0</v>
      </c>
      <c r="H252" s="57">
        <f>ROUND(F252*AO252,2)</f>
      </c>
      <c r="I252" s="57">
        <f>ROUND(F252*AP252,2)</f>
      </c>
      <c r="J252" s="57">
        <f>ROUND(F252*G252,2)</f>
      </c>
      <c r="K252" s="59" t="s">
        <v>62</v>
      </c>
      <c r="Z252" s="57">
        <f>ROUND(IF(AQ252="5",BJ252,0),2)</f>
      </c>
      <c r="AB252" s="57">
        <f>ROUND(IF(AQ252="1",BH252,0),2)</f>
      </c>
      <c r="AC252" s="57">
        <f>ROUND(IF(AQ252="1",BI252,0),2)</f>
      </c>
      <c r="AD252" s="57">
        <f>ROUND(IF(AQ252="7",BH252,0),2)</f>
      </c>
      <c r="AE252" s="57">
        <f>ROUND(IF(AQ252="7",BI252,0),2)</f>
      </c>
      <c r="AF252" s="57">
        <f>ROUND(IF(AQ252="2",BH252,0),2)</f>
      </c>
      <c r="AG252" s="57">
        <f>ROUND(IF(AQ252="2",BI252,0),2)</f>
      </c>
      <c r="AH252" s="57">
        <f>ROUND(IF(AQ252="0",BJ252,0),2)</f>
      </c>
      <c r="AI252" s="33" t="s">
        <v>650</v>
      </c>
      <c r="AJ252" s="57">
        <f>IF(AN252=0,J252,0)</f>
      </c>
      <c r="AK252" s="57">
        <f>IF(AN252=12,J252,0)</f>
      </c>
      <c r="AL252" s="57">
        <f>IF(AN252=21,J252,0)</f>
      </c>
      <c r="AN252" s="57" t="n">
        <v>12</v>
      </c>
      <c r="AO252" s="57">
        <f>G252*0.087476476</f>
      </c>
      <c r="AP252" s="57">
        <f>G252*(1-0.087476476)</f>
      </c>
      <c r="AQ252" s="60" t="s">
        <v>89</v>
      </c>
      <c r="AV252" s="57">
        <f>ROUND(AW252+AX252,2)</f>
      </c>
      <c r="AW252" s="57">
        <f>ROUND(F252*AO252,2)</f>
      </c>
      <c r="AX252" s="57">
        <f>ROUND(F252*AP252,2)</f>
      </c>
      <c r="AY252" s="60" t="s">
        <v>674</v>
      </c>
      <c r="AZ252" s="60" t="s">
        <v>675</v>
      </c>
      <c r="BA252" s="33" t="s">
        <v>656</v>
      </c>
      <c r="BB252" s="61" t="n">
        <v>100133</v>
      </c>
      <c r="BC252" s="57">
        <f>AW252+AX252</f>
      </c>
      <c r="BD252" s="57">
        <f>G252/(100-BE252)*100</f>
      </c>
      <c r="BE252" s="57" t="n">
        <v>0</v>
      </c>
      <c r="BF252" s="57">
        <f>252</f>
      </c>
      <c r="BH252" s="57">
        <f>F252*AO252</f>
      </c>
      <c r="BI252" s="57">
        <f>F252*AP252</f>
      </c>
      <c r="BJ252" s="57">
        <f>F252*G252</f>
      </c>
      <c r="BK252" s="60" t="s">
        <v>66</v>
      </c>
      <c r="BL252" s="57" t="n">
        <v>763</v>
      </c>
      <c r="BW252" s="57" t="n">
        <v>12</v>
      </c>
      <c r="BX252" s="16" t="s">
        <v>679</v>
      </c>
    </row>
    <row r="253">
      <c r="A253" s="10" t="s">
        <v>680</v>
      </c>
      <c r="B253" s="11" t="s">
        <v>681</v>
      </c>
      <c r="C253" s="16" t="s">
        <v>682</v>
      </c>
      <c r="D253" s="11"/>
      <c r="E253" s="11" t="s">
        <v>61</v>
      </c>
      <c r="F253" s="57" t="n">
        <v>133.65</v>
      </c>
      <c r="G253" s="58" t="n">
        <v>0</v>
      </c>
      <c r="H253" s="57">
        <f>ROUND(F253*AO253,2)</f>
      </c>
      <c r="I253" s="57">
        <f>ROUND(F253*AP253,2)</f>
      </c>
      <c r="J253" s="57">
        <f>ROUND(F253*G253,2)</f>
      </c>
      <c r="K253" s="59" t="s">
        <v>62</v>
      </c>
      <c r="Z253" s="57">
        <f>ROUND(IF(AQ253="5",BJ253,0),2)</f>
      </c>
      <c r="AB253" s="57">
        <f>ROUND(IF(AQ253="1",BH253,0),2)</f>
      </c>
      <c r="AC253" s="57">
        <f>ROUND(IF(AQ253="1",BI253,0),2)</f>
      </c>
      <c r="AD253" s="57">
        <f>ROUND(IF(AQ253="7",BH253,0),2)</f>
      </c>
      <c r="AE253" s="57">
        <f>ROUND(IF(AQ253="7",BI253,0),2)</f>
      </c>
      <c r="AF253" s="57">
        <f>ROUND(IF(AQ253="2",BH253,0),2)</f>
      </c>
      <c r="AG253" s="57">
        <f>ROUND(IF(AQ253="2",BI253,0),2)</f>
      </c>
      <c r="AH253" s="57">
        <f>ROUND(IF(AQ253="0",BJ253,0),2)</f>
      </c>
      <c r="AI253" s="33" t="s">
        <v>650</v>
      </c>
      <c r="AJ253" s="57">
        <f>IF(AN253=0,J253,0)</f>
      </c>
      <c r="AK253" s="57">
        <f>IF(AN253=12,J253,0)</f>
      </c>
      <c r="AL253" s="57">
        <f>IF(AN253=21,J253,0)</f>
      </c>
      <c r="AN253" s="57" t="n">
        <v>12</v>
      </c>
      <c r="AO253" s="57">
        <f>G253*1</f>
      </c>
      <c r="AP253" s="57">
        <f>G253*(1-1)</f>
      </c>
      <c r="AQ253" s="60" t="s">
        <v>89</v>
      </c>
      <c r="AV253" s="57">
        <f>ROUND(AW253+AX253,2)</f>
      </c>
      <c r="AW253" s="57">
        <f>ROUND(F253*AO253,2)</f>
      </c>
      <c r="AX253" s="57">
        <f>ROUND(F253*AP253,2)</f>
      </c>
      <c r="AY253" s="60" t="s">
        <v>674</v>
      </c>
      <c r="AZ253" s="60" t="s">
        <v>675</v>
      </c>
      <c r="BA253" s="33" t="s">
        <v>656</v>
      </c>
      <c r="BC253" s="57">
        <f>AW253+AX253</f>
      </c>
      <c r="BD253" s="57">
        <f>G253/(100-BE253)*100</f>
      </c>
      <c r="BE253" s="57" t="n">
        <v>0</v>
      </c>
      <c r="BF253" s="57">
        <f>253</f>
      </c>
      <c r="BH253" s="57">
        <f>F253*AO253</f>
      </c>
      <c r="BI253" s="57">
        <f>F253*AP253</f>
      </c>
      <c r="BJ253" s="57">
        <f>F253*G253</f>
      </c>
      <c r="BK253" s="60" t="s">
        <v>98</v>
      </c>
      <c r="BL253" s="57" t="n">
        <v>763</v>
      </c>
      <c r="BW253" s="57" t="n">
        <v>12</v>
      </c>
      <c r="BX253" s="16" t="s">
        <v>682</v>
      </c>
    </row>
    <row r="254">
      <c r="A254" s="10" t="s">
        <v>683</v>
      </c>
      <c r="B254" s="11" t="s">
        <v>684</v>
      </c>
      <c r="C254" s="16" t="s">
        <v>685</v>
      </c>
      <c r="D254" s="11"/>
      <c r="E254" s="11" t="s">
        <v>314</v>
      </c>
      <c r="F254" s="57" t="n">
        <v>0.12478</v>
      </c>
      <c r="G254" s="58" t="n">
        <v>0</v>
      </c>
      <c r="H254" s="57">
        <f>ROUND(F254*AO254,2)</f>
      </c>
      <c r="I254" s="57">
        <f>ROUND(F254*AP254,2)</f>
      </c>
      <c r="J254" s="57">
        <f>ROUND(F254*G254,2)</f>
      </c>
      <c r="K254" s="59" t="s">
        <v>62</v>
      </c>
      <c r="Z254" s="57">
        <f>ROUND(IF(AQ254="5",BJ254,0),2)</f>
      </c>
      <c r="AB254" s="57">
        <f>ROUND(IF(AQ254="1",BH254,0),2)</f>
      </c>
      <c r="AC254" s="57">
        <f>ROUND(IF(AQ254="1",BI254,0),2)</f>
      </c>
      <c r="AD254" s="57">
        <f>ROUND(IF(AQ254="7",BH254,0),2)</f>
      </c>
      <c r="AE254" s="57">
        <f>ROUND(IF(AQ254="7",BI254,0),2)</f>
      </c>
      <c r="AF254" s="57">
        <f>ROUND(IF(AQ254="2",BH254,0),2)</f>
      </c>
      <c r="AG254" s="57">
        <f>ROUND(IF(AQ254="2",BI254,0),2)</f>
      </c>
      <c r="AH254" s="57">
        <f>ROUND(IF(AQ254="0",BJ254,0),2)</f>
      </c>
      <c r="AI254" s="33" t="s">
        <v>650</v>
      </c>
      <c r="AJ254" s="57">
        <f>IF(AN254=0,J254,0)</f>
      </c>
      <c r="AK254" s="57">
        <f>IF(AN254=12,J254,0)</f>
      </c>
      <c r="AL254" s="57">
        <f>IF(AN254=21,J254,0)</f>
      </c>
      <c r="AN254" s="57" t="n">
        <v>12</v>
      </c>
      <c r="AO254" s="57">
        <f>G254*0</f>
      </c>
      <c r="AP254" s="57">
        <f>G254*(1-0)</f>
      </c>
      <c r="AQ254" s="60" t="s">
        <v>76</v>
      </c>
      <c r="AV254" s="57">
        <f>ROUND(AW254+AX254,2)</f>
      </c>
      <c r="AW254" s="57">
        <f>ROUND(F254*AO254,2)</f>
      </c>
      <c r="AX254" s="57">
        <f>ROUND(F254*AP254,2)</f>
      </c>
      <c r="AY254" s="60" t="s">
        <v>674</v>
      </c>
      <c r="AZ254" s="60" t="s">
        <v>675</v>
      </c>
      <c r="BA254" s="33" t="s">
        <v>656</v>
      </c>
      <c r="BB254" s="61" t="n">
        <v>100133</v>
      </c>
      <c r="BC254" s="57">
        <f>AW254+AX254</f>
      </c>
      <c r="BD254" s="57">
        <f>G254/(100-BE254)*100</f>
      </c>
      <c r="BE254" s="57" t="n">
        <v>0</v>
      </c>
      <c r="BF254" s="57">
        <f>254</f>
      </c>
      <c r="BH254" s="57">
        <f>F254*AO254</f>
      </c>
      <c r="BI254" s="57">
        <f>F254*AP254</f>
      </c>
      <c r="BJ254" s="57">
        <f>F254*G254</f>
      </c>
      <c r="BK254" s="60" t="s">
        <v>66</v>
      </c>
      <c r="BL254" s="57" t="n">
        <v>763</v>
      </c>
      <c r="BW254" s="57" t="n">
        <v>12</v>
      </c>
      <c r="BX254" s="16" t="s">
        <v>685</v>
      </c>
    </row>
    <row r="255">
      <c r="A255" s="51" t="s">
        <v>53</v>
      </c>
      <c r="B255" s="52" t="s">
        <v>373</v>
      </c>
      <c r="C255" s="53" t="s">
        <v>535</v>
      </c>
      <c r="D255" s="52"/>
      <c r="E255" s="54" t="s">
        <v>4</v>
      </c>
      <c r="F255" s="54" t="s">
        <v>4</v>
      </c>
      <c r="G255" s="55" t="s">
        <v>4</v>
      </c>
      <c r="H255" s="2">
        <f>ROUND(SUM(H256:H256),2)</f>
      </c>
      <c r="I255" s="2">
        <f>ROUND(SUM(I256:I256),2)</f>
      </c>
      <c r="J255" s="2">
        <f>ROUND(SUM(J256:J256),2)</f>
      </c>
      <c r="K255" s="56" t="s">
        <v>53</v>
      </c>
      <c r="AI255" s="33" t="s">
        <v>650</v>
      </c>
      <c r="AS255" s="2">
        <f>SUM(AJ256:AJ256)</f>
      </c>
      <c r="AT255" s="2">
        <f>SUM(AK256:AK256)</f>
      </c>
      <c r="AU255" s="2">
        <f>SUM(AL256:AL256)</f>
      </c>
    </row>
    <row r="256">
      <c r="A256" s="10" t="s">
        <v>686</v>
      </c>
      <c r="B256" s="11" t="s">
        <v>687</v>
      </c>
      <c r="C256" s="16" t="s">
        <v>688</v>
      </c>
      <c r="D256" s="11"/>
      <c r="E256" s="11" t="s">
        <v>61</v>
      </c>
      <c r="F256" s="57" t="n">
        <v>1016.76</v>
      </c>
      <c r="G256" s="58" t="n">
        <v>0</v>
      </c>
      <c r="H256" s="57">
        <f>ROUND(F256*AO256,2)</f>
      </c>
      <c r="I256" s="57">
        <f>ROUND(F256*AP256,2)</f>
      </c>
      <c r="J256" s="57">
        <f>ROUND(F256*G256,2)</f>
      </c>
      <c r="K256" s="59" t="s">
        <v>62</v>
      </c>
      <c r="Z256" s="57">
        <f>ROUND(IF(AQ256="5",BJ256,0),2)</f>
      </c>
      <c r="AB256" s="57">
        <f>ROUND(IF(AQ256="1",BH256,0),2)</f>
      </c>
      <c r="AC256" s="57">
        <f>ROUND(IF(AQ256="1",BI256,0),2)</f>
      </c>
      <c r="AD256" s="57">
        <f>ROUND(IF(AQ256="7",BH256,0),2)</f>
      </c>
      <c r="AE256" s="57">
        <f>ROUND(IF(AQ256="7",BI256,0),2)</f>
      </c>
      <c r="AF256" s="57">
        <f>ROUND(IF(AQ256="2",BH256,0),2)</f>
      </c>
      <c r="AG256" s="57">
        <f>ROUND(IF(AQ256="2",BI256,0),2)</f>
      </c>
      <c r="AH256" s="57">
        <f>ROUND(IF(AQ256="0",BJ256,0),2)</f>
      </c>
      <c r="AI256" s="33" t="s">
        <v>650</v>
      </c>
      <c r="AJ256" s="57">
        <f>IF(AN256=0,J256,0)</f>
      </c>
      <c r="AK256" s="57">
        <f>IF(AN256=12,J256,0)</f>
      </c>
      <c r="AL256" s="57">
        <f>IF(AN256=21,J256,0)</f>
      </c>
      <c r="AN256" s="57" t="n">
        <v>12</v>
      </c>
      <c r="AO256" s="57">
        <f>G256*0</f>
      </c>
      <c r="AP256" s="57">
        <f>G256*(1-0)</f>
      </c>
      <c r="AQ256" s="60" t="s">
        <v>58</v>
      </c>
      <c r="AV256" s="57">
        <f>ROUND(AW256+AX256,2)</f>
      </c>
      <c r="AW256" s="57">
        <f>ROUND(F256*AO256,2)</f>
      </c>
      <c r="AX256" s="57">
        <f>ROUND(F256*AP256,2)</f>
      </c>
      <c r="AY256" s="60" t="s">
        <v>539</v>
      </c>
      <c r="AZ256" s="60" t="s">
        <v>689</v>
      </c>
      <c r="BA256" s="33" t="s">
        <v>656</v>
      </c>
      <c r="BB256" s="61" t="n">
        <v>100128</v>
      </c>
      <c r="BC256" s="57">
        <f>AW256+AX256</f>
      </c>
      <c r="BD256" s="57">
        <f>G256/(100-BE256)*100</f>
      </c>
      <c r="BE256" s="57" t="n">
        <v>0</v>
      </c>
      <c r="BF256" s="57">
        <f>256</f>
      </c>
      <c r="BH256" s="57">
        <f>F256*AO256</f>
      </c>
      <c r="BI256" s="57">
        <f>F256*AP256</f>
      </c>
      <c r="BJ256" s="57">
        <f>F256*G256</f>
      </c>
      <c r="BK256" s="60" t="s">
        <v>66</v>
      </c>
      <c r="BL256" s="57" t="n">
        <v>95</v>
      </c>
      <c r="BW256" s="57" t="n">
        <v>12</v>
      </c>
      <c r="BX256" s="16" t="s">
        <v>688</v>
      </c>
    </row>
    <row r="257">
      <c r="A257" s="51" t="s">
        <v>53</v>
      </c>
      <c r="B257" s="52" t="s">
        <v>377</v>
      </c>
      <c r="C257" s="53" t="s">
        <v>569</v>
      </c>
      <c r="D257" s="52"/>
      <c r="E257" s="54" t="s">
        <v>4</v>
      </c>
      <c r="F257" s="54" t="s">
        <v>4</v>
      </c>
      <c r="G257" s="55" t="s">
        <v>4</v>
      </c>
      <c r="H257" s="2">
        <f>ROUND(SUM(H258:H258),2)</f>
      </c>
      <c r="I257" s="2">
        <f>ROUND(SUM(I258:I258),2)</f>
      </c>
      <c r="J257" s="2">
        <f>ROUND(SUM(J258:J258),2)</f>
      </c>
      <c r="K257" s="56" t="s">
        <v>53</v>
      </c>
      <c r="AI257" s="33" t="s">
        <v>650</v>
      </c>
      <c r="AS257" s="2">
        <f>SUM(AJ258:AJ258)</f>
      </c>
      <c r="AT257" s="2">
        <f>SUM(AK258:AK258)</f>
      </c>
      <c r="AU257" s="2">
        <f>SUM(AL258:AL258)</f>
      </c>
    </row>
    <row r="258">
      <c r="A258" s="10" t="s">
        <v>690</v>
      </c>
      <c r="B258" s="11" t="s">
        <v>691</v>
      </c>
      <c r="C258" s="16" t="s">
        <v>692</v>
      </c>
      <c r="D258" s="11"/>
      <c r="E258" s="11" t="s">
        <v>84</v>
      </c>
      <c r="F258" s="57" t="n">
        <v>3</v>
      </c>
      <c r="G258" s="58" t="n">
        <v>0</v>
      </c>
      <c r="H258" s="57">
        <f>ROUND(F258*AO258,2)</f>
      </c>
      <c r="I258" s="57">
        <f>ROUND(F258*AP258,2)</f>
      </c>
      <c r="J258" s="57">
        <f>ROUND(F258*G258,2)</f>
      </c>
      <c r="K258" s="59" t="s">
        <v>62</v>
      </c>
      <c r="Z258" s="57">
        <f>ROUND(IF(AQ258="5",BJ258,0),2)</f>
      </c>
      <c r="AB258" s="57">
        <f>ROUND(IF(AQ258="1",BH258,0),2)</f>
      </c>
      <c r="AC258" s="57">
        <f>ROUND(IF(AQ258="1",BI258,0),2)</f>
      </c>
      <c r="AD258" s="57">
        <f>ROUND(IF(AQ258="7",BH258,0),2)</f>
      </c>
      <c r="AE258" s="57">
        <f>ROUND(IF(AQ258="7",BI258,0),2)</f>
      </c>
      <c r="AF258" s="57">
        <f>ROUND(IF(AQ258="2",BH258,0),2)</f>
      </c>
      <c r="AG258" s="57">
        <f>ROUND(IF(AQ258="2",BI258,0),2)</f>
      </c>
      <c r="AH258" s="57">
        <f>ROUND(IF(AQ258="0",BJ258,0),2)</f>
      </c>
      <c r="AI258" s="33" t="s">
        <v>650</v>
      </c>
      <c r="AJ258" s="57">
        <f>IF(AN258=0,J258,0)</f>
      </c>
      <c r="AK258" s="57">
        <f>IF(AN258=12,J258,0)</f>
      </c>
      <c r="AL258" s="57">
        <f>IF(AN258=21,J258,0)</f>
      </c>
      <c r="AN258" s="57" t="n">
        <v>12</v>
      </c>
      <c r="AO258" s="57">
        <f>G258*0</f>
      </c>
      <c r="AP258" s="57">
        <f>G258*(1-0)</f>
      </c>
      <c r="AQ258" s="60" t="s">
        <v>58</v>
      </c>
      <c r="AV258" s="57">
        <f>ROUND(AW258+AX258,2)</f>
      </c>
      <c r="AW258" s="57">
        <f>ROUND(F258*AO258,2)</f>
      </c>
      <c r="AX258" s="57">
        <f>ROUND(F258*AP258,2)</f>
      </c>
      <c r="AY258" s="60" t="s">
        <v>573</v>
      </c>
      <c r="AZ258" s="60" t="s">
        <v>693</v>
      </c>
      <c r="BA258" s="33" t="s">
        <v>656</v>
      </c>
      <c r="BB258" s="61" t="n">
        <v>100129</v>
      </c>
      <c r="BC258" s="57">
        <f>AW258+AX258</f>
      </c>
      <c r="BD258" s="57">
        <f>G258/(100-BE258)*100</f>
      </c>
      <c r="BE258" s="57" t="n">
        <v>0</v>
      </c>
      <c r="BF258" s="57">
        <f>258</f>
      </c>
      <c r="BH258" s="57">
        <f>F258*AO258</f>
      </c>
      <c r="BI258" s="57">
        <f>F258*AP258</f>
      </c>
      <c r="BJ258" s="57">
        <f>F258*G258</f>
      </c>
      <c r="BK258" s="60" t="s">
        <v>66</v>
      </c>
      <c r="BL258" s="57" t="n">
        <v>97</v>
      </c>
      <c r="BW258" s="57" t="n">
        <v>12</v>
      </c>
      <c r="BX258" s="16" t="s">
        <v>692</v>
      </c>
    </row>
    <row r="259">
      <c r="A259" s="51" t="s">
        <v>53</v>
      </c>
      <c r="B259" s="52" t="s">
        <v>616</v>
      </c>
      <c r="C259" s="53" t="s">
        <v>617</v>
      </c>
      <c r="D259" s="52"/>
      <c r="E259" s="54" t="s">
        <v>4</v>
      </c>
      <c r="F259" s="54" t="s">
        <v>4</v>
      </c>
      <c r="G259" s="55" t="s">
        <v>4</v>
      </c>
      <c r="H259" s="2">
        <f>ROUND(SUM(H260:H264),2)</f>
      </c>
      <c r="I259" s="2">
        <f>ROUND(SUM(I260:I264),2)</f>
      </c>
      <c r="J259" s="2">
        <f>ROUND(SUM(J260:J264),2)</f>
      </c>
      <c r="K259" s="56" t="s">
        <v>53</v>
      </c>
      <c r="AI259" s="33" t="s">
        <v>650</v>
      </c>
      <c r="AS259" s="2">
        <f>SUM(AJ260:AJ264)</f>
      </c>
      <c r="AT259" s="2">
        <f>SUM(AK260:AK264)</f>
      </c>
      <c r="AU259" s="2">
        <f>SUM(AL260:AL264)</f>
      </c>
    </row>
    <row r="260">
      <c r="A260" s="10" t="s">
        <v>694</v>
      </c>
      <c r="B260" s="11" t="s">
        <v>642</v>
      </c>
      <c r="C260" s="16" t="s">
        <v>643</v>
      </c>
      <c r="D260" s="11"/>
      <c r="E260" s="11" t="s">
        <v>314</v>
      </c>
      <c r="F260" s="57" t="n">
        <v>5.4</v>
      </c>
      <c r="G260" s="58" t="n">
        <v>0</v>
      </c>
      <c r="H260" s="57">
        <f>ROUND(F260*AO260,2)</f>
      </c>
      <c r="I260" s="57">
        <f>ROUND(F260*AP260,2)</f>
      </c>
      <c r="J260" s="57">
        <f>ROUND(F260*G260,2)</f>
      </c>
      <c r="K260" s="59" t="s">
        <v>62</v>
      </c>
      <c r="Z260" s="57">
        <f>ROUND(IF(AQ260="5",BJ260,0),2)</f>
      </c>
      <c r="AB260" s="57">
        <f>ROUND(IF(AQ260="1",BH260,0),2)</f>
      </c>
      <c r="AC260" s="57">
        <f>ROUND(IF(AQ260="1",BI260,0),2)</f>
      </c>
      <c r="AD260" s="57">
        <f>ROUND(IF(AQ260="7",BH260,0),2)</f>
      </c>
      <c r="AE260" s="57">
        <f>ROUND(IF(AQ260="7",BI260,0),2)</f>
      </c>
      <c r="AF260" s="57">
        <f>ROUND(IF(AQ260="2",BH260,0),2)</f>
      </c>
      <c r="AG260" s="57">
        <f>ROUND(IF(AQ260="2",BI260,0),2)</f>
      </c>
      <c r="AH260" s="57">
        <f>ROUND(IF(AQ260="0",BJ260,0),2)</f>
      </c>
      <c r="AI260" s="33" t="s">
        <v>650</v>
      </c>
      <c r="AJ260" s="57">
        <f>IF(AN260=0,J260,0)</f>
      </c>
      <c r="AK260" s="57">
        <f>IF(AN260=12,J260,0)</f>
      </c>
      <c r="AL260" s="57">
        <f>IF(AN260=21,J260,0)</f>
      </c>
      <c r="AN260" s="57" t="n">
        <v>12</v>
      </c>
      <c r="AO260" s="57">
        <f>G260*0</f>
      </c>
      <c r="AP260" s="57">
        <f>G260*(1-0)</f>
      </c>
      <c r="AQ260" s="60" t="s">
        <v>76</v>
      </c>
      <c r="AV260" s="57">
        <f>ROUND(AW260+AX260,2)</f>
      </c>
      <c r="AW260" s="57">
        <f>ROUND(F260*AO260,2)</f>
      </c>
      <c r="AX260" s="57">
        <f>ROUND(F260*AP260,2)</f>
      </c>
      <c r="AY260" s="60" t="s">
        <v>621</v>
      </c>
      <c r="AZ260" s="60" t="s">
        <v>695</v>
      </c>
      <c r="BA260" s="33" t="s">
        <v>656</v>
      </c>
      <c r="BB260" s="61" t="n">
        <v>100130</v>
      </c>
      <c r="BC260" s="57">
        <f>AW260+AX260</f>
      </c>
      <c r="BD260" s="57">
        <f>G260/(100-BE260)*100</f>
      </c>
      <c r="BE260" s="57" t="n">
        <v>0</v>
      </c>
      <c r="BF260" s="57">
        <f>260</f>
      </c>
      <c r="BH260" s="57">
        <f>F260*AO260</f>
      </c>
      <c r="BI260" s="57">
        <f>F260*AP260</f>
      </c>
      <c r="BJ260" s="57">
        <f>F260*G260</f>
      </c>
      <c r="BK260" s="60" t="s">
        <v>66</v>
      </c>
      <c r="BL260" s="57"/>
      <c r="BW260" s="57" t="n">
        <v>12</v>
      </c>
      <c r="BX260" s="16" t="s">
        <v>643</v>
      </c>
    </row>
    <row r="261">
      <c r="A261" s="10" t="s">
        <v>696</v>
      </c>
      <c r="B261" s="11" t="s">
        <v>645</v>
      </c>
      <c r="C261" s="16" t="s">
        <v>646</v>
      </c>
      <c r="D261" s="11"/>
      <c r="E261" s="11" t="s">
        <v>314</v>
      </c>
      <c r="F261" s="57" t="n">
        <v>54</v>
      </c>
      <c r="G261" s="58" t="n">
        <v>0</v>
      </c>
      <c r="H261" s="57">
        <f>ROUND(F261*AO261,2)</f>
      </c>
      <c r="I261" s="57">
        <f>ROUND(F261*AP261,2)</f>
      </c>
      <c r="J261" s="57">
        <f>ROUND(F261*G261,2)</f>
      </c>
      <c r="K261" s="59" t="s">
        <v>62</v>
      </c>
      <c r="Z261" s="57">
        <f>ROUND(IF(AQ261="5",BJ261,0),2)</f>
      </c>
      <c r="AB261" s="57">
        <f>ROUND(IF(AQ261="1",BH261,0),2)</f>
      </c>
      <c r="AC261" s="57">
        <f>ROUND(IF(AQ261="1",BI261,0),2)</f>
      </c>
      <c r="AD261" s="57">
        <f>ROUND(IF(AQ261="7",BH261,0),2)</f>
      </c>
      <c r="AE261" s="57">
        <f>ROUND(IF(AQ261="7",BI261,0),2)</f>
      </c>
      <c r="AF261" s="57">
        <f>ROUND(IF(AQ261="2",BH261,0),2)</f>
      </c>
      <c r="AG261" s="57">
        <f>ROUND(IF(AQ261="2",BI261,0),2)</f>
      </c>
      <c r="AH261" s="57">
        <f>ROUND(IF(AQ261="0",BJ261,0),2)</f>
      </c>
      <c r="AI261" s="33" t="s">
        <v>650</v>
      </c>
      <c r="AJ261" s="57">
        <f>IF(AN261=0,J261,0)</f>
      </c>
      <c r="AK261" s="57">
        <f>IF(AN261=12,J261,0)</f>
      </c>
      <c r="AL261" s="57">
        <f>IF(AN261=21,J261,0)</f>
      </c>
      <c r="AN261" s="57" t="n">
        <v>12</v>
      </c>
      <c r="AO261" s="57">
        <f>G261*0</f>
      </c>
      <c r="AP261" s="57">
        <f>G261*(1-0)</f>
      </c>
      <c r="AQ261" s="60" t="s">
        <v>76</v>
      </c>
      <c r="AV261" s="57">
        <f>ROUND(AW261+AX261,2)</f>
      </c>
      <c r="AW261" s="57">
        <f>ROUND(F261*AO261,2)</f>
      </c>
      <c r="AX261" s="57">
        <f>ROUND(F261*AP261,2)</f>
      </c>
      <c r="AY261" s="60" t="s">
        <v>621</v>
      </c>
      <c r="AZ261" s="60" t="s">
        <v>695</v>
      </c>
      <c r="BA261" s="33" t="s">
        <v>656</v>
      </c>
      <c r="BB261" s="61" t="n">
        <v>100130</v>
      </c>
      <c r="BC261" s="57">
        <f>AW261+AX261</f>
      </c>
      <c r="BD261" s="57">
        <f>G261/(100-BE261)*100</f>
      </c>
      <c r="BE261" s="57" t="n">
        <v>0</v>
      </c>
      <c r="BF261" s="57">
        <f>261</f>
      </c>
      <c r="BH261" s="57">
        <f>F261*AO261</f>
      </c>
      <c r="BI261" s="57">
        <f>F261*AP261</f>
      </c>
      <c r="BJ261" s="57">
        <f>F261*G261</f>
      </c>
      <c r="BK261" s="60" t="s">
        <v>66</v>
      </c>
      <c r="BL261" s="57"/>
      <c r="BW261" s="57" t="n">
        <v>12</v>
      </c>
      <c r="BX261" s="16" t="s">
        <v>646</v>
      </c>
    </row>
    <row r="262">
      <c r="A262" s="10" t="s">
        <v>697</v>
      </c>
      <c r="B262" s="11" t="s">
        <v>698</v>
      </c>
      <c r="C262" s="16" t="s">
        <v>699</v>
      </c>
      <c r="D262" s="11"/>
      <c r="E262" s="11" t="s">
        <v>314</v>
      </c>
      <c r="F262" s="57" t="n">
        <v>5.4</v>
      </c>
      <c r="G262" s="58" t="n">
        <v>0</v>
      </c>
      <c r="H262" s="57">
        <f>ROUND(F262*AO262,2)</f>
      </c>
      <c r="I262" s="57">
        <f>ROUND(F262*AP262,2)</f>
      </c>
      <c r="J262" s="57">
        <f>ROUND(F262*G262,2)</f>
      </c>
      <c r="K262" s="59" t="s">
        <v>62</v>
      </c>
      <c r="Z262" s="57">
        <f>ROUND(IF(AQ262="5",BJ262,0),2)</f>
      </c>
      <c r="AB262" s="57">
        <f>ROUND(IF(AQ262="1",BH262,0),2)</f>
      </c>
      <c r="AC262" s="57">
        <f>ROUND(IF(AQ262="1",BI262,0),2)</f>
      </c>
      <c r="AD262" s="57">
        <f>ROUND(IF(AQ262="7",BH262,0),2)</f>
      </c>
      <c r="AE262" s="57">
        <f>ROUND(IF(AQ262="7",BI262,0),2)</f>
      </c>
      <c r="AF262" s="57">
        <f>ROUND(IF(AQ262="2",BH262,0),2)</f>
      </c>
      <c r="AG262" s="57">
        <f>ROUND(IF(AQ262="2",BI262,0),2)</f>
      </c>
      <c r="AH262" s="57">
        <f>ROUND(IF(AQ262="0",BJ262,0),2)</f>
      </c>
      <c r="AI262" s="33" t="s">
        <v>650</v>
      </c>
      <c r="AJ262" s="57">
        <f>IF(AN262=0,J262,0)</f>
      </c>
      <c r="AK262" s="57">
        <f>IF(AN262=12,J262,0)</f>
      </c>
      <c r="AL262" s="57">
        <f>IF(AN262=21,J262,0)</f>
      </c>
      <c r="AN262" s="57" t="n">
        <v>12</v>
      </c>
      <c r="AO262" s="57">
        <f>G262*0</f>
      </c>
      <c r="AP262" s="57">
        <f>G262*(1-0)</f>
      </c>
      <c r="AQ262" s="60" t="s">
        <v>76</v>
      </c>
      <c r="AV262" s="57">
        <f>ROUND(AW262+AX262,2)</f>
      </c>
      <c r="AW262" s="57">
        <f>ROUND(F262*AO262,2)</f>
      </c>
      <c r="AX262" s="57">
        <f>ROUND(F262*AP262,2)</f>
      </c>
      <c r="AY262" s="60" t="s">
        <v>621</v>
      </c>
      <c r="AZ262" s="60" t="s">
        <v>695</v>
      </c>
      <c r="BA262" s="33" t="s">
        <v>656</v>
      </c>
      <c r="BB262" s="61" t="n">
        <v>100130</v>
      </c>
      <c r="BC262" s="57">
        <f>AW262+AX262</f>
      </c>
      <c r="BD262" s="57">
        <f>G262/(100-BE262)*100</f>
      </c>
      <c r="BE262" s="57" t="n">
        <v>0</v>
      </c>
      <c r="BF262" s="57">
        <f>262</f>
      </c>
      <c r="BH262" s="57">
        <f>F262*AO262</f>
      </c>
      <c r="BI262" s="57">
        <f>F262*AP262</f>
      </c>
      <c r="BJ262" s="57">
        <f>F262*G262</f>
      </c>
      <c r="BK262" s="60" t="s">
        <v>66</v>
      </c>
      <c r="BL262" s="57"/>
      <c r="BW262" s="57" t="n">
        <v>12</v>
      </c>
      <c r="BX262" s="16" t="s">
        <v>699</v>
      </c>
    </row>
    <row r="263">
      <c r="A263" s="10" t="s">
        <v>700</v>
      </c>
      <c r="B263" s="11" t="s">
        <v>701</v>
      </c>
      <c r="C263" s="16" t="s">
        <v>702</v>
      </c>
      <c r="D263" s="11"/>
      <c r="E263" s="11" t="s">
        <v>314</v>
      </c>
      <c r="F263" s="57" t="n">
        <v>32.4</v>
      </c>
      <c r="G263" s="58" t="n">
        <v>0</v>
      </c>
      <c r="H263" s="57">
        <f>ROUND(F263*AO263,2)</f>
      </c>
      <c r="I263" s="57">
        <f>ROUND(F263*AP263,2)</f>
      </c>
      <c r="J263" s="57">
        <f>ROUND(F263*G263,2)</f>
      </c>
      <c r="K263" s="59" t="s">
        <v>62</v>
      </c>
      <c r="Z263" s="57">
        <f>ROUND(IF(AQ263="5",BJ263,0),2)</f>
      </c>
      <c r="AB263" s="57">
        <f>ROUND(IF(AQ263="1",BH263,0),2)</f>
      </c>
      <c r="AC263" s="57">
        <f>ROUND(IF(AQ263="1",BI263,0),2)</f>
      </c>
      <c r="AD263" s="57">
        <f>ROUND(IF(AQ263="7",BH263,0),2)</f>
      </c>
      <c r="AE263" s="57">
        <f>ROUND(IF(AQ263="7",BI263,0),2)</f>
      </c>
      <c r="AF263" s="57">
        <f>ROUND(IF(AQ263="2",BH263,0),2)</f>
      </c>
      <c r="AG263" s="57">
        <f>ROUND(IF(AQ263="2",BI263,0),2)</f>
      </c>
      <c r="AH263" s="57">
        <f>ROUND(IF(AQ263="0",BJ263,0),2)</f>
      </c>
      <c r="AI263" s="33" t="s">
        <v>650</v>
      </c>
      <c r="AJ263" s="57">
        <f>IF(AN263=0,J263,0)</f>
      </c>
      <c r="AK263" s="57">
        <f>IF(AN263=12,J263,0)</f>
      </c>
      <c r="AL263" s="57">
        <f>IF(AN263=21,J263,0)</f>
      </c>
      <c r="AN263" s="57" t="n">
        <v>12</v>
      </c>
      <c r="AO263" s="57">
        <f>G263*0</f>
      </c>
      <c r="AP263" s="57">
        <f>G263*(1-0)</f>
      </c>
      <c r="AQ263" s="60" t="s">
        <v>76</v>
      </c>
      <c r="AV263" s="57">
        <f>ROUND(AW263+AX263,2)</f>
      </c>
      <c r="AW263" s="57">
        <f>ROUND(F263*AO263,2)</f>
      </c>
      <c r="AX263" s="57">
        <f>ROUND(F263*AP263,2)</f>
      </c>
      <c r="AY263" s="60" t="s">
        <v>621</v>
      </c>
      <c r="AZ263" s="60" t="s">
        <v>695</v>
      </c>
      <c r="BA263" s="33" t="s">
        <v>656</v>
      </c>
      <c r="BB263" s="61" t="n">
        <v>100130</v>
      </c>
      <c r="BC263" s="57">
        <f>AW263+AX263</f>
      </c>
      <c r="BD263" s="57">
        <f>G263/(100-BE263)*100</f>
      </c>
      <c r="BE263" s="57" t="n">
        <v>0</v>
      </c>
      <c r="BF263" s="57">
        <f>263</f>
      </c>
      <c r="BH263" s="57">
        <f>F263*AO263</f>
      </c>
      <c r="BI263" s="57">
        <f>F263*AP263</f>
      </c>
      <c r="BJ263" s="57">
        <f>F263*G263</f>
      </c>
      <c r="BK263" s="60" t="s">
        <v>66</v>
      </c>
      <c r="BL263" s="57"/>
      <c r="BW263" s="57" t="n">
        <v>12</v>
      </c>
      <c r="BX263" s="16" t="s">
        <v>702</v>
      </c>
    </row>
    <row r="264">
      <c r="A264" s="10" t="s">
        <v>703</v>
      </c>
      <c r="B264" s="11" t="s">
        <v>704</v>
      </c>
      <c r="C264" s="16" t="s">
        <v>705</v>
      </c>
      <c r="D264" s="11"/>
      <c r="E264" s="11" t="s">
        <v>314</v>
      </c>
      <c r="F264" s="57" t="n">
        <v>5.4</v>
      </c>
      <c r="G264" s="58" t="n">
        <v>0</v>
      </c>
      <c r="H264" s="57">
        <f>ROUND(F264*AO264,2)</f>
      </c>
      <c r="I264" s="57">
        <f>ROUND(F264*AP264,2)</f>
      </c>
      <c r="J264" s="57">
        <f>ROUND(F264*G264,2)</f>
      </c>
      <c r="K264" s="59" t="s">
        <v>62</v>
      </c>
      <c r="Z264" s="57">
        <f>ROUND(IF(AQ264="5",BJ264,0),2)</f>
      </c>
      <c r="AB264" s="57">
        <f>ROUND(IF(AQ264="1",BH264,0),2)</f>
      </c>
      <c r="AC264" s="57">
        <f>ROUND(IF(AQ264="1",BI264,0),2)</f>
      </c>
      <c r="AD264" s="57">
        <f>ROUND(IF(AQ264="7",BH264,0),2)</f>
      </c>
      <c r="AE264" s="57">
        <f>ROUND(IF(AQ264="7",BI264,0),2)</f>
      </c>
      <c r="AF264" s="57">
        <f>ROUND(IF(AQ264="2",BH264,0),2)</f>
      </c>
      <c r="AG264" s="57">
        <f>ROUND(IF(AQ264="2",BI264,0),2)</f>
      </c>
      <c r="AH264" s="57">
        <f>ROUND(IF(AQ264="0",BJ264,0),2)</f>
      </c>
      <c r="AI264" s="33" t="s">
        <v>650</v>
      </c>
      <c r="AJ264" s="57">
        <f>IF(AN264=0,J264,0)</f>
      </c>
      <c r="AK264" s="57">
        <f>IF(AN264=12,J264,0)</f>
      </c>
      <c r="AL264" s="57">
        <f>IF(AN264=21,J264,0)</f>
      </c>
      <c r="AN264" s="57" t="n">
        <v>12</v>
      </c>
      <c r="AO264" s="57">
        <f>G264*0</f>
      </c>
      <c r="AP264" s="57">
        <f>G264*(1-0)</f>
      </c>
      <c r="AQ264" s="60" t="s">
        <v>76</v>
      </c>
      <c r="AV264" s="57">
        <f>ROUND(AW264+AX264,2)</f>
      </c>
      <c r="AW264" s="57">
        <f>ROUND(F264*AO264,2)</f>
      </c>
      <c r="AX264" s="57">
        <f>ROUND(F264*AP264,2)</f>
      </c>
      <c r="AY264" s="60" t="s">
        <v>621</v>
      </c>
      <c r="AZ264" s="60" t="s">
        <v>695</v>
      </c>
      <c r="BA264" s="33" t="s">
        <v>656</v>
      </c>
      <c r="BB264" s="61" t="n">
        <v>100130</v>
      </c>
      <c r="BC264" s="57">
        <f>AW264+AX264</f>
      </c>
      <c r="BD264" s="57">
        <f>G264/(100-BE264)*100</f>
      </c>
      <c r="BE264" s="57" t="n">
        <v>0</v>
      </c>
      <c r="BF264" s="57">
        <f>264</f>
      </c>
      <c r="BH264" s="57">
        <f>F264*AO264</f>
      </c>
      <c r="BI264" s="57">
        <f>F264*AP264</f>
      </c>
      <c r="BJ264" s="57">
        <f>F264*G264</f>
      </c>
      <c r="BK264" s="60" t="s">
        <v>66</v>
      </c>
      <c r="BL264" s="57"/>
      <c r="BW264" s="57" t="n">
        <v>12</v>
      </c>
      <c r="BX264" s="16" t="s">
        <v>705</v>
      </c>
    </row>
    <row r="265">
      <c r="A265" s="51" t="s">
        <v>53</v>
      </c>
      <c r="B265" s="52" t="s">
        <v>53</v>
      </c>
      <c r="C265" s="53" t="s">
        <v>706</v>
      </c>
      <c r="D265" s="52"/>
      <c r="E265" s="54" t="s">
        <v>4</v>
      </c>
      <c r="F265" s="54" t="s">
        <v>4</v>
      </c>
      <c r="G265" s="55" t="s">
        <v>4</v>
      </c>
      <c r="H265" s="2">
        <f>ROUND(SUM(H266,H272,H274,H280,H312,H367,H372,H376,H379,H382,H385,H390,H392),2)</f>
      </c>
      <c r="I265" s="2">
        <f>ROUND(SUM(I266,I272,I274,I280,I312,I367,I372,I376,I379,I382,I385,I390,I392),2)</f>
      </c>
      <c r="J265" s="2">
        <f>ROUND(SUM(J266,J272,J274,J280,J312,J367,J372,J376,J379,J382,J385,J390,J392),2)</f>
      </c>
      <c r="K265" s="56" t="s">
        <v>53</v>
      </c>
    </row>
    <row r="266">
      <c r="A266" s="51" t="s">
        <v>53</v>
      </c>
      <c r="B266" s="52" t="s">
        <v>161</v>
      </c>
      <c r="C266" s="53" t="s">
        <v>162</v>
      </c>
      <c r="D266" s="52"/>
      <c r="E266" s="54" t="s">
        <v>4</v>
      </c>
      <c r="F266" s="54" t="s">
        <v>4</v>
      </c>
      <c r="G266" s="55" t="s">
        <v>4</v>
      </c>
      <c r="H266" s="2">
        <f>ROUND(SUM(H267:H271),2)</f>
      </c>
      <c r="I266" s="2">
        <f>ROUND(SUM(I267:I271),2)</f>
      </c>
      <c r="J266" s="2">
        <f>ROUND(SUM(J267:J271),2)</f>
      </c>
      <c r="K266" s="56" t="s">
        <v>53</v>
      </c>
      <c r="AI266" s="33" t="s">
        <v>707</v>
      </c>
      <c r="AS266" s="2">
        <f>SUM(AJ267:AJ271)</f>
      </c>
      <c r="AT266" s="2">
        <f>SUM(AK267:AK271)</f>
      </c>
      <c r="AU266" s="2">
        <f>SUM(AL267:AL271)</f>
      </c>
    </row>
    <row r="267">
      <c r="A267" s="10" t="s">
        <v>708</v>
      </c>
      <c r="B267" s="11" t="s">
        <v>138</v>
      </c>
      <c r="C267" s="16" t="s">
        <v>709</v>
      </c>
      <c r="D267" s="11"/>
      <c r="E267" s="11" t="s">
        <v>61</v>
      </c>
      <c r="F267" s="57" t="n">
        <v>267.6612</v>
      </c>
      <c r="G267" s="58" t="n">
        <v>0</v>
      </c>
      <c r="H267" s="57">
        <f>ROUND(F267*AO267,2)</f>
      </c>
      <c r="I267" s="57">
        <f>ROUND(F267*AP267,2)</f>
      </c>
      <c r="J267" s="57">
        <f>ROUND(F267*G267,2)</f>
      </c>
      <c r="K267" s="59" t="s">
        <v>140</v>
      </c>
      <c r="Z267" s="57">
        <f>ROUND(IF(AQ267="5",BJ267,0),2)</f>
      </c>
      <c r="AB267" s="57">
        <f>ROUND(IF(AQ267="1",BH267,0),2)</f>
      </c>
      <c r="AC267" s="57">
        <f>ROUND(IF(AQ267="1",BI267,0),2)</f>
      </c>
      <c r="AD267" s="57">
        <f>ROUND(IF(AQ267="7",BH267,0),2)</f>
      </c>
      <c r="AE267" s="57">
        <f>ROUND(IF(AQ267="7",BI267,0),2)</f>
      </c>
      <c r="AF267" s="57">
        <f>ROUND(IF(AQ267="2",BH267,0),2)</f>
      </c>
      <c r="AG267" s="57">
        <f>ROUND(IF(AQ267="2",BI267,0),2)</f>
      </c>
      <c r="AH267" s="57">
        <f>ROUND(IF(AQ267="0",BJ267,0),2)</f>
      </c>
      <c r="AI267" s="33" t="s">
        <v>707</v>
      </c>
      <c r="AJ267" s="57">
        <f>IF(AN267=0,J267,0)</f>
      </c>
      <c r="AK267" s="57">
        <f>IF(AN267=12,J267,0)</f>
      </c>
      <c r="AL267" s="57">
        <f>IF(AN267=21,J267,0)</f>
      </c>
      <c r="AN267" s="57" t="n">
        <v>12</v>
      </c>
      <c r="AO267" s="57">
        <f>G267*0.539887809</f>
      </c>
      <c r="AP267" s="57">
        <f>G267*(1-0.539887809)</f>
      </c>
      <c r="AQ267" s="60" t="s">
        <v>58</v>
      </c>
      <c r="AV267" s="57">
        <f>ROUND(AW267+AX267,2)</f>
      </c>
      <c r="AW267" s="57">
        <f>ROUND(F267*AO267,2)</f>
      </c>
      <c r="AX267" s="57">
        <f>ROUND(F267*AP267,2)</f>
      </c>
      <c r="AY267" s="60" t="s">
        <v>166</v>
      </c>
      <c r="AZ267" s="60" t="s">
        <v>710</v>
      </c>
      <c r="BA267" s="33" t="s">
        <v>711</v>
      </c>
      <c r="BB267" s="61" t="n">
        <v>100104</v>
      </c>
      <c r="BC267" s="57">
        <f>AW267+AX267</f>
      </c>
      <c r="BD267" s="57">
        <f>G267/(100-BE267)*100</f>
      </c>
      <c r="BE267" s="57" t="n">
        <v>0</v>
      </c>
      <c r="BF267" s="57">
        <f>267</f>
      </c>
      <c r="BH267" s="57">
        <f>F267*AO267</f>
      </c>
      <c r="BI267" s="57">
        <f>F267*AP267</f>
      </c>
      <c r="BJ267" s="57">
        <f>F267*G267</f>
      </c>
      <c r="BK267" s="60" t="s">
        <v>66</v>
      </c>
      <c r="BL267" s="57" t="n">
        <v>62</v>
      </c>
      <c r="BW267" s="57" t="n">
        <v>12</v>
      </c>
      <c r="BX267" s="16" t="s">
        <v>709</v>
      </c>
    </row>
    <row r="268" customHeight="true" ht="27">
      <c r="A268" s="62"/>
      <c r="B268" s="63" t="s">
        <v>106</v>
      </c>
      <c r="C268" s="64" t="s">
        <v>712</v>
      </c>
      <c r="D268" s="65"/>
      <c r="E268" s="65"/>
      <c r="F268" s="65"/>
      <c r="G268" s="66"/>
      <c r="H268" s="65"/>
      <c r="I268" s="65"/>
      <c r="J268" s="65"/>
      <c r="K268" s="67"/>
    </row>
    <row r="269">
      <c r="A269" s="10" t="s">
        <v>713</v>
      </c>
      <c r="B269" s="11" t="s">
        <v>237</v>
      </c>
      <c r="C269" s="16" t="s">
        <v>238</v>
      </c>
      <c r="D269" s="11"/>
      <c r="E269" s="11" t="s">
        <v>61</v>
      </c>
      <c r="F269" s="57" t="n">
        <v>24.39</v>
      </c>
      <c r="G269" s="58" t="n">
        <v>0</v>
      </c>
      <c r="H269" s="57">
        <f>ROUND(F269*AO269,2)</f>
      </c>
      <c r="I269" s="57">
        <f>ROUND(F269*AP269,2)</f>
      </c>
      <c r="J269" s="57">
        <f>ROUND(F269*G269,2)</f>
      </c>
      <c r="K269" s="59" t="s">
        <v>62</v>
      </c>
      <c r="Z269" s="57">
        <f>ROUND(IF(AQ269="5",BJ269,0),2)</f>
      </c>
      <c r="AB269" s="57">
        <f>ROUND(IF(AQ269="1",BH269,0),2)</f>
      </c>
      <c r="AC269" s="57">
        <f>ROUND(IF(AQ269="1",BI269,0),2)</f>
      </c>
      <c r="AD269" s="57">
        <f>ROUND(IF(AQ269="7",BH269,0),2)</f>
      </c>
      <c r="AE269" s="57">
        <f>ROUND(IF(AQ269="7",BI269,0),2)</f>
      </c>
      <c r="AF269" s="57">
        <f>ROUND(IF(AQ269="2",BH269,0),2)</f>
      </c>
      <c r="AG269" s="57">
        <f>ROUND(IF(AQ269="2",BI269,0),2)</f>
      </c>
      <c r="AH269" s="57">
        <f>ROUND(IF(AQ269="0",BJ269,0),2)</f>
      </c>
      <c r="AI269" s="33" t="s">
        <v>707</v>
      </c>
      <c r="AJ269" s="57">
        <f>IF(AN269=0,J269,0)</f>
      </c>
      <c r="AK269" s="57">
        <f>IF(AN269=12,J269,0)</f>
      </c>
      <c r="AL269" s="57">
        <f>IF(AN269=21,J269,0)</f>
      </c>
      <c r="AN269" s="57" t="n">
        <v>12</v>
      </c>
      <c r="AO269" s="57">
        <f>G269*0.516899154</f>
      </c>
      <c r="AP269" s="57">
        <f>G269*(1-0.516899154)</f>
      </c>
      <c r="AQ269" s="60" t="s">
        <v>58</v>
      </c>
      <c r="AV269" s="57">
        <f>ROUND(AW269+AX269,2)</f>
      </c>
      <c r="AW269" s="57">
        <f>ROUND(F269*AO269,2)</f>
      </c>
      <c r="AX269" s="57">
        <f>ROUND(F269*AP269,2)</f>
      </c>
      <c r="AY269" s="60" t="s">
        <v>166</v>
      </c>
      <c r="AZ269" s="60" t="s">
        <v>710</v>
      </c>
      <c r="BA269" s="33" t="s">
        <v>711</v>
      </c>
      <c r="BB269" s="61" t="n">
        <v>100104</v>
      </c>
      <c r="BC269" s="57">
        <f>AW269+AX269</f>
      </c>
      <c r="BD269" s="57">
        <f>G269/(100-BE269)*100</f>
      </c>
      <c r="BE269" s="57" t="n">
        <v>0</v>
      </c>
      <c r="BF269" s="57">
        <f>269</f>
      </c>
      <c r="BH269" s="57">
        <f>F269*AO269</f>
      </c>
      <c r="BI269" s="57">
        <f>F269*AP269</f>
      </c>
      <c r="BJ269" s="57">
        <f>F269*G269</f>
      </c>
      <c r="BK269" s="60" t="s">
        <v>66</v>
      </c>
      <c r="BL269" s="57" t="n">
        <v>62</v>
      </c>
      <c r="BW269" s="57" t="n">
        <v>12</v>
      </c>
      <c r="BX269" s="16" t="s">
        <v>238</v>
      </c>
    </row>
    <row r="270" customHeight="true" ht="27">
      <c r="A270" s="62"/>
      <c r="B270" s="63" t="s">
        <v>106</v>
      </c>
      <c r="C270" s="64" t="s">
        <v>714</v>
      </c>
      <c r="D270" s="65"/>
      <c r="E270" s="65"/>
      <c r="F270" s="65"/>
      <c r="G270" s="66"/>
      <c r="H270" s="65"/>
      <c r="I270" s="65"/>
      <c r="J270" s="65"/>
      <c r="K270" s="67"/>
    </row>
    <row r="271">
      <c r="A271" s="10" t="s">
        <v>715</v>
      </c>
      <c r="B271" s="11" t="s">
        <v>716</v>
      </c>
      <c r="C271" s="16" t="s">
        <v>717</v>
      </c>
      <c r="D271" s="11"/>
      <c r="E271" s="11" t="s">
        <v>61</v>
      </c>
      <c r="F271" s="57" t="n">
        <v>292.0512</v>
      </c>
      <c r="G271" s="58" t="n">
        <v>0</v>
      </c>
      <c r="H271" s="57">
        <f>ROUND(F271*AO271,2)</f>
      </c>
      <c r="I271" s="57">
        <f>ROUND(F271*AP271,2)</f>
      </c>
      <c r="J271" s="57">
        <f>ROUND(F271*G271,2)</f>
      </c>
      <c r="K271" s="59" t="s">
        <v>62</v>
      </c>
      <c r="Z271" s="57">
        <f>ROUND(IF(AQ271="5",BJ271,0),2)</f>
      </c>
      <c r="AB271" s="57">
        <f>ROUND(IF(AQ271="1",BH271,0),2)</f>
      </c>
      <c r="AC271" s="57">
        <f>ROUND(IF(AQ271="1",BI271,0),2)</f>
      </c>
      <c r="AD271" s="57">
        <f>ROUND(IF(AQ271="7",BH271,0),2)</f>
      </c>
      <c r="AE271" s="57">
        <f>ROUND(IF(AQ271="7",BI271,0),2)</f>
      </c>
      <c r="AF271" s="57">
        <f>ROUND(IF(AQ271="2",BH271,0),2)</f>
      </c>
      <c r="AG271" s="57">
        <f>ROUND(IF(AQ271="2",BI271,0),2)</f>
      </c>
      <c r="AH271" s="57">
        <f>ROUND(IF(AQ271="0",BJ271,0),2)</f>
      </c>
      <c r="AI271" s="33" t="s">
        <v>707</v>
      </c>
      <c r="AJ271" s="57">
        <f>IF(AN271=0,J271,0)</f>
      </c>
      <c r="AK271" s="57">
        <f>IF(AN271=12,J271,0)</f>
      </c>
      <c r="AL271" s="57">
        <f>IF(AN271=21,J271,0)</f>
      </c>
      <c r="AN271" s="57" t="n">
        <v>12</v>
      </c>
      <c r="AO271" s="57">
        <f>G271*0.067941446</f>
      </c>
      <c r="AP271" s="57">
        <f>G271*(1-0.067941446)</f>
      </c>
      <c r="AQ271" s="60" t="s">
        <v>58</v>
      </c>
      <c r="AV271" s="57">
        <f>ROUND(AW271+AX271,2)</f>
      </c>
      <c r="AW271" s="57">
        <f>ROUND(F271*AO271,2)</f>
      </c>
      <c r="AX271" s="57">
        <f>ROUND(F271*AP271,2)</f>
      </c>
      <c r="AY271" s="60" t="s">
        <v>166</v>
      </c>
      <c r="AZ271" s="60" t="s">
        <v>710</v>
      </c>
      <c r="BA271" s="33" t="s">
        <v>711</v>
      </c>
      <c r="BB271" s="61" t="n">
        <v>100104</v>
      </c>
      <c r="BC271" s="57">
        <f>AW271+AX271</f>
      </c>
      <c r="BD271" s="57">
        <f>G271/(100-BE271)*100</f>
      </c>
      <c r="BE271" s="57" t="n">
        <v>0</v>
      </c>
      <c r="BF271" s="57">
        <f>271</f>
      </c>
      <c r="BH271" s="57">
        <f>F271*AO271</f>
      </c>
      <c r="BI271" s="57">
        <f>F271*AP271</f>
      </c>
      <c r="BJ271" s="57">
        <f>F271*G271</f>
      </c>
      <c r="BK271" s="60" t="s">
        <v>66</v>
      </c>
      <c r="BL271" s="57" t="n">
        <v>62</v>
      </c>
      <c r="BW271" s="57" t="n">
        <v>12</v>
      </c>
      <c r="BX271" s="16" t="s">
        <v>717</v>
      </c>
    </row>
    <row r="272">
      <c r="A272" s="51" t="s">
        <v>53</v>
      </c>
      <c r="B272" s="52" t="s">
        <v>269</v>
      </c>
      <c r="C272" s="53" t="s">
        <v>718</v>
      </c>
      <c r="D272" s="52"/>
      <c r="E272" s="54" t="s">
        <v>4</v>
      </c>
      <c r="F272" s="54" t="s">
        <v>4</v>
      </c>
      <c r="G272" s="55" t="s">
        <v>4</v>
      </c>
      <c r="H272" s="2">
        <f>ROUND(SUM(H273:H273),2)</f>
      </c>
      <c r="I272" s="2">
        <f>ROUND(SUM(I273:I273),2)</f>
      </c>
      <c r="J272" s="2">
        <f>ROUND(SUM(J273:J273),2)</f>
      </c>
      <c r="K272" s="56" t="s">
        <v>53</v>
      </c>
      <c r="AI272" s="33" t="s">
        <v>707</v>
      </c>
      <c r="AS272" s="2">
        <f>SUM(AJ273:AJ273)</f>
      </c>
      <c r="AT272" s="2">
        <f>SUM(AK273:AK273)</f>
      </c>
      <c r="AU272" s="2">
        <f>SUM(AL273:AL273)</f>
      </c>
    </row>
    <row r="273">
      <c r="A273" s="10" t="s">
        <v>719</v>
      </c>
      <c r="B273" s="11" t="s">
        <v>720</v>
      </c>
      <c r="C273" s="16" t="s">
        <v>721</v>
      </c>
      <c r="D273" s="11"/>
      <c r="E273" s="11" t="s">
        <v>61</v>
      </c>
      <c r="F273" s="57" t="n">
        <v>12.5325</v>
      </c>
      <c r="G273" s="58" t="n">
        <v>0</v>
      </c>
      <c r="H273" s="57">
        <f>ROUND(F273*AO273,2)</f>
      </c>
      <c r="I273" s="57">
        <f>ROUND(F273*AP273,2)</f>
      </c>
      <c r="J273" s="57">
        <f>ROUND(F273*G273,2)</f>
      </c>
      <c r="K273" s="59" t="s">
        <v>62</v>
      </c>
      <c r="Z273" s="57">
        <f>ROUND(IF(AQ273="5",BJ273,0),2)</f>
      </c>
      <c r="AB273" s="57">
        <f>ROUND(IF(AQ273="1",BH273,0),2)</f>
      </c>
      <c r="AC273" s="57">
        <f>ROUND(IF(AQ273="1",BI273,0),2)</f>
      </c>
      <c r="AD273" s="57">
        <f>ROUND(IF(AQ273="7",BH273,0),2)</f>
      </c>
      <c r="AE273" s="57">
        <f>ROUND(IF(AQ273="7",BI273,0),2)</f>
      </c>
      <c r="AF273" s="57">
        <f>ROUND(IF(AQ273="2",BH273,0),2)</f>
      </c>
      <c r="AG273" s="57">
        <f>ROUND(IF(AQ273="2",BI273,0),2)</f>
      </c>
      <c r="AH273" s="57">
        <f>ROUND(IF(AQ273="0",BJ273,0),2)</f>
      </c>
      <c r="AI273" s="33" t="s">
        <v>707</v>
      </c>
      <c r="AJ273" s="57">
        <f>IF(AN273=0,J273,0)</f>
      </c>
      <c r="AK273" s="57">
        <f>IF(AN273=12,J273,0)</f>
      </c>
      <c r="AL273" s="57">
        <f>IF(AN273=21,J273,0)</f>
      </c>
      <c r="AN273" s="57" t="n">
        <v>12</v>
      </c>
      <c r="AO273" s="57">
        <f>G273*0.293905937</f>
      </c>
      <c r="AP273" s="57">
        <f>G273*(1-0.293905937)</f>
      </c>
      <c r="AQ273" s="60" t="s">
        <v>58</v>
      </c>
      <c r="AV273" s="57">
        <f>ROUND(AW273+AX273,2)</f>
      </c>
      <c r="AW273" s="57">
        <f>ROUND(F273*AO273,2)</f>
      </c>
      <c r="AX273" s="57">
        <f>ROUND(F273*AP273,2)</f>
      </c>
      <c r="AY273" s="60" t="s">
        <v>722</v>
      </c>
      <c r="AZ273" s="60" t="s">
        <v>723</v>
      </c>
      <c r="BA273" s="33" t="s">
        <v>711</v>
      </c>
      <c r="BB273" s="61" t="n">
        <v>100105</v>
      </c>
      <c r="BC273" s="57">
        <f>AW273+AX273</f>
      </c>
      <c r="BD273" s="57">
        <f>G273/(100-BE273)*100</f>
      </c>
      <c r="BE273" s="57" t="n">
        <v>0</v>
      </c>
      <c r="BF273" s="57">
        <f>273</f>
      </c>
      <c r="BH273" s="57">
        <f>F273*AO273</f>
      </c>
      <c r="BI273" s="57">
        <f>F273*AP273</f>
      </c>
      <c r="BJ273" s="57">
        <f>F273*G273</f>
      </c>
      <c r="BK273" s="60" t="s">
        <v>66</v>
      </c>
      <c r="BL273" s="57" t="n">
        <v>63</v>
      </c>
      <c r="BW273" s="57" t="n">
        <v>12</v>
      </c>
      <c r="BX273" s="16" t="s">
        <v>721</v>
      </c>
    </row>
    <row r="274">
      <c r="A274" s="51" t="s">
        <v>53</v>
      </c>
      <c r="B274" s="52" t="s">
        <v>315</v>
      </c>
      <c r="C274" s="53" t="s">
        <v>316</v>
      </c>
      <c r="D274" s="52"/>
      <c r="E274" s="54" t="s">
        <v>4</v>
      </c>
      <c r="F274" s="54" t="s">
        <v>4</v>
      </c>
      <c r="G274" s="55" t="s">
        <v>4</v>
      </c>
      <c r="H274" s="2">
        <f>ROUND(SUM(H275:H279),2)</f>
      </c>
      <c r="I274" s="2">
        <f>ROUND(SUM(I275:I279),2)</f>
      </c>
      <c r="J274" s="2">
        <f>ROUND(SUM(J275:J279),2)</f>
      </c>
      <c r="K274" s="56" t="s">
        <v>53</v>
      </c>
      <c r="AI274" s="33" t="s">
        <v>707</v>
      </c>
      <c r="AS274" s="2">
        <f>SUM(AJ275:AJ279)</f>
      </c>
      <c r="AT274" s="2">
        <f>SUM(AK275:AK279)</f>
      </c>
      <c r="AU274" s="2">
        <f>SUM(AL275:AL279)</f>
      </c>
    </row>
    <row r="275">
      <c r="A275" s="10" t="s">
        <v>724</v>
      </c>
      <c r="B275" s="11" t="s">
        <v>725</v>
      </c>
      <c r="C275" s="16" t="s">
        <v>726</v>
      </c>
      <c r="D275" s="11"/>
      <c r="E275" s="11" t="s">
        <v>126</v>
      </c>
      <c r="F275" s="57" t="n">
        <v>11</v>
      </c>
      <c r="G275" s="58" t="n">
        <v>0</v>
      </c>
      <c r="H275" s="57">
        <f>ROUND(F275*AO275,2)</f>
      </c>
      <c r="I275" s="57">
        <f>ROUND(F275*AP275,2)</f>
      </c>
      <c r="J275" s="57">
        <f>ROUND(F275*G275,2)</f>
      </c>
      <c r="K275" s="59" t="s">
        <v>62</v>
      </c>
      <c r="Z275" s="57">
        <f>ROUND(IF(AQ275="5",BJ275,0),2)</f>
      </c>
      <c r="AB275" s="57">
        <f>ROUND(IF(AQ275="1",BH275,0),2)</f>
      </c>
      <c r="AC275" s="57">
        <f>ROUND(IF(AQ275="1",BI275,0),2)</f>
      </c>
      <c r="AD275" s="57">
        <f>ROUND(IF(AQ275="7",BH275,0),2)</f>
      </c>
      <c r="AE275" s="57">
        <f>ROUND(IF(AQ275="7",BI275,0),2)</f>
      </c>
      <c r="AF275" s="57">
        <f>ROUND(IF(AQ275="2",BH275,0),2)</f>
      </c>
      <c r="AG275" s="57">
        <f>ROUND(IF(AQ275="2",BI275,0),2)</f>
      </c>
      <c r="AH275" s="57">
        <f>ROUND(IF(AQ275="0",BJ275,0),2)</f>
      </c>
      <c r="AI275" s="33" t="s">
        <v>707</v>
      </c>
      <c r="AJ275" s="57">
        <f>IF(AN275=0,J275,0)</f>
      </c>
      <c r="AK275" s="57">
        <f>IF(AN275=12,J275,0)</f>
      </c>
      <c r="AL275" s="57">
        <f>IF(AN275=21,J275,0)</f>
      </c>
      <c r="AN275" s="57" t="n">
        <v>12</v>
      </c>
      <c r="AO275" s="57">
        <f>G275*0</f>
      </c>
      <c r="AP275" s="57">
        <f>G275*(1-0)</f>
      </c>
      <c r="AQ275" s="60" t="s">
        <v>89</v>
      </c>
      <c r="AV275" s="57">
        <f>ROUND(AW275+AX275,2)</f>
      </c>
      <c r="AW275" s="57">
        <f>ROUND(F275*AO275,2)</f>
      </c>
      <c r="AX275" s="57">
        <f>ROUND(F275*AP275,2)</f>
      </c>
      <c r="AY275" s="60" t="s">
        <v>319</v>
      </c>
      <c r="AZ275" s="60" t="s">
        <v>727</v>
      </c>
      <c r="BA275" s="33" t="s">
        <v>711</v>
      </c>
      <c r="BB275" s="61" t="n">
        <v>100106</v>
      </c>
      <c r="BC275" s="57">
        <f>AW275+AX275</f>
      </c>
      <c r="BD275" s="57">
        <f>G275/(100-BE275)*100</f>
      </c>
      <c r="BE275" s="57" t="n">
        <v>0</v>
      </c>
      <c r="BF275" s="57">
        <f>275</f>
      </c>
      <c r="BH275" s="57">
        <f>F275*AO275</f>
      </c>
      <c r="BI275" s="57">
        <f>F275*AP275</f>
      </c>
      <c r="BJ275" s="57">
        <f>F275*G275</f>
      </c>
      <c r="BK275" s="60" t="s">
        <v>66</v>
      </c>
      <c r="BL275" s="57" t="n">
        <v>721</v>
      </c>
      <c r="BW275" s="57" t="n">
        <v>12</v>
      </c>
      <c r="BX275" s="16" t="s">
        <v>726</v>
      </c>
    </row>
    <row r="276">
      <c r="A276" s="10" t="s">
        <v>728</v>
      </c>
      <c r="B276" s="11" t="s">
        <v>729</v>
      </c>
      <c r="C276" s="16" t="s">
        <v>730</v>
      </c>
      <c r="D276" s="11"/>
      <c r="E276" s="11" t="s">
        <v>126</v>
      </c>
      <c r="F276" s="57" t="n">
        <v>9</v>
      </c>
      <c r="G276" s="58" t="n">
        <v>0</v>
      </c>
      <c r="H276" s="57">
        <f>ROUND(F276*AO276,2)</f>
      </c>
      <c r="I276" s="57">
        <f>ROUND(F276*AP276,2)</f>
      </c>
      <c r="J276" s="57">
        <f>ROUND(F276*G276,2)</f>
      </c>
      <c r="K276" s="59" t="s">
        <v>62</v>
      </c>
      <c r="Z276" s="57">
        <f>ROUND(IF(AQ276="5",BJ276,0),2)</f>
      </c>
      <c r="AB276" s="57">
        <f>ROUND(IF(AQ276="1",BH276,0),2)</f>
      </c>
      <c r="AC276" s="57">
        <f>ROUND(IF(AQ276="1",BI276,0),2)</f>
      </c>
      <c r="AD276" s="57">
        <f>ROUND(IF(AQ276="7",BH276,0),2)</f>
      </c>
      <c r="AE276" s="57">
        <f>ROUND(IF(AQ276="7",BI276,0),2)</f>
      </c>
      <c r="AF276" s="57">
        <f>ROUND(IF(AQ276="2",BH276,0),2)</f>
      </c>
      <c r="AG276" s="57">
        <f>ROUND(IF(AQ276="2",BI276,0),2)</f>
      </c>
      <c r="AH276" s="57">
        <f>ROUND(IF(AQ276="0",BJ276,0),2)</f>
      </c>
      <c r="AI276" s="33" t="s">
        <v>707</v>
      </c>
      <c r="AJ276" s="57">
        <f>IF(AN276=0,J276,0)</f>
      </c>
      <c r="AK276" s="57">
        <f>IF(AN276=12,J276,0)</f>
      </c>
      <c r="AL276" s="57">
        <f>IF(AN276=21,J276,0)</f>
      </c>
      <c r="AN276" s="57" t="n">
        <v>12</v>
      </c>
      <c r="AO276" s="57">
        <f>G276*0</f>
      </c>
      <c r="AP276" s="57">
        <f>G276*(1-0)</f>
      </c>
      <c r="AQ276" s="60" t="s">
        <v>89</v>
      </c>
      <c r="AV276" s="57">
        <f>ROUND(AW276+AX276,2)</f>
      </c>
      <c r="AW276" s="57">
        <f>ROUND(F276*AO276,2)</f>
      </c>
      <c r="AX276" s="57">
        <f>ROUND(F276*AP276,2)</f>
      </c>
      <c r="AY276" s="60" t="s">
        <v>319</v>
      </c>
      <c r="AZ276" s="60" t="s">
        <v>727</v>
      </c>
      <c r="BA276" s="33" t="s">
        <v>711</v>
      </c>
      <c r="BB276" s="61" t="n">
        <v>100106</v>
      </c>
      <c r="BC276" s="57">
        <f>AW276+AX276</f>
      </c>
      <c r="BD276" s="57">
        <f>G276/(100-BE276)*100</f>
      </c>
      <c r="BE276" s="57" t="n">
        <v>0</v>
      </c>
      <c r="BF276" s="57">
        <f>276</f>
      </c>
      <c r="BH276" s="57">
        <f>F276*AO276</f>
      </c>
      <c r="BI276" s="57">
        <f>F276*AP276</f>
      </c>
      <c r="BJ276" s="57">
        <f>F276*G276</f>
      </c>
      <c r="BK276" s="60" t="s">
        <v>66</v>
      </c>
      <c r="BL276" s="57" t="n">
        <v>721</v>
      </c>
      <c r="BW276" s="57" t="n">
        <v>12</v>
      </c>
      <c r="BX276" s="16" t="s">
        <v>730</v>
      </c>
    </row>
    <row r="277">
      <c r="A277" s="10" t="s">
        <v>731</v>
      </c>
      <c r="B277" s="11" t="s">
        <v>732</v>
      </c>
      <c r="C277" s="16" t="s">
        <v>733</v>
      </c>
      <c r="D277" s="11"/>
      <c r="E277" s="11" t="s">
        <v>126</v>
      </c>
      <c r="F277" s="57" t="n">
        <v>11</v>
      </c>
      <c r="G277" s="58" t="n">
        <v>0</v>
      </c>
      <c r="H277" s="57">
        <f>ROUND(F277*AO277,2)</f>
      </c>
      <c r="I277" s="57">
        <f>ROUND(F277*AP277,2)</f>
      </c>
      <c r="J277" s="57">
        <f>ROUND(F277*G277,2)</f>
      </c>
      <c r="K277" s="59" t="s">
        <v>62</v>
      </c>
      <c r="Z277" s="57">
        <f>ROUND(IF(AQ277="5",BJ277,0),2)</f>
      </c>
      <c r="AB277" s="57">
        <f>ROUND(IF(AQ277="1",BH277,0),2)</f>
      </c>
      <c r="AC277" s="57">
        <f>ROUND(IF(AQ277="1",BI277,0),2)</f>
      </c>
      <c r="AD277" s="57">
        <f>ROUND(IF(AQ277="7",BH277,0),2)</f>
      </c>
      <c r="AE277" s="57">
        <f>ROUND(IF(AQ277="7",BI277,0),2)</f>
      </c>
      <c r="AF277" s="57">
        <f>ROUND(IF(AQ277="2",BH277,0),2)</f>
      </c>
      <c r="AG277" s="57">
        <f>ROUND(IF(AQ277="2",BI277,0),2)</f>
      </c>
      <c r="AH277" s="57">
        <f>ROUND(IF(AQ277="0",BJ277,0),2)</f>
      </c>
      <c r="AI277" s="33" t="s">
        <v>707</v>
      </c>
      <c r="AJ277" s="57">
        <f>IF(AN277=0,J277,0)</f>
      </c>
      <c r="AK277" s="57">
        <f>IF(AN277=12,J277,0)</f>
      </c>
      <c r="AL277" s="57">
        <f>IF(AN277=21,J277,0)</f>
      </c>
      <c r="AN277" s="57" t="n">
        <v>12</v>
      </c>
      <c r="AO277" s="57">
        <f>G277*0.258126582</f>
      </c>
      <c r="AP277" s="57">
        <f>G277*(1-0.258126582)</f>
      </c>
      <c r="AQ277" s="60" t="s">
        <v>89</v>
      </c>
      <c r="AV277" s="57">
        <f>ROUND(AW277+AX277,2)</f>
      </c>
      <c r="AW277" s="57">
        <f>ROUND(F277*AO277,2)</f>
      </c>
      <c r="AX277" s="57">
        <f>ROUND(F277*AP277,2)</f>
      </c>
      <c r="AY277" s="60" t="s">
        <v>319</v>
      </c>
      <c r="AZ277" s="60" t="s">
        <v>727</v>
      </c>
      <c r="BA277" s="33" t="s">
        <v>711</v>
      </c>
      <c r="BB277" s="61" t="n">
        <v>100106</v>
      </c>
      <c r="BC277" s="57">
        <f>AW277+AX277</f>
      </c>
      <c r="BD277" s="57">
        <f>G277/(100-BE277)*100</f>
      </c>
      <c r="BE277" s="57" t="n">
        <v>0</v>
      </c>
      <c r="BF277" s="57">
        <f>277</f>
      </c>
      <c r="BH277" s="57">
        <f>F277*AO277</f>
      </c>
      <c r="BI277" s="57">
        <f>F277*AP277</f>
      </c>
      <c r="BJ277" s="57">
        <f>F277*G277</f>
      </c>
      <c r="BK277" s="60" t="s">
        <v>66</v>
      </c>
      <c r="BL277" s="57" t="n">
        <v>721</v>
      </c>
      <c r="BW277" s="57" t="n">
        <v>12</v>
      </c>
      <c r="BX277" s="16" t="s">
        <v>733</v>
      </c>
    </row>
    <row r="278">
      <c r="A278" s="10" t="s">
        <v>734</v>
      </c>
      <c r="B278" s="11" t="s">
        <v>735</v>
      </c>
      <c r="C278" s="16" t="s">
        <v>736</v>
      </c>
      <c r="D278" s="11"/>
      <c r="E278" s="11" t="s">
        <v>126</v>
      </c>
      <c r="F278" s="57" t="n">
        <v>9</v>
      </c>
      <c r="G278" s="58" t="n">
        <v>0</v>
      </c>
      <c r="H278" s="57">
        <f>ROUND(F278*AO278,2)</f>
      </c>
      <c r="I278" s="57">
        <f>ROUND(F278*AP278,2)</f>
      </c>
      <c r="J278" s="57">
        <f>ROUND(F278*G278,2)</f>
      </c>
      <c r="K278" s="59" t="s">
        <v>62</v>
      </c>
      <c r="Z278" s="57">
        <f>ROUND(IF(AQ278="5",BJ278,0),2)</f>
      </c>
      <c r="AB278" s="57">
        <f>ROUND(IF(AQ278="1",BH278,0),2)</f>
      </c>
      <c r="AC278" s="57">
        <f>ROUND(IF(AQ278="1",BI278,0),2)</f>
      </c>
      <c r="AD278" s="57">
        <f>ROUND(IF(AQ278="7",BH278,0),2)</f>
      </c>
      <c r="AE278" s="57">
        <f>ROUND(IF(AQ278="7",BI278,0),2)</f>
      </c>
      <c r="AF278" s="57">
        <f>ROUND(IF(AQ278="2",BH278,0),2)</f>
      </c>
      <c r="AG278" s="57">
        <f>ROUND(IF(AQ278="2",BI278,0),2)</f>
      </c>
      <c r="AH278" s="57">
        <f>ROUND(IF(AQ278="0",BJ278,0),2)</f>
      </c>
      <c r="AI278" s="33" t="s">
        <v>707</v>
      </c>
      <c r="AJ278" s="57">
        <f>IF(AN278=0,J278,0)</f>
      </c>
      <c r="AK278" s="57">
        <f>IF(AN278=12,J278,0)</f>
      </c>
      <c r="AL278" s="57">
        <f>IF(AN278=21,J278,0)</f>
      </c>
      <c r="AN278" s="57" t="n">
        <v>12</v>
      </c>
      <c r="AO278" s="57">
        <f>G278*0.326666745</f>
      </c>
      <c r="AP278" s="57">
        <f>G278*(1-0.326666745)</f>
      </c>
      <c r="AQ278" s="60" t="s">
        <v>89</v>
      </c>
      <c r="AV278" s="57">
        <f>ROUND(AW278+AX278,2)</f>
      </c>
      <c r="AW278" s="57">
        <f>ROUND(F278*AO278,2)</f>
      </c>
      <c r="AX278" s="57">
        <f>ROUND(F278*AP278,2)</f>
      </c>
      <c r="AY278" s="60" t="s">
        <v>319</v>
      </c>
      <c r="AZ278" s="60" t="s">
        <v>727</v>
      </c>
      <c r="BA278" s="33" t="s">
        <v>711</v>
      </c>
      <c r="BB278" s="61" t="n">
        <v>100106</v>
      </c>
      <c r="BC278" s="57">
        <f>AW278+AX278</f>
      </c>
      <c r="BD278" s="57">
        <f>G278/(100-BE278)*100</f>
      </c>
      <c r="BE278" s="57" t="n">
        <v>0</v>
      </c>
      <c r="BF278" s="57">
        <f>278</f>
      </c>
      <c r="BH278" s="57">
        <f>F278*AO278</f>
      </c>
      <c r="BI278" s="57">
        <f>F278*AP278</f>
      </c>
      <c r="BJ278" s="57">
        <f>F278*G278</f>
      </c>
      <c r="BK278" s="60" t="s">
        <v>66</v>
      </c>
      <c r="BL278" s="57" t="n">
        <v>721</v>
      </c>
      <c r="BW278" s="57" t="n">
        <v>12</v>
      </c>
      <c r="BX278" s="16" t="s">
        <v>736</v>
      </c>
    </row>
    <row r="279">
      <c r="A279" s="10" t="s">
        <v>737</v>
      </c>
      <c r="B279" s="11" t="s">
        <v>738</v>
      </c>
      <c r="C279" s="16" t="s">
        <v>739</v>
      </c>
      <c r="D279" s="11"/>
      <c r="E279" s="11" t="s">
        <v>314</v>
      </c>
      <c r="F279" s="57" t="n">
        <v>0.06228</v>
      </c>
      <c r="G279" s="58" t="n">
        <v>0</v>
      </c>
      <c r="H279" s="57">
        <f>ROUND(F279*AO279,2)</f>
      </c>
      <c r="I279" s="57">
        <f>ROUND(F279*AP279,2)</f>
      </c>
      <c r="J279" s="57">
        <f>ROUND(F279*G279,2)</f>
      </c>
      <c r="K279" s="59" t="s">
        <v>62</v>
      </c>
      <c r="Z279" s="57">
        <f>ROUND(IF(AQ279="5",BJ279,0),2)</f>
      </c>
      <c r="AB279" s="57">
        <f>ROUND(IF(AQ279="1",BH279,0),2)</f>
      </c>
      <c r="AC279" s="57">
        <f>ROUND(IF(AQ279="1",BI279,0),2)</f>
      </c>
      <c r="AD279" s="57">
        <f>ROUND(IF(AQ279="7",BH279,0),2)</f>
      </c>
      <c r="AE279" s="57">
        <f>ROUND(IF(AQ279="7",BI279,0),2)</f>
      </c>
      <c r="AF279" s="57">
        <f>ROUND(IF(AQ279="2",BH279,0),2)</f>
      </c>
      <c r="AG279" s="57">
        <f>ROUND(IF(AQ279="2",BI279,0),2)</f>
      </c>
      <c r="AH279" s="57">
        <f>ROUND(IF(AQ279="0",BJ279,0),2)</f>
      </c>
      <c r="AI279" s="33" t="s">
        <v>707</v>
      </c>
      <c r="AJ279" s="57">
        <f>IF(AN279=0,J279,0)</f>
      </c>
      <c r="AK279" s="57">
        <f>IF(AN279=12,J279,0)</f>
      </c>
      <c r="AL279" s="57">
        <f>IF(AN279=21,J279,0)</f>
      </c>
      <c r="AN279" s="57" t="n">
        <v>12</v>
      </c>
      <c r="AO279" s="57">
        <f>G279*0</f>
      </c>
      <c r="AP279" s="57">
        <f>G279*(1-0)</f>
      </c>
      <c r="AQ279" s="60" t="s">
        <v>76</v>
      </c>
      <c r="AV279" s="57">
        <f>ROUND(AW279+AX279,2)</f>
      </c>
      <c r="AW279" s="57">
        <f>ROUND(F279*AO279,2)</f>
      </c>
      <c r="AX279" s="57">
        <f>ROUND(F279*AP279,2)</f>
      </c>
      <c r="AY279" s="60" t="s">
        <v>319</v>
      </c>
      <c r="AZ279" s="60" t="s">
        <v>727</v>
      </c>
      <c r="BA279" s="33" t="s">
        <v>711</v>
      </c>
      <c r="BB279" s="61" t="n">
        <v>100106</v>
      </c>
      <c r="BC279" s="57">
        <f>AW279+AX279</f>
      </c>
      <c r="BD279" s="57">
        <f>G279/(100-BE279)*100</f>
      </c>
      <c r="BE279" s="57" t="n">
        <v>0</v>
      </c>
      <c r="BF279" s="57">
        <f>279</f>
      </c>
      <c r="BH279" s="57">
        <f>F279*AO279</f>
      </c>
      <c r="BI279" s="57">
        <f>F279*AP279</f>
      </c>
      <c r="BJ279" s="57">
        <f>F279*G279</f>
      </c>
      <c r="BK279" s="60" t="s">
        <v>66</v>
      </c>
      <c r="BL279" s="57" t="n">
        <v>721</v>
      </c>
      <c r="BW279" s="57" t="n">
        <v>12</v>
      </c>
      <c r="BX279" s="16" t="s">
        <v>739</v>
      </c>
    </row>
    <row r="280">
      <c r="A280" s="51" t="s">
        <v>53</v>
      </c>
      <c r="B280" s="52" t="s">
        <v>740</v>
      </c>
      <c r="C280" s="53" t="s">
        <v>741</v>
      </c>
      <c r="D280" s="52"/>
      <c r="E280" s="54" t="s">
        <v>4</v>
      </c>
      <c r="F280" s="54" t="s">
        <v>4</v>
      </c>
      <c r="G280" s="55" t="s">
        <v>4</v>
      </c>
      <c r="H280" s="2">
        <f>ROUND(SUM(H281:H311),2)</f>
      </c>
      <c r="I280" s="2">
        <f>ROUND(SUM(I281:I311),2)</f>
      </c>
      <c r="J280" s="2">
        <f>ROUND(SUM(J281:J311),2)</f>
      </c>
      <c r="K280" s="56" t="s">
        <v>53</v>
      </c>
      <c r="AI280" s="33" t="s">
        <v>707</v>
      </c>
      <c r="AS280" s="2">
        <f>SUM(AJ281:AJ311)</f>
      </c>
      <c r="AT280" s="2">
        <f>SUM(AK281:AK311)</f>
      </c>
      <c r="AU280" s="2">
        <f>SUM(AL281:AL311)</f>
      </c>
    </row>
    <row r="281" ht="24.75">
      <c r="A281" s="10" t="s">
        <v>742</v>
      </c>
      <c r="B281" s="11" t="s">
        <v>743</v>
      </c>
      <c r="C281" s="16" t="s">
        <v>744</v>
      </c>
      <c r="D281" s="11"/>
      <c r="E281" s="11" t="s">
        <v>174</v>
      </c>
      <c r="F281" s="57" t="n">
        <v>7</v>
      </c>
      <c r="G281" s="58" t="n">
        <v>0</v>
      </c>
      <c r="H281" s="57">
        <f>ROUND(F281*AO281,2)</f>
      </c>
      <c r="I281" s="57">
        <f>ROUND(F281*AP281,2)</f>
      </c>
      <c r="J281" s="57">
        <f>ROUND(F281*G281,2)</f>
      </c>
      <c r="K281" s="59" t="s">
        <v>62</v>
      </c>
      <c r="Z281" s="57">
        <f>ROUND(IF(AQ281="5",BJ281,0),2)</f>
      </c>
      <c r="AB281" s="57">
        <f>ROUND(IF(AQ281="1",BH281,0),2)</f>
      </c>
      <c r="AC281" s="57">
        <f>ROUND(IF(AQ281="1",BI281,0),2)</f>
      </c>
      <c r="AD281" s="57">
        <f>ROUND(IF(AQ281="7",BH281,0),2)</f>
      </c>
      <c r="AE281" s="57">
        <f>ROUND(IF(AQ281="7",BI281,0),2)</f>
      </c>
      <c r="AF281" s="57">
        <f>ROUND(IF(AQ281="2",BH281,0),2)</f>
      </c>
      <c r="AG281" s="57">
        <f>ROUND(IF(AQ281="2",BI281,0),2)</f>
      </c>
      <c r="AH281" s="57">
        <f>ROUND(IF(AQ281="0",BJ281,0),2)</f>
      </c>
      <c r="AI281" s="33" t="s">
        <v>707</v>
      </c>
      <c r="AJ281" s="57">
        <f>IF(AN281=0,J281,0)</f>
      </c>
      <c r="AK281" s="57">
        <f>IF(AN281=12,J281,0)</f>
      </c>
      <c r="AL281" s="57">
        <f>IF(AN281=21,J281,0)</f>
      </c>
      <c r="AN281" s="57" t="n">
        <v>12</v>
      </c>
      <c r="AO281" s="57">
        <f>G281*0.307732072</f>
      </c>
      <c r="AP281" s="57">
        <f>G281*(1-0.307732072)</f>
      </c>
      <c r="AQ281" s="60" t="s">
        <v>89</v>
      </c>
      <c r="AV281" s="57">
        <f>ROUND(AW281+AX281,2)</f>
      </c>
      <c r="AW281" s="57">
        <f>ROUND(F281*AO281,2)</f>
      </c>
      <c r="AX281" s="57">
        <f>ROUND(F281*AP281,2)</f>
      </c>
      <c r="AY281" s="60" t="s">
        <v>745</v>
      </c>
      <c r="AZ281" s="60" t="s">
        <v>746</v>
      </c>
      <c r="BA281" s="33" t="s">
        <v>711</v>
      </c>
      <c r="BB281" s="61" t="n">
        <v>100107</v>
      </c>
      <c r="BC281" s="57">
        <f>AW281+AX281</f>
      </c>
      <c r="BD281" s="57">
        <f>G281/(100-BE281)*100</f>
      </c>
      <c r="BE281" s="57" t="n">
        <v>0</v>
      </c>
      <c r="BF281" s="57">
        <f>281</f>
      </c>
      <c r="BH281" s="57">
        <f>F281*AO281</f>
      </c>
      <c r="BI281" s="57">
        <f>F281*AP281</f>
      </c>
      <c r="BJ281" s="57">
        <f>F281*G281</f>
      </c>
      <c r="BK281" s="60" t="s">
        <v>66</v>
      </c>
      <c r="BL281" s="57" t="n">
        <v>762</v>
      </c>
      <c r="BW281" s="57" t="n">
        <v>12</v>
      </c>
      <c r="BX281" s="16" t="s">
        <v>744</v>
      </c>
    </row>
    <row r="282">
      <c r="A282" s="10" t="s">
        <v>747</v>
      </c>
      <c r="B282" s="11" t="s">
        <v>748</v>
      </c>
      <c r="C282" s="16" t="s">
        <v>749</v>
      </c>
      <c r="D282" s="11"/>
      <c r="E282" s="11" t="s">
        <v>126</v>
      </c>
      <c r="F282" s="57" t="n">
        <v>15.6</v>
      </c>
      <c r="G282" s="58" t="n">
        <v>0</v>
      </c>
      <c r="H282" s="57">
        <f>ROUND(F282*AO282,2)</f>
      </c>
      <c r="I282" s="57">
        <f>ROUND(F282*AP282,2)</f>
      </c>
      <c r="J282" s="57">
        <f>ROUND(F282*G282,2)</f>
      </c>
      <c r="K282" s="59" t="s">
        <v>62</v>
      </c>
      <c r="Z282" s="57">
        <f>ROUND(IF(AQ282="5",BJ282,0),2)</f>
      </c>
      <c r="AB282" s="57">
        <f>ROUND(IF(AQ282="1",BH282,0),2)</f>
      </c>
      <c r="AC282" s="57">
        <f>ROUND(IF(AQ282="1",BI282,0),2)</f>
      </c>
      <c r="AD282" s="57">
        <f>ROUND(IF(AQ282="7",BH282,0),2)</f>
      </c>
      <c r="AE282" s="57">
        <f>ROUND(IF(AQ282="7",BI282,0),2)</f>
      </c>
      <c r="AF282" s="57">
        <f>ROUND(IF(AQ282="2",BH282,0),2)</f>
      </c>
      <c r="AG282" s="57">
        <f>ROUND(IF(AQ282="2",BI282,0),2)</f>
      </c>
      <c r="AH282" s="57">
        <f>ROUND(IF(AQ282="0",BJ282,0),2)</f>
      </c>
      <c r="AI282" s="33" t="s">
        <v>707</v>
      </c>
      <c r="AJ282" s="57">
        <f>IF(AN282=0,J282,0)</f>
      </c>
      <c r="AK282" s="57">
        <f>IF(AN282=12,J282,0)</f>
      </c>
      <c r="AL282" s="57">
        <f>IF(AN282=21,J282,0)</f>
      </c>
      <c r="AN282" s="57" t="n">
        <v>12</v>
      </c>
      <c r="AO282" s="57">
        <f>G282*0.020480147</f>
      </c>
      <c r="AP282" s="57">
        <f>G282*(1-0.020480147)</f>
      </c>
      <c r="AQ282" s="60" t="s">
        <v>89</v>
      </c>
      <c r="AV282" s="57">
        <f>ROUND(AW282+AX282,2)</f>
      </c>
      <c r="AW282" s="57">
        <f>ROUND(F282*AO282,2)</f>
      </c>
      <c r="AX282" s="57">
        <f>ROUND(F282*AP282,2)</f>
      </c>
      <c r="AY282" s="60" t="s">
        <v>745</v>
      </c>
      <c r="AZ282" s="60" t="s">
        <v>746</v>
      </c>
      <c r="BA282" s="33" t="s">
        <v>711</v>
      </c>
      <c r="BB282" s="61" t="n">
        <v>100107</v>
      </c>
      <c r="BC282" s="57">
        <f>AW282+AX282</f>
      </c>
      <c r="BD282" s="57">
        <f>G282/(100-BE282)*100</f>
      </c>
      <c r="BE282" s="57" t="n">
        <v>0</v>
      </c>
      <c r="BF282" s="57">
        <f>282</f>
      </c>
      <c r="BH282" s="57">
        <f>F282*AO282</f>
      </c>
      <c r="BI282" s="57">
        <f>F282*AP282</f>
      </c>
      <c r="BJ282" s="57">
        <f>F282*G282</f>
      </c>
      <c r="BK282" s="60" t="s">
        <v>66</v>
      </c>
      <c r="BL282" s="57" t="n">
        <v>762</v>
      </c>
      <c r="BW282" s="57" t="n">
        <v>12</v>
      </c>
      <c r="BX282" s="16" t="s">
        <v>749</v>
      </c>
    </row>
    <row r="283">
      <c r="A283" s="10" t="s">
        <v>750</v>
      </c>
      <c r="B283" s="11" t="s">
        <v>751</v>
      </c>
      <c r="C283" s="16" t="s">
        <v>752</v>
      </c>
      <c r="D283" s="11"/>
      <c r="E283" s="11" t="s">
        <v>126</v>
      </c>
      <c r="F283" s="57" t="n">
        <v>6.8</v>
      </c>
      <c r="G283" s="58" t="n">
        <v>0</v>
      </c>
      <c r="H283" s="57">
        <f>ROUND(F283*AO283,2)</f>
      </c>
      <c r="I283" s="57">
        <f>ROUND(F283*AP283,2)</f>
      </c>
      <c r="J283" s="57">
        <f>ROUND(F283*G283,2)</f>
      </c>
      <c r="K283" s="59" t="s">
        <v>62</v>
      </c>
      <c r="Z283" s="57">
        <f>ROUND(IF(AQ283="5",BJ283,0),2)</f>
      </c>
      <c r="AB283" s="57">
        <f>ROUND(IF(AQ283="1",BH283,0),2)</f>
      </c>
      <c r="AC283" s="57">
        <f>ROUND(IF(AQ283="1",BI283,0),2)</f>
      </c>
      <c r="AD283" s="57">
        <f>ROUND(IF(AQ283="7",BH283,0),2)</f>
      </c>
      <c r="AE283" s="57">
        <f>ROUND(IF(AQ283="7",BI283,0),2)</f>
      </c>
      <c r="AF283" s="57">
        <f>ROUND(IF(AQ283="2",BH283,0),2)</f>
      </c>
      <c r="AG283" s="57">
        <f>ROUND(IF(AQ283="2",BI283,0),2)</f>
      </c>
      <c r="AH283" s="57">
        <f>ROUND(IF(AQ283="0",BJ283,0),2)</f>
      </c>
      <c r="AI283" s="33" t="s">
        <v>707</v>
      </c>
      <c r="AJ283" s="57">
        <f>IF(AN283=0,J283,0)</f>
      </c>
      <c r="AK283" s="57">
        <f>IF(AN283=12,J283,0)</f>
      </c>
      <c r="AL283" s="57">
        <f>IF(AN283=21,J283,0)</f>
      </c>
      <c r="AN283" s="57" t="n">
        <v>12</v>
      </c>
      <c r="AO283" s="57">
        <f>G283*0.023927071</f>
      </c>
      <c r="AP283" s="57">
        <f>G283*(1-0.023927071)</f>
      </c>
      <c r="AQ283" s="60" t="s">
        <v>89</v>
      </c>
      <c r="AV283" s="57">
        <f>ROUND(AW283+AX283,2)</f>
      </c>
      <c r="AW283" s="57">
        <f>ROUND(F283*AO283,2)</f>
      </c>
      <c r="AX283" s="57">
        <f>ROUND(F283*AP283,2)</f>
      </c>
      <c r="AY283" s="60" t="s">
        <v>745</v>
      </c>
      <c r="AZ283" s="60" t="s">
        <v>746</v>
      </c>
      <c r="BA283" s="33" t="s">
        <v>711</v>
      </c>
      <c r="BB283" s="61" t="n">
        <v>100107</v>
      </c>
      <c r="BC283" s="57">
        <f>AW283+AX283</f>
      </c>
      <c r="BD283" s="57">
        <f>G283/(100-BE283)*100</f>
      </c>
      <c r="BE283" s="57" t="n">
        <v>0</v>
      </c>
      <c r="BF283" s="57">
        <f>283</f>
      </c>
      <c r="BH283" s="57">
        <f>F283*AO283</f>
      </c>
      <c r="BI283" s="57">
        <f>F283*AP283</f>
      </c>
      <c r="BJ283" s="57">
        <f>F283*G283</f>
      </c>
      <c r="BK283" s="60" t="s">
        <v>66</v>
      </c>
      <c r="BL283" s="57" t="n">
        <v>762</v>
      </c>
      <c r="BW283" s="57" t="n">
        <v>12</v>
      </c>
      <c r="BX283" s="16" t="s">
        <v>752</v>
      </c>
    </row>
    <row r="284">
      <c r="A284" s="10" t="s">
        <v>753</v>
      </c>
      <c r="B284" s="11" t="s">
        <v>754</v>
      </c>
      <c r="C284" s="16" t="s">
        <v>755</v>
      </c>
      <c r="D284" s="11"/>
      <c r="E284" s="11" t="s">
        <v>126</v>
      </c>
      <c r="F284" s="57" t="n">
        <v>14.2</v>
      </c>
      <c r="G284" s="58" t="n">
        <v>0</v>
      </c>
      <c r="H284" s="57">
        <f>ROUND(F284*AO284,2)</f>
      </c>
      <c r="I284" s="57">
        <f>ROUND(F284*AP284,2)</f>
      </c>
      <c r="J284" s="57">
        <f>ROUND(F284*G284,2)</f>
      </c>
      <c r="K284" s="59" t="s">
        <v>62</v>
      </c>
      <c r="Z284" s="57">
        <f>ROUND(IF(AQ284="5",BJ284,0),2)</f>
      </c>
      <c r="AB284" s="57">
        <f>ROUND(IF(AQ284="1",BH284,0),2)</f>
      </c>
      <c r="AC284" s="57">
        <f>ROUND(IF(AQ284="1",BI284,0),2)</f>
      </c>
      <c r="AD284" s="57">
        <f>ROUND(IF(AQ284="7",BH284,0),2)</f>
      </c>
      <c r="AE284" s="57">
        <f>ROUND(IF(AQ284="7",BI284,0),2)</f>
      </c>
      <c r="AF284" s="57">
        <f>ROUND(IF(AQ284="2",BH284,0),2)</f>
      </c>
      <c r="AG284" s="57">
        <f>ROUND(IF(AQ284="2",BI284,0),2)</f>
      </c>
      <c r="AH284" s="57">
        <f>ROUND(IF(AQ284="0",BJ284,0),2)</f>
      </c>
      <c r="AI284" s="33" t="s">
        <v>707</v>
      </c>
      <c r="AJ284" s="57">
        <f>IF(AN284=0,J284,0)</f>
      </c>
      <c r="AK284" s="57">
        <f>IF(AN284=12,J284,0)</f>
      </c>
      <c r="AL284" s="57">
        <f>IF(AN284=21,J284,0)</f>
      </c>
      <c r="AN284" s="57" t="n">
        <v>12</v>
      </c>
      <c r="AO284" s="57">
        <f>G284*0.02877387</f>
      </c>
      <c r="AP284" s="57">
        <f>G284*(1-0.02877387)</f>
      </c>
      <c r="AQ284" s="60" t="s">
        <v>89</v>
      </c>
      <c r="AV284" s="57">
        <f>ROUND(AW284+AX284,2)</f>
      </c>
      <c r="AW284" s="57">
        <f>ROUND(F284*AO284,2)</f>
      </c>
      <c r="AX284" s="57">
        <f>ROUND(F284*AP284,2)</f>
      </c>
      <c r="AY284" s="60" t="s">
        <v>745</v>
      </c>
      <c r="AZ284" s="60" t="s">
        <v>746</v>
      </c>
      <c r="BA284" s="33" t="s">
        <v>711</v>
      </c>
      <c r="BB284" s="61" t="n">
        <v>100107</v>
      </c>
      <c r="BC284" s="57">
        <f>AW284+AX284</f>
      </c>
      <c r="BD284" s="57">
        <f>G284/(100-BE284)*100</f>
      </c>
      <c r="BE284" s="57" t="n">
        <v>0</v>
      </c>
      <c r="BF284" s="57">
        <f>284</f>
      </c>
      <c r="BH284" s="57">
        <f>F284*AO284</f>
      </c>
      <c r="BI284" s="57">
        <f>F284*AP284</f>
      </c>
      <c r="BJ284" s="57">
        <f>F284*G284</f>
      </c>
      <c r="BK284" s="60" t="s">
        <v>66</v>
      </c>
      <c r="BL284" s="57" t="n">
        <v>762</v>
      </c>
      <c r="BW284" s="57" t="n">
        <v>12</v>
      </c>
      <c r="BX284" s="16" t="s">
        <v>755</v>
      </c>
    </row>
    <row r="285">
      <c r="A285" s="10" t="s">
        <v>756</v>
      </c>
      <c r="B285" s="11" t="s">
        <v>757</v>
      </c>
      <c r="C285" s="16" t="s">
        <v>758</v>
      </c>
      <c r="D285" s="11"/>
      <c r="E285" s="11" t="s">
        <v>126</v>
      </c>
      <c r="F285" s="57" t="n">
        <v>32.4</v>
      </c>
      <c r="G285" s="58" t="n">
        <v>0</v>
      </c>
      <c r="H285" s="57">
        <f>ROUND(F285*AO285,2)</f>
      </c>
      <c r="I285" s="57">
        <f>ROUND(F285*AP285,2)</f>
      </c>
      <c r="J285" s="57">
        <f>ROUND(F285*G285,2)</f>
      </c>
      <c r="K285" s="59" t="s">
        <v>62</v>
      </c>
      <c r="Z285" s="57">
        <f>ROUND(IF(AQ285="5",BJ285,0),2)</f>
      </c>
      <c r="AB285" s="57">
        <f>ROUND(IF(AQ285="1",BH285,0),2)</f>
      </c>
      <c r="AC285" s="57">
        <f>ROUND(IF(AQ285="1",BI285,0),2)</f>
      </c>
      <c r="AD285" s="57">
        <f>ROUND(IF(AQ285="7",BH285,0),2)</f>
      </c>
      <c r="AE285" s="57">
        <f>ROUND(IF(AQ285="7",BI285,0),2)</f>
      </c>
      <c r="AF285" s="57">
        <f>ROUND(IF(AQ285="2",BH285,0),2)</f>
      </c>
      <c r="AG285" s="57">
        <f>ROUND(IF(AQ285="2",BI285,0),2)</f>
      </c>
      <c r="AH285" s="57">
        <f>ROUND(IF(AQ285="0",BJ285,0),2)</f>
      </c>
      <c r="AI285" s="33" t="s">
        <v>707</v>
      </c>
      <c r="AJ285" s="57">
        <f>IF(AN285=0,J285,0)</f>
      </c>
      <c r="AK285" s="57">
        <f>IF(AN285=12,J285,0)</f>
      </c>
      <c r="AL285" s="57">
        <f>IF(AN285=21,J285,0)</f>
      </c>
      <c r="AN285" s="57" t="n">
        <v>12</v>
      </c>
      <c r="AO285" s="57">
        <f>G285*0.038764515</f>
      </c>
      <c r="AP285" s="57">
        <f>G285*(1-0.038764515)</f>
      </c>
      <c r="AQ285" s="60" t="s">
        <v>89</v>
      </c>
      <c r="AV285" s="57">
        <f>ROUND(AW285+AX285,2)</f>
      </c>
      <c r="AW285" s="57">
        <f>ROUND(F285*AO285,2)</f>
      </c>
      <c r="AX285" s="57">
        <f>ROUND(F285*AP285,2)</f>
      </c>
      <c r="AY285" s="60" t="s">
        <v>745</v>
      </c>
      <c r="AZ285" s="60" t="s">
        <v>746</v>
      </c>
      <c r="BA285" s="33" t="s">
        <v>711</v>
      </c>
      <c r="BB285" s="61" t="n">
        <v>100107</v>
      </c>
      <c r="BC285" s="57">
        <f>AW285+AX285</f>
      </c>
      <c r="BD285" s="57">
        <f>G285/(100-BE285)*100</f>
      </c>
      <c r="BE285" s="57" t="n">
        <v>0</v>
      </c>
      <c r="BF285" s="57">
        <f>285</f>
      </c>
      <c r="BH285" s="57">
        <f>F285*AO285</f>
      </c>
      <c r="BI285" s="57">
        <f>F285*AP285</f>
      </c>
      <c r="BJ285" s="57">
        <f>F285*G285</f>
      </c>
      <c r="BK285" s="60" t="s">
        <v>66</v>
      </c>
      <c r="BL285" s="57" t="n">
        <v>762</v>
      </c>
      <c r="BW285" s="57" t="n">
        <v>12</v>
      </c>
      <c r="BX285" s="16" t="s">
        <v>758</v>
      </c>
    </row>
    <row r="286">
      <c r="A286" s="10" t="s">
        <v>759</v>
      </c>
      <c r="B286" s="11" t="s">
        <v>760</v>
      </c>
      <c r="C286" s="16" t="s">
        <v>761</v>
      </c>
      <c r="D286" s="11"/>
      <c r="E286" s="11" t="s">
        <v>126</v>
      </c>
      <c r="F286" s="57" t="n">
        <v>20.1</v>
      </c>
      <c r="G286" s="58" t="n">
        <v>0</v>
      </c>
      <c r="H286" s="57">
        <f>ROUND(F286*AO286,2)</f>
      </c>
      <c r="I286" s="57">
        <f>ROUND(F286*AP286,2)</f>
      </c>
      <c r="J286" s="57">
        <f>ROUND(F286*G286,2)</f>
      </c>
      <c r="K286" s="59" t="s">
        <v>62</v>
      </c>
      <c r="Z286" s="57">
        <f>ROUND(IF(AQ286="5",BJ286,0),2)</f>
      </c>
      <c r="AB286" s="57">
        <f>ROUND(IF(AQ286="1",BH286,0),2)</f>
      </c>
      <c r="AC286" s="57">
        <f>ROUND(IF(AQ286="1",BI286,0),2)</f>
      </c>
      <c r="AD286" s="57">
        <f>ROUND(IF(AQ286="7",BH286,0),2)</f>
      </c>
      <c r="AE286" s="57">
        <f>ROUND(IF(AQ286="7",BI286,0),2)</f>
      </c>
      <c r="AF286" s="57">
        <f>ROUND(IF(AQ286="2",BH286,0),2)</f>
      </c>
      <c r="AG286" s="57">
        <f>ROUND(IF(AQ286="2",BI286,0),2)</f>
      </c>
      <c r="AH286" s="57">
        <f>ROUND(IF(AQ286="0",BJ286,0),2)</f>
      </c>
      <c r="AI286" s="33" t="s">
        <v>707</v>
      </c>
      <c r="AJ286" s="57">
        <f>IF(AN286=0,J286,0)</f>
      </c>
      <c r="AK286" s="57">
        <f>IF(AN286=12,J286,0)</f>
      </c>
      <c r="AL286" s="57">
        <f>IF(AN286=21,J286,0)</f>
      </c>
      <c r="AN286" s="57" t="n">
        <v>12</v>
      </c>
      <c r="AO286" s="57">
        <f>G286*0.016426922</f>
      </c>
      <c r="AP286" s="57">
        <f>G286*(1-0.016426922)</f>
      </c>
      <c r="AQ286" s="60" t="s">
        <v>89</v>
      </c>
      <c r="AV286" s="57">
        <f>ROUND(AW286+AX286,2)</f>
      </c>
      <c r="AW286" s="57">
        <f>ROUND(F286*AO286,2)</f>
      </c>
      <c r="AX286" s="57">
        <f>ROUND(F286*AP286,2)</f>
      </c>
      <c r="AY286" s="60" t="s">
        <v>745</v>
      </c>
      <c r="AZ286" s="60" t="s">
        <v>746</v>
      </c>
      <c r="BA286" s="33" t="s">
        <v>711</v>
      </c>
      <c r="BB286" s="61" t="n">
        <v>100107</v>
      </c>
      <c r="BC286" s="57">
        <f>AW286+AX286</f>
      </c>
      <c r="BD286" s="57">
        <f>G286/(100-BE286)*100</f>
      </c>
      <c r="BE286" s="57" t="n">
        <v>0</v>
      </c>
      <c r="BF286" s="57">
        <f>286</f>
      </c>
      <c r="BH286" s="57">
        <f>F286*AO286</f>
      </c>
      <c r="BI286" s="57">
        <f>F286*AP286</f>
      </c>
      <c r="BJ286" s="57">
        <f>F286*G286</f>
      </c>
      <c r="BK286" s="60" t="s">
        <v>66</v>
      </c>
      <c r="BL286" s="57" t="n">
        <v>762</v>
      </c>
      <c r="BW286" s="57" t="n">
        <v>12</v>
      </c>
      <c r="BX286" s="16" t="s">
        <v>761</v>
      </c>
    </row>
    <row r="287">
      <c r="A287" s="10" t="s">
        <v>762</v>
      </c>
      <c r="B287" s="11" t="s">
        <v>763</v>
      </c>
      <c r="C287" s="16" t="s">
        <v>764</v>
      </c>
      <c r="D287" s="11"/>
      <c r="E287" s="11" t="s">
        <v>126</v>
      </c>
      <c r="F287" s="57" t="n">
        <v>64.6</v>
      </c>
      <c r="G287" s="58" t="n">
        <v>0</v>
      </c>
      <c r="H287" s="57">
        <f>ROUND(F287*AO287,2)</f>
      </c>
      <c r="I287" s="57">
        <f>ROUND(F287*AP287,2)</f>
      </c>
      <c r="J287" s="57">
        <f>ROUND(F287*G287,2)</f>
      </c>
      <c r="K287" s="59" t="s">
        <v>62</v>
      </c>
      <c r="Z287" s="57">
        <f>ROUND(IF(AQ287="5",BJ287,0),2)</f>
      </c>
      <c r="AB287" s="57">
        <f>ROUND(IF(AQ287="1",BH287,0),2)</f>
      </c>
      <c r="AC287" s="57">
        <f>ROUND(IF(AQ287="1",BI287,0),2)</f>
      </c>
      <c r="AD287" s="57">
        <f>ROUND(IF(AQ287="7",BH287,0),2)</f>
      </c>
      <c r="AE287" s="57">
        <f>ROUND(IF(AQ287="7",BI287,0),2)</f>
      </c>
      <c r="AF287" s="57">
        <f>ROUND(IF(AQ287="2",BH287,0),2)</f>
      </c>
      <c r="AG287" s="57">
        <f>ROUND(IF(AQ287="2",BI287,0),2)</f>
      </c>
      <c r="AH287" s="57">
        <f>ROUND(IF(AQ287="0",BJ287,0),2)</f>
      </c>
      <c r="AI287" s="33" t="s">
        <v>707</v>
      </c>
      <c r="AJ287" s="57">
        <f>IF(AN287=0,J287,0)</f>
      </c>
      <c r="AK287" s="57">
        <f>IF(AN287=12,J287,0)</f>
      </c>
      <c r="AL287" s="57">
        <f>IF(AN287=21,J287,0)</f>
      </c>
      <c r="AN287" s="57" t="n">
        <v>12</v>
      </c>
      <c r="AO287" s="57">
        <f>G287*0.022279991</f>
      </c>
      <c r="AP287" s="57">
        <f>G287*(1-0.022279991)</f>
      </c>
      <c r="AQ287" s="60" t="s">
        <v>89</v>
      </c>
      <c r="AV287" s="57">
        <f>ROUND(AW287+AX287,2)</f>
      </c>
      <c r="AW287" s="57">
        <f>ROUND(F287*AO287,2)</f>
      </c>
      <c r="AX287" s="57">
        <f>ROUND(F287*AP287,2)</f>
      </c>
      <c r="AY287" s="60" t="s">
        <v>745</v>
      </c>
      <c r="AZ287" s="60" t="s">
        <v>746</v>
      </c>
      <c r="BA287" s="33" t="s">
        <v>711</v>
      </c>
      <c r="BB287" s="61" t="n">
        <v>100107</v>
      </c>
      <c r="BC287" s="57">
        <f>AW287+AX287</f>
      </c>
      <c r="BD287" s="57">
        <f>G287/(100-BE287)*100</f>
      </c>
      <c r="BE287" s="57" t="n">
        <v>0</v>
      </c>
      <c r="BF287" s="57">
        <f>287</f>
      </c>
      <c r="BH287" s="57">
        <f>F287*AO287</f>
      </c>
      <c r="BI287" s="57">
        <f>F287*AP287</f>
      </c>
      <c r="BJ287" s="57">
        <f>F287*G287</f>
      </c>
      <c r="BK287" s="60" t="s">
        <v>66</v>
      </c>
      <c r="BL287" s="57" t="n">
        <v>762</v>
      </c>
      <c r="BW287" s="57" t="n">
        <v>12</v>
      </c>
      <c r="BX287" s="16" t="s">
        <v>764</v>
      </c>
    </row>
    <row r="288">
      <c r="A288" s="10" t="s">
        <v>765</v>
      </c>
      <c r="B288" s="11" t="s">
        <v>766</v>
      </c>
      <c r="C288" s="16" t="s">
        <v>767</v>
      </c>
      <c r="D288" s="11"/>
      <c r="E288" s="11" t="s">
        <v>126</v>
      </c>
      <c r="F288" s="57" t="n">
        <v>153.2</v>
      </c>
      <c r="G288" s="58" t="n">
        <v>0</v>
      </c>
      <c r="H288" s="57">
        <f>ROUND(F288*AO288,2)</f>
      </c>
      <c r="I288" s="57">
        <f>ROUND(F288*AP288,2)</f>
      </c>
      <c r="J288" s="57">
        <f>ROUND(F288*G288,2)</f>
      </c>
      <c r="K288" s="59" t="s">
        <v>62</v>
      </c>
      <c r="Z288" s="57">
        <f>ROUND(IF(AQ288="5",BJ288,0),2)</f>
      </c>
      <c r="AB288" s="57">
        <f>ROUND(IF(AQ288="1",BH288,0),2)</f>
      </c>
      <c r="AC288" s="57">
        <f>ROUND(IF(AQ288="1",BI288,0),2)</f>
      </c>
      <c r="AD288" s="57">
        <f>ROUND(IF(AQ288="7",BH288,0),2)</f>
      </c>
      <c r="AE288" s="57">
        <f>ROUND(IF(AQ288="7",BI288,0),2)</f>
      </c>
      <c r="AF288" s="57">
        <f>ROUND(IF(AQ288="2",BH288,0),2)</f>
      </c>
      <c r="AG288" s="57">
        <f>ROUND(IF(AQ288="2",BI288,0),2)</f>
      </c>
      <c r="AH288" s="57">
        <f>ROUND(IF(AQ288="0",BJ288,0),2)</f>
      </c>
      <c r="AI288" s="33" t="s">
        <v>707</v>
      </c>
      <c r="AJ288" s="57">
        <f>IF(AN288=0,J288,0)</f>
      </c>
      <c r="AK288" s="57">
        <f>IF(AN288=12,J288,0)</f>
      </c>
      <c r="AL288" s="57">
        <f>IF(AN288=21,J288,0)</f>
      </c>
      <c r="AN288" s="57" t="n">
        <v>12</v>
      </c>
      <c r="AO288" s="57">
        <f>G288*0.029312582</f>
      </c>
      <c r="AP288" s="57">
        <f>G288*(1-0.029312582)</f>
      </c>
      <c r="AQ288" s="60" t="s">
        <v>89</v>
      </c>
      <c r="AV288" s="57">
        <f>ROUND(AW288+AX288,2)</f>
      </c>
      <c r="AW288" s="57">
        <f>ROUND(F288*AO288,2)</f>
      </c>
      <c r="AX288" s="57">
        <f>ROUND(F288*AP288,2)</f>
      </c>
      <c r="AY288" s="60" t="s">
        <v>745</v>
      </c>
      <c r="AZ288" s="60" t="s">
        <v>746</v>
      </c>
      <c r="BA288" s="33" t="s">
        <v>711</v>
      </c>
      <c r="BB288" s="61" t="n">
        <v>100107</v>
      </c>
      <c r="BC288" s="57">
        <f>AW288+AX288</f>
      </c>
      <c r="BD288" s="57">
        <f>G288/(100-BE288)*100</f>
      </c>
      <c r="BE288" s="57" t="n">
        <v>0</v>
      </c>
      <c r="BF288" s="57">
        <f>288</f>
      </c>
      <c r="BH288" s="57">
        <f>F288*AO288</f>
      </c>
      <c r="BI288" s="57">
        <f>F288*AP288</f>
      </c>
      <c r="BJ288" s="57">
        <f>F288*G288</f>
      </c>
      <c r="BK288" s="60" t="s">
        <v>66</v>
      </c>
      <c r="BL288" s="57" t="n">
        <v>762</v>
      </c>
      <c r="BW288" s="57" t="n">
        <v>12</v>
      </c>
      <c r="BX288" s="16" t="s">
        <v>767</v>
      </c>
    </row>
    <row r="289">
      <c r="A289" s="10" t="s">
        <v>768</v>
      </c>
      <c r="B289" s="11" t="s">
        <v>769</v>
      </c>
      <c r="C289" s="16" t="s">
        <v>770</v>
      </c>
      <c r="D289" s="11"/>
      <c r="E289" s="11" t="s">
        <v>126</v>
      </c>
      <c r="F289" s="57" t="n">
        <v>24</v>
      </c>
      <c r="G289" s="58" t="n">
        <v>0</v>
      </c>
      <c r="H289" s="57">
        <f>ROUND(F289*AO289,2)</f>
      </c>
      <c r="I289" s="57">
        <f>ROUND(F289*AP289,2)</f>
      </c>
      <c r="J289" s="57">
        <f>ROUND(F289*G289,2)</f>
      </c>
      <c r="K289" s="59" t="s">
        <v>62</v>
      </c>
      <c r="Z289" s="57">
        <f>ROUND(IF(AQ289="5",BJ289,0),2)</f>
      </c>
      <c r="AB289" s="57">
        <f>ROUND(IF(AQ289="1",BH289,0),2)</f>
      </c>
      <c r="AC289" s="57">
        <f>ROUND(IF(AQ289="1",BI289,0),2)</f>
      </c>
      <c r="AD289" s="57">
        <f>ROUND(IF(AQ289="7",BH289,0),2)</f>
      </c>
      <c r="AE289" s="57">
        <f>ROUND(IF(AQ289="7",BI289,0),2)</f>
      </c>
      <c r="AF289" s="57">
        <f>ROUND(IF(AQ289="2",BH289,0),2)</f>
      </c>
      <c r="AG289" s="57">
        <f>ROUND(IF(AQ289="2",BI289,0),2)</f>
      </c>
      <c r="AH289" s="57">
        <f>ROUND(IF(AQ289="0",BJ289,0),2)</f>
      </c>
      <c r="AI289" s="33" t="s">
        <v>707</v>
      </c>
      <c r="AJ289" s="57">
        <f>IF(AN289=0,J289,0)</f>
      </c>
      <c r="AK289" s="57">
        <f>IF(AN289=12,J289,0)</f>
      </c>
      <c r="AL289" s="57">
        <f>IF(AN289=21,J289,0)</f>
      </c>
      <c r="AN289" s="57" t="n">
        <v>12</v>
      </c>
      <c r="AO289" s="57">
        <f>G289*0.016810036</f>
      </c>
      <c r="AP289" s="57">
        <f>G289*(1-0.016810036)</f>
      </c>
      <c r="AQ289" s="60" t="s">
        <v>89</v>
      </c>
      <c r="AV289" s="57">
        <f>ROUND(AW289+AX289,2)</f>
      </c>
      <c r="AW289" s="57">
        <f>ROUND(F289*AO289,2)</f>
      </c>
      <c r="AX289" s="57">
        <f>ROUND(F289*AP289,2)</f>
      </c>
      <c r="AY289" s="60" t="s">
        <v>745</v>
      </c>
      <c r="AZ289" s="60" t="s">
        <v>746</v>
      </c>
      <c r="BA289" s="33" t="s">
        <v>711</v>
      </c>
      <c r="BB289" s="61" t="n">
        <v>100107</v>
      </c>
      <c r="BC289" s="57">
        <f>AW289+AX289</f>
      </c>
      <c r="BD289" s="57">
        <f>G289/(100-BE289)*100</f>
      </c>
      <c r="BE289" s="57" t="n">
        <v>0</v>
      </c>
      <c r="BF289" s="57">
        <f>289</f>
      </c>
      <c r="BH289" s="57">
        <f>F289*AO289</f>
      </c>
      <c r="BI289" s="57">
        <f>F289*AP289</f>
      </c>
      <c r="BJ289" s="57">
        <f>F289*G289</f>
      </c>
      <c r="BK289" s="60" t="s">
        <v>66</v>
      </c>
      <c r="BL289" s="57" t="n">
        <v>762</v>
      </c>
      <c r="BW289" s="57" t="n">
        <v>12</v>
      </c>
      <c r="BX289" s="16" t="s">
        <v>770</v>
      </c>
    </row>
    <row r="290">
      <c r="A290" s="10" t="s">
        <v>771</v>
      </c>
      <c r="B290" s="11" t="s">
        <v>772</v>
      </c>
      <c r="C290" s="16" t="s">
        <v>773</v>
      </c>
      <c r="D290" s="11"/>
      <c r="E290" s="11" t="s">
        <v>126</v>
      </c>
      <c r="F290" s="57" t="n">
        <v>26.2</v>
      </c>
      <c r="G290" s="58" t="n">
        <v>0</v>
      </c>
      <c r="H290" s="57">
        <f>ROUND(F290*AO290,2)</f>
      </c>
      <c r="I290" s="57">
        <f>ROUND(F290*AP290,2)</f>
      </c>
      <c r="J290" s="57">
        <f>ROUND(F290*G290,2)</f>
      </c>
      <c r="K290" s="59" t="s">
        <v>62</v>
      </c>
      <c r="Z290" s="57">
        <f>ROUND(IF(AQ290="5",BJ290,0),2)</f>
      </c>
      <c r="AB290" s="57">
        <f>ROUND(IF(AQ290="1",BH290,0),2)</f>
      </c>
      <c r="AC290" s="57">
        <f>ROUND(IF(AQ290="1",BI290,0),2)</f>
      </c>
      <c r="AD290" s="57">
        <f>ROUND(IF(AQ290="7",BH290,0),2)</f>
      </c>
      <c r="AE290" s="57">
        <f>ROUND(IF(AQ290="7",BI290,0),2)</f>
      </c>
      <c r="AF290" s="57">
        <f>ROUND(IF(AQ290="2",BH290,0),2)</f>
      </c>
      <c r="AG290" s="57">
        <f>ROUND(IF(AQ290="2",BI290,0),2)</f>
      </c>
      <c r="AH290" s="57">
        <f>ROUND(IF(AQ290="0",BJ290,0),2)</f>
      </c>
      <c r="AI290" s="33" t="s">
        <v>707</v>
      </c>
      <c r="AJ290" s="57">
        <f>IF(AN290=0,J290,0)</f>
      </c>
      <c r="AK290" s="57">
        <f>IF(AN290=12,J290,0)</f>
      </c>
      <c r="AL290" s="57">
        <f>IF(AN290=21,J290,0)</f>
      </c>
      <c r="AN290" s="57" t="n">
        <v>12</v>
      </c>
      <c r="AO290" s="57">
        <f>G290*0.016870778</f>
      </c>
      <c r="AP290" s="57">
        <f>G290*(1-0.016870778)</f>
      </c>
      <c r="AQ290" s="60" t="s">
        <v>89</v>
      </c>
      <c r="AV290" s="57">
        <f>ROUND(AW290+AX290,2)</f>
      </c>
      <c r="AW290" s="57">
        <f>ROUND(F290*AO290,2)</f>
      </c>
      <c r="AX290" s="57">
        <f>ROUND(F290*AP290,2)</f>
      </c>
      <c r="AY290" s="60" t="s">
        <v>745</v>
      </c>
      <c r="AZ290" s="60" t="s">
        <v>746</v>
      </c>
      <c r="BA290" s="33" t="s">
        <v>711</v>
      </c>
      <c r="BB290" s="61" t="n">
        <v>100107</v>
      </c>
      <c r="BC290" s="57">
        <f>AW290+AX290</f>
      </c>
      <c r="BD290" s="57">
        <f>G290/(100-BE290)*100</f>
      </c>
      <c r="BE290" s="57" t="n">
        <v>0</v>
      </c>
      <c r="BF290" s="57">
        <f>290</f>
      </c>
      <c r="BH290" s="57">
        <f>F290*AO290</f>
      </c>
      <c r="BI290" s="57">
        <f>F290*AP290</f>
      </c>
      <c r="BJ290" s="57">
        <f>F290*G290</f>
      </c>
      <c r="BK290" s="60" t="s">
        <v>66</v>
      </c>
      <c r="BL290" s="57" t="n">
        <v>762</v>
      </c>
      <c r="BW290" s="57" t="n">
        <v>12</v>
      </c>
      <c r="BX290" s="16" t="s">
        <v>773</v>
      </c>
    </row>
    <row r="291">
      <c r="A291" s="10" t="s">
        <v>774</v>
      </c>
      <c r="B291" s="11" t="s">
        <v>775</v>
      </c>
      <c r="C291" s="16" t="s">
        <v>776</v>
      </c>
      <c r="D291" s="11"/>
      <c r="E291" s="11" t="s">
        <v>126</v>
      </c>
      <c r="F291" s="57" t="n">
        <v>69</v>
      </c>
      <c r="G291" s="58" t="n">
        <v>0</v>
      </c>
      <c r="H291" s="57">
        <f>ROUND(F291*AO291,2)</f>
      </c>
      <c r="I291" s="57">
        <f>ROUND(F291*AP291,2)</f>
      </c>
      <c r="J291" s="57">
        <f>ROUND(F291*G291,2)</f>
      </c>
      <c r="K291" s="59" t="s">
        <v>62</v>
      </c>
      <c r="Z291" s="57">
        <f>ROUND(IF(AQ291="5",BJ291,0),2)</f>
      </c>
      <c r="AB291" s="57">
        <f>ROUND(IF(AQ291="1",BH291,0),2)</f>
      </c>
      <c r="AC291" s="57">
        <f>ROUND(IF(AQ291="1",BI291,0),2)</f>
      </c>
      <c r="AD291" s="57">
        <f>ROUND(IF(AQ291="7",BH291,0),2)</f>
      </c>
      <c r="AE291" s="57">
        <f>ROUND(IF(AQ291="7",BI291,0),2)</f>
      </c>
      <c r="AF291" s="57">
        <f>ROUND(IF(AQ291="2",BH291,0),2)</f>
      </c>
      <c r="AG291" s="57">
        <f>ROUND(IF(AQ291="2",BI291,0),2)</f>
      </c>
      <c r="AH291" s="57">
        <f>ROUND(IF(AQ291="0",BJ291,0),2)</f>
      </c>
      <c r="AI291" s="33" t="s">
        <v>707</v>
      </c>
      <c r="AJ291" s="57">
        <f>IF(AN291=0,J291,0)</f>
      </c>
      <c r="AK291" s="57">
        <f>IF(AN291=12,J291,0)</f>
      </c>
      <c r="AL291" s="57">
        <f>IF(AN291=21,J291,0)</f>
      </c>
      <c r="AN291" s="57" t="n">
        <v>12</v>
      </c>
      <c r="AO291" s="57">
        <f>G291*0.02</f>
      </c>
      <c r="AP291" s="57">
        <f>G291*(1-0.02)</f>
      </c>
      <c r="AQ291" s="60" t="s">
        <v>89</v>
      </c>
      <c r="AV291" s="57">
        <f>ROUND(AW291+AX291,2)</f>
      </c>
      <c r="AW291" s="57">
        <f>ROUND(F291*AO291,2)</f>
      </c>
      <c r="AX291" s="57">
        <f>ROUND(F291*AP291,2)</f>
      </c>
      <c r="AY291" s="60" t="s">
        <v>745</v>
      </c>
      <c r="AZ291" s="60" t="s">
        <v>746</v>
      </c>
      <c r="BA291" s="33" t="s">
        <v>711</v>
      </c>
      <c r="BB291" s="61" t="n">
        <v>100107</v>
      </c>
      <c r="BC291" s="57">
        <f>AW291+AX291</f>
      </c>
      <c r="BD291" s="57">
        <f>G291/(100-BE291)*100</f>
      </c>
      <c r="BE291" s="57" t="n">
        <v>0</v>
      </c>
      <c r="BF291" s="57">
        <f>291</f>
      </c>
      <c r="BH291" s="57">
        <f>F291*AO291</f>
      </c>
      <c r="BI291" s="57">
        <f>F291*AP291</f>
      </c>
      <c r="BJ291" s="57">
        <f>F291*G291</f>
      </c>
      <c r="BK291" s="60" t="s">
        <v>66</v>
      </c>
      <c r="BL291" s="57" t="n">
        <v>762</v>
      </c>
      <c r="BW291" s="57" t="n">
        <v>12</v>
      </c>
      <c r="BX291" s="16" t="s">
        <v>776</v>
      </c>
    </row>
    <row r="292" customHeight="true" ht="13.5">
      <c r="A292" s="62"/>
      <c r="B292" s="63" t="s">
        <v>106</v>
      </c>
      <c r="C292" s="64" t="s">
        <v>777</v>
      </c>
      <c r="D292" s="65"/>
      <c r="E292" s="65"/>
      <c r="F292" s="65"/>
      <c r="G292" s="66"/>
      <c r="H292" s="65"/>
      <c r="I292" s="65"/>
      <c r="J292" s="65"/>
      <c r="K292" s="67"/>
    </row>
    <row r="293">
      <c r="A293" s="10" t="s">
        <v>778</v>
      </c>
      <c r="B293" s="11" t="s">
        <v>779</v>
      </c>
      <c r="C293" s="16" t="s">
        <v>780</v>
      </c>
      <c r="D293" s="11"/>
      <c r="E293" s="11" t="s">
        <v>84</v>
      </c>
      <c r="F293" s="57" t="n">
        <v>0.19114</v>
      </c>
      <c r="G293" s="58" t="n">
        <v>0</v>
      </c>
      <c r="H293" s="57">
        <f>ROUND(F293*AO293,2)</f>
      </c>
      <c r="I293" s="57">
        <f>ROUND(F293*AP293,2)</f>
      </c>
      <c r="J293" s="57">
        <f>ROUND(F293*G293,2)</f>
      </c>
      <c r="K293" s="59" t="s">
        <v>62</v>
      </c>
      <c r="Z293" s="57">
        <f>ROUND(IF(AQ293="5",BJ293,0),2)</f>
      </c>
      <c r="AB293" s="57">
        <f>ROUND(IF(AQ293="1",BH293,0),2)</f>
      </c>
      <c r="AC293" s="57">
        <f>ROUND(IF(AQ293="1",BI293,0),2)</f>
      </c>
      <c r="AD293" s="57">
        <f>ROUND(IF(AQ293="7",BH293,0),2)</f>
      </c>
      <c r="AE293" s="57">
        <f>ROUND(IF(AQ293="7",BI293,0),2)</f>
      </c>
      <c r="AF293" s="57">
        <f>ROUND(IF(AQ293="2",BH293,0),2)</f>
      </c>
      <c r="AG293" s="57">
        <f>ROUND(IF(AQ293="2",BI293,0),2)</f>
      </c>
      <c r="AH293" s="57">
        <f>ROUND(IF(AQ293="0",BJ293,0),2)</f>
      </c>
      <c r="AI293" s="33" t="s">
        <v>707</v>
      </c>
      <c r="AJ293" s="57">
        <f>IF(AN293=0,J293,0)</f>
      </c>
      <c r="AK293" s="57">
        <f>IF(AN293=12,J293,0)</f>
      </c>
      <c r="AL293" s="57">
        <f>IF(AN293=21,J293,0)</f>
      </c>
      <c r="AN293" s="57" t="n">
        <v>12</v>
      </c>
      <c r="AO293" s="57">
        <f>G293*1</f>
      </c>
      <c r="AP293" s="57">
        <f>G293*(1-1)</f>
      </c>
      <c r="AQ293" s="60" t="s">
        <v>89</v>
      </c>
      <c r="AV293" s="57">
        <f>ROUND(AW293+AX293,2)</f>
      </c>
      <c r="AW293" s="57">
        <f>ROUND(F293*AO293,2)</f>
      </c>
      <c r="AX293" s="57">
        <f>ROUND(F293*AP293,2)</f>
      </c>
      <c r="AY293" s="60" t="s">
        <v>745</v>
      </c>
      <c r="AZ293" s="60" t="s">
        <v>746</v>
      </c>
      <c r="BA293" s="33" t="s">
        <v>711</v>
      </c>
      <c r="BC293" s="57">
        <f>AW293+AX293</f>
      </c>
      <c r="BD293" s="57">
        <f>G293/(100-BE293)*100</f>
      </c>
      <c r="BE293" s="57" t="n">
        <v>0</v>
      </c>
      <c r="BF293" s="57">
        <f>293</f>
      </c>
      <c r="BH293" s="57">
        <f>F293*AO293</f>
      </c>
      <c r="BI293" s="57">
        <f>F293*AP293</f>
      </c>
      <c r="BJ293" s="57">
        <f>F293*G293</f>
      </c>
      <c r="BK293" s="60" t="s">
        <v>98</v>
      </c>
      <c r="BL293" s="57" t="n">
        <v>762</v>
      </c>
      <c r="BW293" s="57" t="n">
        <v>12</v>
      </c>
      <c r="BX293" s="16" t="s">
        <v>780</v>
      </c>
    </row>
    <row r="294">
      <c r="A294" s="10" t="s">
        <v>781</v>
      </c>
      <c r="B294" s="11" t="s">
        <v>782</v>
      </c>
      <c r="C294" s="16" t="s">
        <v>783</v>
      </c>
      <c r="D294" s="11"/>
      <c r="E294" s="11" t="s">
        <v>84</v>
      </c>
      <c r="F294" s="57" t="n">
        <v>0.36907</v>
      </c>
      <c r="G294" s="58" t="n">
        <v>0</v>
      </c>
      <c r="H294" s="57">
        <f>ROUND(F294*AO294,2)</f>
      </c>
      <c r="I294" s="57">
        <f>ROUND(F294*AP294,2)</f>
      </c>
      <c r="J294" s="57">
        <f>ROUND(F294*G294,2)</f>
      </c>
      <c r="K294" s="59" t="s">
        <v>62</v>
      </c>
      <c r="Z294" s="57">
        <f>ROUND(IF(AQ294="5",BJ294,0),2)</f>
      </c>
      <c r="AB294" s="57">
        <f>ROUND(IF(AQ294="1",BH294,0),2)</f>
      </c>
      <c r="AC294" s="57">
        <f>ROUND(IF(AQ294="1",BI294,0),2)</f>
      </c>
      <c r="AD294" s="57">
        <f>ROUND(IF(AQ294="7",BH294,0),2)</f>
      </c>
      <c r="AE294" s="57">
        <f>ROUND(IF(AQ294="7",BI294,0),2)</f>
      </c>
      <c r="AF294" s="57">
        <f>ROUND(IF(AQ294="2",BH294,0),2)</f>
      </c>
      <c r="AG294" s="57">
        <f>ROUND(IF(AQ294="2",BI294,0),2)</f>
      </c>
      <c r="AH294" s="57">
        <f>ROUND(IF(AQ294="0",BJ294,0),2)</f>
      </c>
      <c r="AI294" s="33" t="s">
        <v>707</v>
      </c>
      <c r="AJ294" s="57">
        <f>IF(AN294=0,J294,0)</f>
      </c>
      <c r="AK294" s="57">
        <f>IF(AN294=12,J294,0)</f>
      </c>
      <c r="AL294" s="57">
        <f>IF(AN294=21,J294,0)</f>
      </c>
      <c r="AN294" s="57" t="n">
        <v>12</v>
      </c>
      <c r="AO294" s="57">
        <f>G294*1</f>
      </c>
      <c r="AP294" s="57">
        <f>G294*(1-1)</f>
      </c>
      <c r="AQ294" s="60" t="s">
        <v>89</v>
      </c>
      <c r="AV294" s="57">
        <f>ROUND(AW294+AX294,2)</f>
      </c>
      <c r="AW294" s="57">
        <f>ROUND(F294*AO294,2)</f>
      </c>
      <c r="AX294" s="57">
        <f>ROUND(F294*AP294,2)</f>
      </c>
      <c r="AY294" s="60" t="s">
        <v>745</v>
      </c>
      <c r="AZ294" s="60" t="s">
        <v>746</v>
      </c>
      <c r="BA294" s="33" t="s">
        <v>711</v>
      </c>
      <c r="BC294" s="57">
        <f>AW294+AX294</f>
      </c>
      <c r="BD294" s="57">
        <f>G294/(100-BE294)*100</f>
      </c>
      <c r="BE294" s="57" t="n">
        <v>0</v>
      </c>
      <c r="BF294" s="57">
        <f>294</f>
      </c>
      <c r="BH294" s="57">
        <f>F294*AO294</f>
      </c>
      <c r="BI294" s="57">
        <f>F294*AP294</f>
      </c>
      <c r="BJ294" s="57">
        <f>F294*G294</f>
      </c>
      <c r="BK294" s="60" t="s">
        <v>98</v>
      </c>
      <c r="BL294" s="57" t="n">
        <v>762</v>
      </c>
      <c r="BW294" s="57" t="n">
        <v>12</v>
      </c>
      <c r="BX294" s="16" t="s">
        <v>783</v>
      </c>
    </row>
    <row r="295">
      <c r="A295" s="10" t="s">
        <v>784</v>
      </c>
      <c r="B295" s="11" t="s">
        <v>785</v>
      </c>
      <c r="C295" s="16" t="s">
        <v>786</v>
      </c>
      <c r="D295" s="11"/>
      <c r="E295" s="11" t="s">
        <v>126</v>
      </c>
      <c r="F295" s="57" t="n">
        <v>237.9</v>
      </c>
      <c r="G295" s="58" t="n">
        <v>0</v>
      </c>
      <c r="H295" s="57">
        <f>ROUND(F295*AO295,2)</f>
      </c>
      <c r="I295" s="57">
        <f>ROUND(F295*AP295,2)</f>
      </c>
      <c r="J295" s="57">
        <f>ROUND(F295*G295,2)</f>
      </c>
      <c r="K295" s="59" t="s">
        <v>62</v>
      </c>
      <c r="Z295" s="57">
        <f>ROUND(IF(AQ295="5",BJ295,0),2)</f>
      </c>
      <c r="AB295" s="57">
        <f>ROUND(IF(AQ295="1",BH295,0),2)</f>
      </c>
      <c r="AC295" s="57">
        <f>ROUND(IF(AQ295="1",BI295,0),2)</f>
      </c>
      <c r="AD295" s="57">
        <f>ROUND(IF(AQ295="7",BH295,0),2)</f>
      </c>
      <c r="AE295" s="57">
        <f>ROUND(IF(AQ295="7",BI295,0),2)</f>
      </c>
      <c r="AF295" s="57">
        <f>ROUND(IF(AQ295="2",BH295,0),2)</f>
      </c>
      <c r="AG295" s="57">
        <f>ROUND(IF(AQ295="2",BI295,0),2)</f>
      </c>
      <c r="AH295" s="57">
        <f>ROUND(IF(AQ295="0",BJ295,0),2)</f>
      </c>
      <c r="AI295" s="33" t="s">
        <v>707</v>
      </c>
      <c r="AJ295" s="57">
        <f>IF(AN295=0,J295,0)</f>
      </c>
      <c r="AK295" s="57">
        <f>IF(AN295=12,J295,0)</f>
      </c>
      <c r="AL295" s="57">
        <f>IF(AN295=21,J295,0)</f>
      </c>
      <c r="AN295" s="57" t="n">
        <v>12</v>
      </c>
      <c r="AO295" s="57">
        <f>G295*0.020508301</f>
      </c>
      <c r="AP295" s="57">
        <f>G295*(1-0.020508301)</f>
      </c>
      <c r="AQ295" s="60" t="s">
        <v>89</v>
      </c>
      <c r="AV295" s="57">
        <f>ROUND(AW295+AX295,2)</f>
      </c>
      <c r="AW295" s="57">
        <f>ROUND(F295*AO295,2)</f>
      </c>
      <c r="AX295" s="57">
        <f>ROUND(F295*AP295,2)</f>
      </c>
      <c r="AY295" s="60" t="s">
        <v>745</v>
      </c>
      <c r="AZ295" s="60" t="s">
        <v>746</v>
      </c>
      <c r="BA295" s="33" t="s">
        <v>711</v>
      </c>
      <c r="BB295" s="61" t="n">
        <v>100107</v>
      </c>
      <c r="BC295" s="57">
        <f>AW295+AX295</f>
      </c>
      <c r="BD295" s="57">
        <f>G295/(100-BE295)*100</f>
      </c>
      <c r="BE295" s="57" t="n">
        <v>0</v>
      </c>
      <c r="BF295" s="57">
        <f>295</f>
      </c>
      <c r="BH295" s="57">
        <f>F295*AO295</f>
      </c>
      <c r="BI295" s="57">
        <f>F295*AP295</f>
      </c>
      <c r="BJ295" s="57">
        <f>F295*G295</f>
      </c>
      <c r="BK295" s="60" t="s">
        <v>66</v>
      </c>
      <c r="BL295" s="57" t="n">
        <v>762</v>
      </c>
      <c r="BW295" s="57" t="n">
        <v>12</v>
      </c>
      <c r="BX295" s="16" t="s">
        <v>786</v>
      </c>
    </row>
    <row r="296" customHeight="true" ht="13.5">
      <c r="A296" s="62"/>
      <c r="B296" s="63" t="s">
        <v>106</v>
      </c>
      <c r="C296" s="64" t="s">
        <v>777</v>
      </c>
      <c r="D296" s="65"/>
      <c r="E296" s="65"/>
      <c r="F296" s="65"/>
      <c r="G296" s="66"/>
      <c r="H296" s="65"/>
      <c r="I296" s="65"/>
      <c r="J296" s="65"/>
      <c r="K296" s="67"/>
    </row>
    <row r="297">
      <c r="A297" s="10" t="s">
        <v>787</v>
      </c>
      <c r="B297" s="11" t="s">
        <v>782</v>
      </c>
      <c r="C297" s="16" t="s">
        <v>783</v>
      </c>
      <c r="D297" s="11"/>
      <c r="E297" s="11" t="s">
        <v>84</v>
      </c>
      <c r="F297" s="57" t="n">
        <v>3.50935</v>
      </c>
      <c r="G297" s="58" t="n">
        <v>0</v>
      </c>
      <c r="H297" s="57">
        <f>ROUND(F297*AO297,2)</f>
      </c>
      <c r="I297" s="57">
        <f>ROUND(F297*AP297,2)</f>
      </c>
      <c r="J297" s="57">
        <f>ROUND(F297*G297,2)</f>
      </c>
      <c r="K297" s="59" t="s">
        <v>62</v>
      </c>
      <c r="Z297" s="57">
        <f>ROUND(IF(AQ297="5",BJ297,0),2)</f>
      </c>
      <c r="AB297" s="57">
        <f>ROUND(IF(AQ297="1",BH297,0),2)</f>
      </c>
      <c r="AC297" s="57">
        <f>ROUND(IF(AQ297="1",BI297,0),2)</f>
      </c>
      <c r="AD297" s="57">
        <f>ROUND(IF(AQ297="7",BH297,0),2)</f>
      </c>
      <c r="AE297" s="57">
        <f>ROUND(IF(AQ297="7",BI297,0),2)</f>
      </c>
      <c r="AF297" s="57">
        <f>ROUND(IF(AQ297="2",BH297,0),2)</f>
      </c>
      <c r="AG297" s="57">
        <f>ROUND(IF(AQ297="2",BI297,0),2)</f>
      </c>
      <c r="AH297" s="57">
        <f>ROUND(IF(AQ297="0",BJ297,0),2)</f>
      </c>
      <c r="AI297" s="33" t="s">
        <v>707</v>
      </c>
      <c r="AJ297" s="57">
        <f>IF(AN297=0,J297,0)</f>
      </c>
      <c r="AK297" s="57">
        <f>IF(AN297=12,J297,0)</f>
      </c>
      <c r="AL297" s="57">
        <f>IF(AN297=21,J297,0)</f>
      </c>
      <c r="AN297" s="57" t="n">
        <v>12</v>
      </c>
      <c r="AO297" s="57">
        <f>G297*1</f>
      </c>
      <c r="AP297" s="57">
        <f>G297*(1-1)</f>
      </c>
      <c r="AQ297" s="60" t="s">
        <v>89</v>
      </c>
      <c r="AV297" s="57">
        <f>ROUND(AW297+AX297,2)</f>
      </c>
      <c r="AW297" s="57">
        <f>ROUND(F297*AO297,2)</f>
      </c>
      <c r="AX297" s="57">
        <f>ROUND(F297*AP297,2)</f>
      </c>
      <c r="AY297" s="60" t="s">
        <v>745</v>
      </c>
      <c r="AZ297" s="60" t="s">
        <v>746</v>
      </c>
      <c r="BA297" s="33" t="s">
        <v>711</v>
      </c>
      <c r="BC297" s="57">
        <f>AW297+AX297</f>
      </c>
      <c r="BD297" s="57">
        <f>G297/(100-BE297)*100</f>
      </c>
      <c r="BE297" s="57" t="n">
        <v>0</v>
      </c>
      <c r="BF297" s="57">
        <f>297</f>
      </c>
      <c r="BH297" s="57">
        <f>F297*AO297</f>
      </c>
      <c r="BI297" s="57">
        <f>F297*AP297</f>
      </c>
      <c r="BJ297" s="57">
        <f>F297*G297</f>
      </c>
      <c r="BK297" s="60" t="s">
        <v>98</v>
      </c>
      <c r="BL297" s="57" t="n">
        <v>762</v>
      </c>
      <c r="BW297" s="57" t="n">
        <v>12</v>
      </c>
      <c r="BX297" s="16" t="s">
        <v>783</v>
      </c>
    </row>
    <row r="298">
      <c r="A298" s="10" t="s">
        <v>788</v>
      </c>
      <c r="B298" s="11" t="s">
        <v>789</v>
      </c>
      <c r="C298" s="16" t="s">
        <v>790</v>
      </c>
      <c r="D298" s="11"/>
      <c r="E298" s="11" t="s">
        <v>84</v>
      </c>
      <c r="F298" s="57" t="n">
        <v>0.44352</v>
      </c>
      <c r="G298" s="58" t="n">
        <v>0</v>
      </c>
      <c r="H298" s="57">
        <f>ROUND(F298*AO298,2)</f>
      </c>
      <c r="I298" s="57">
        <f>ROUND(F298*AP298,2)</f>
      </c>
      <c r="J298" s="57">
        <f>ROUND(F298*G298,2)</f>
      </c>
      <c r="K298" s="59" t="s">
        <v>62</v>
      </c>
      <c r="Z298" s="57">
        <f>ROUND(IF(AQ298="5",BJ298,0),2)</f>
      </c>
      <c r="AB298" s="57">
        <f>ROUND(IF(AQ298="1",BH298,0),2)</f>
      </c>
      <c r="AC298" s="57">
        <f>ROUND(IF(AQ298="1",BI298,0),2)</f>
      </c>
      <c r="AD298" s="57">
        <f>ROUND(IF(AQ298="7",BH298,0),2)</f>
      </c>
      <c r="AE298" s="57">
        <f>ROUND(IF(AQ298="7",BI298,0),2)</f>
      </c>
      <c r="AF298" s="57">
        <f>ROUND(IF(AQ298="2",BH298,0),2)</f>
      </c>
      <c r="AG298" s="57">
        <f>ROUND(IF(AQ298="2",BI298,0),2)</f>
      </c>
      <c r="AH298" s="57">
        <f>ROUND(IF(AQ298="0",BJ298,0),2)</f>
      </c>
      <c r="AI298" s="33" t="s">
        <v>707</v>
      </c>
      <c r="AJ298" s="57">
        <f>IF(AN298=0,J298,0)</f>
      </c>
      <c r="AK298" s="57">
        <f>IF(AN298=12,J298,0)</f>
      </c>
      <c r="AL298" s="57">
        <f>IF(AN298=21,J298,0)</f>
      </c>
      <c r="AN298" s="57" t="n">
        <v>12</v>
      </c>
      <c r="AO298" s="57">
        <f>G298*1</f>
      </c>
      <c r="AP298" s="57">
        <f>G298*(1-1)</f>
      </c>
      <c r="AQ298" s="60" t="s">
        <v>89</v>
      </c>
      <c r="AV298" s="57">
        <f>ROUND(AW298+AX298,2)</f>
      </c>
      <c r="AW298" s="57">
        <f>ROUND(F298*AO298,2)</f>
      </c>
      <c r="AX298" s="57">
        <f>ROUND(F298*AP298,2)</f>
      </c>
      <c r="AY298" s="60" t="s">
        <v>745</v>
      </c>
      <c r="AZ298" s="60" t="s">
        <v>746</v>
      </c>
      <c r="BA298" s="33" t="s">
        <v>711</v>
      </c>
      <c r="BC298" s="57">
        <f>AW298+AX298</f>
      </c>
      <c r="BD298" s="57">
        <f>G298/(100-BE298)*100</f>
      </c>
      <c r="BE298" s="57" t="n">
        <v>0</v>
      </c>
      <c r="BF298" s="57">
        <f>298</f>
      </c>
      <c r="BH298" s="57">
        <f>F298*AO298</f>
      </c>
      <c r="BI298" s="57">
        <f>F298*AP298</f>
      </c>
      <c r="BJ298" s="57">
        <f>F298*G298</f>
      </c>
      <c r="BK298" s="60" t="s">
        <v>98</v>
      </c>
      <c r="BL298" s="57" t="n">
        <v>762</v>
      </c>
      <c r="BW298" s="57" t="n">
        <v>12</v>
      </c>
      <c r="BX298" s="16" t="s">
        <v>790</v>
      </c>
    </row>
    <row r="299">
      <c r="A299" s="10" t="s">
        <v>791</v>
      </c>
      <c r="B299" s="11" t="s">
        <v>779</v>
      </c>
      <c r="C299" s="16" t="s">
        <v>780</v>
      </c>
      <c r="D299" s="11"/>
      <c r="E299" s="11" t="s">
        <v>84</v>
      </c>
      <c r="F299" s="57" t="n">
        <v>0.43336</v>
      </c>
      <c r="G299" s="58" t="n">
        <v>0</v>
      </c>
      <c r="H299" s="57">
        <f>ROUND(F299*AO299,2)</f>
      </c>
      <c r="I299" s="57">
        <f>ROUND(F299*AP299,2)</f>
      </c>
      <c r="J299" s="57">
        <f>ROUND(F299*G299,2)</f>
      </c>
      <c r="K299" s="59" t="s">
        <v>62</v>
      </c>
      <c r="Z299" s="57">
        <f>ROUND(IF(AQ299="5",BJ299,0),2)</f>
      </c>
      <c r="AB299" s="57">
        <f>ROUND(IF(AQ299="1",BH299,0),2)</f>
      </c>
      <c r="AC299" s="57">
        <f>ROUND(IF(AQ299="1",BI299,0),2)</f>
      </c>
      <c r="AD299" s="57">
        <f>ROUND(IF(AQ299="7",BH299,0),2)</f>
      </c>
      <c r="AE299" s="57">
        <f>ROUND(IF(AQ299="7",BI299,0),2)</f>
      </c>
      <c r="AF299" s="57">
        <f>ROUND(IF(AQ299="2",BH299,0),2)</f>
      </c>
      <c r="AG299" s="57">
        <f>ROUND(IF(AQ299="2",BI299,0),2)</f>
      </c>
      <c r="AH299" s="57">
        <f>ROUND(IF(AQ299="0",BJ299,0),2)</f>
      </c>
      <c r="AI299" s="33" t="s">
        <v>707</v>
      </c>
      <c r="AJ299" s="57">
        <f>IF(AN299=0,J299,0)</f>
      </c>
      <c r="AK299" s="57">
        <f>IF(AN299=12,J299,0)</f>
      </c>
      <c r="AL299" s="57">
        <f>IF(AN299=21,J299,0)</f>
      </c>
      <c r="AN299" s="57" t="n">
        <v>12</v>
      </c>
      <c r="AO299" s="57">
        <f>G299*1</f>
      </c>
      <c r="AP299" s="57">
        <f>G299*(1-1)</f>
      </c>
      <c r="AQ299" s="60" t="s">
        <v>89</v>
      </c>
      <c r="AV299" s="57">
        <f>ROUND(AW299+AX299,2)</f>
      </c>
      <c r="AW299" s="57">
        <f>ROUND(F299*AO299,2)</f>
      </c>
      <c r="AX299" s="57">
        <f>ROUND(F299*AP299,2)</f>
      </c>
      <c r="AY299" s="60" t="s">
        <v>745</v>
      </c>
      <c r="AZ299" s="60" t="s">
        <v>746</v>
      </c>
      <c r="BA299" s="33" t="s">
        <v>711</v>
      </c>
      <c r="BC299" s="57">
        <f>AW299+AX299</f>
      </c>
      <c r="BD299" s="57">
        <f>G299/(100-BE299)*100</f>
      </c>
      <c r="BE299" s="57" t="n">
        <v>0</v>
      </c>
      <c r="BF299" s="57">
        <f>299</f>
      </c>
      <c r="BH299" s="57">
        <f>F299*AO299</f>
      </c>
      <c r="BI299" s="57">
        <f>F299*AP299</f>
      </c>
      <c r="BJ299" s="57">
        <f>F299*G299</f>
      </c>
      <c r="BK299" s="60" t="s">
        <v>98</v>
      </c>
      <c r="BL299" s="57" t="n">
        <v>762</v>
      </c>
      <c r="BW299" s="57" t="n">
        <v>12</v>
      </c>
      <c r="BX299" s="16" t="s">
        <v>780</v>
      </c>
    </row>
    <row r="300">
      <c r="A300" s="10" t="s">
        <v>792</v>
      </c>
      <c r="B300" s="11" t="s">
        <v>793</v>
      </c>
      <c r="C300" s="16" t="s">
        <v>794</v>
      </c>
      <c r="D300" s="11"/>
      <c r="E300" s="11" t="s">
        <v>126</v>
      </c>
      <c r="F300" s="57" t="n">
        <v>24</v>
      </c>
      <c r="G300" s="58" t="n">
        <v>0</v>
      </c>
      <c r="H300" s="57">
        <f>ROUND(F300*AO300,2)</f>
      </c>
      <c r="I300" s="57">
        <f>ROUND(F300*AP300,2)</f>
      </c>
      <c r="J300" s="57">
        <f>ROUND(F300*G300,2)</f>
      </c>
      <c r="K300" s="59" t="s">
        <v>62</v>
      </c>
      <c r="Z300" s="57">
        <f>ROUND(IF(AQ300="5",BJ300,0),2)</f>
      </c>
      <c r="AB300" s="57">
        <f>ROUND(IF(AQ300="1",BH300,0),2)</f>
      </c>
      <c r="AC300" s="57">
        <f>ROUND(IF(AQ300="1",BI300,0),2)</f>
      </c>
      <c r="AD300" s="57">
        <f>ROUND(IF(AQ300="7",BH300,0),2)</f>
      </c>
      <c r="AE300" s="57">
        <f>ROUND(IF(AQ300="7",BI300,0),2)</f>
      </c>
      <c r="AF300" s="57">
        <f>ROUND(IF(AQ300="2",BH300,0),2)</f>
      </c>
      <c r="AG300" s="57">
        <f>ROUND(IF(AQ300="2",BI300,0),2)</f>
      </c>
      <c r="AH300" s="57">
        <f>ROUND(IF(AQ300="0",BJ300,0),2)</f>
      </c>
      <c r="AI300" s="33" t="s">
        <v>707</v>
      </c>
      <c r="AJ300" s="57">
        <f>IF(AN300=0,J300,0)</f>
      </c>
      <c r="AK300" s="57">
        <f>IF(AN300=12,J300,0)</f>
      </c>
      <c r="AL300" s="57">
        <f>IF(AN300=21,J300,0)</f>
      </c>
      <c r="AN300" s="57" t="n">
        <v>12</v>
      </c>
      <c r="AO300" s="57">
        <f>G300*0.018933649</f>
      </c>
      <c r="AP300" s="57">
        <f>G300*(1-0.018933649)</f>
      </c>
      <c r="AQ300" s="60" t="s">
        <v>89</v>
      </c>
      <c r="AV300" s="57">
        <f>ROUND(AW300+AX300,2)</f>
      </c>
      <c r="AW300" s="57">
        <f>ROUND(F300*AO300,2)</f>
      </c>
      <c r="AX300" s="57">
        <f>ROUND(F300*AP300,2)</f>
      </c>
      <c r="AY300" s="60" t="s">
        <v>745</v>
      </c>
      <c r="AZ300" s="60" t="s">
        <v>746</v>
      </c>
      <c r="BA300" s="33" t="s">
        <v>711</v>
      </c>
      <c r="BB300" s="61" t="n">
        <v>100107</v>
      </c>
      <c r="BC300" s="57">
        <f>AW300+AX300</f>
      </c>
      <c r="BD300" s="57">
        <f>G300/(100-BE300)*100</f>
      </c>
      <c r="BE300" s="57" t="n">
        <v>0</v>
      </c>
      <c r="BF300" s="57">
        <f>300</f>
      </c>
      <c r="BH300" s="57">
        <f>F300*AO300</f>
      </c>
      <c r="BI300" s="57">
        <f>F300*AP300</f>
      </c>
      <c r="BJ300" s="57">
        <f>F300*G300</f>
      </c>
      <c r="BK300" s="60" t="s">
        <v>66</v>
      </c>
      <c r="BL300" s="57" t="n">
        <v>762</v>
      </c>
      <c r="BW300" s="57" t="n">
        <v>12</v>
      </c>
      <c r="BX300" s="16" t="s">
        <v>794</v>
      </c>
    </row>
    <row r="301" customHeight="true" ht="13.5">
      <c r="A301" s="62"/>
      <c r="B301" s="63" t="s">
        <v>106</v>
      </c>
      <c r="C301" s="64" t="s">
        <v>777</v>
      </c>
      <c r="D301" s="65"/>
      <c r="E301" s="65"/>
      <c r="F301" s="65"/>
      <c r="G301" s="66"/>
      <c r="H301" s="65"/>
      <c r="I301" s="65"/>
      <c r="J301" s="65"/>
      <c r="K301" s="67"/>
    </row>
    <row r="302">
      <c r="A302" s="10" t="s">
        <v>795</v>
      </c>
      <c r="B302" s="11" t="s">
        <v>796</v>
      </c>
      <c r="C302" s="16" t="s">
        <v>797</v>
      </c>
      <c r="D302" s="11"/>
      <c r="E302" s="11" t="s">
        <v>84</v>
      </c>
      <c r="F302" s="57" t="n">
        <v>0.66528</v>
      </c>
      <c r="G302" s="58" t="n">
        <v>0</v>
      </c>
      <c r="H302" s="57">
        <f>ROUND(F302*AO302,2)</f>
      </c>
      <c r="I302" s="57">
        <f>ROUND(F302*AP302,2)</f>
      </c>
      <c r="J302" s="57">
        <f>ROUND(F302*G302,2)</f>
      </c>
      <c r="K302" s="59" t="s">
        <v>62</v>
      </c>
      <c r="Z302" s="57">
        <f>ROUND(IF(AQ302="5",BJ302,0),2)</f>
      </c>
      <c r="AB302" s="57">
        <f>ROUND(IF(AQ302="1",BH302,0),2)</f>
      </c>
      <c r="AC302" s="57">
        <f>ROUND(IF(AQ302="1",BI302,0),2)</f>
      </c>
      <c r="AD302" s="57">
        <f>ROUND(IF(AQ302="7",BH302,0),2)</f>
      </c>
      <c r="AE302" s="57">
        <f>ROUND(IF(AQ302="7",BI302,0),2)</f>
      </c>
      <c r="AF302" s="57">
        <f>ROUND(IF(AQ302="2",BH302,0),2)</f>
      </c>
      <c r="AG302" s="57">
        <f>ROUND(IF(AQ302="2",BI302,0),2)</f>
      </c>
      <c r="AH302" s="57">
        <f>ROUND(IF(AQ302="0",BJ302,0),2)</f>
      </c>
      <c r="AI302" s="33" t="s">
        <v>707</v>
      </c>
      <c r="AJ302" s="57">
        <f>IF(AN302=0,J302,0)</f>
      </c>
      <c r="AK302" s="57">
        <f>IF(AN302=12,J302,0)</f>
      </c>
      <c r="AL302" s="57">
        <f>IF(AN302=21,J302,0)</f>
      </c>
      <c r="AN302" s="57" t="n">
        <v>12</v>
      </c>
      <c r="AO302" s="57">
        <f>G302*1</f>
      </c>
      <c r="AP302" s="57">
        <f>G302*(1-1)</f>
      </c>
      <c r="AQ302" s="60" t="s">
        <v>89</v>
      </c>
      <c r="AV302" s="57">
        <f>ROUND(AW302+AX302,2)</f>
      </c>
      <c r="AW302" s="57">
        <f>ROUND(F302*AO302,2)</f>
      </c>
      <c r="AX302" s="57">
        <f>ROUND(F302*AP302,2)</f>
      </c>
      <c r="AY302" s="60" t="s">
        <v>745</v>
      </c>
      <c r="AZ302" s="60" t="s">
        <v>746</v>
      </c>
      <c r="BA302" s="33" t="s">
        <v>711</v>
      </c>
      <c r="BC302" s="57">
        <f>AW302+AX302</f>
      </c>
      <c r="BD302" s="57">
        <f>G302/(100-BE302)*100</f>
      </c>
      <c r="BE302" s="57" t="n">
        <v>0</v>
      </c>
      <c r="BF302" s="57">
        <f>302</f>
      </c>
      <c r="BH302" s="57">
        <f>F302*AO302</f>
      </c>
      <c r="BI302" s="57">
        <f>F302*AP302</f>
      </c>
      <c r="BJ302" s="57">
        <f>F302*G302</f>
      </c>
      <c r="BK302" s="60" t="s">
        <v>98</v>
      </c>
      <c r="BL302" s="57" t="n">
        <v>762</v>
      </c>
      <c r="BW302" s="57" t="n">
        <v>12</v>
      </c>
      <c r="BX302" s="16" t="s">
        <v>797</v>
      </c>
    </row>
    <row r="303">
      <c r="A303" s="10" t="s">
        <v>798</v>
      </c>
      <c r="B303" s="11" t="s">
        <v>799</v>
      </c>
      <c r="C303" s="16" t="s">
        <v>800</v>
      </c>
      <c r="D303" s="11"/>
      <c r="E303" s="11" t="s">
        <v>126</v>
      </c>
      <c r="F303" s="57" t="n">
        <v>26.2</v>
      </c>
      <c r="G303" s="58" t="n">
        <v>0</v>
      </c>
      <c r="H303" s="57">
        <f>ROUND(F303*AO303,2)</f>
      </c>
      <c r="I303" s="57">
        <f>ROUND(F303*AP303,2)</f>
      </c>
      <c r="J303" s="57">
        <f>ROUND(F303*G303,2)</f>
      </c>
      <c r="K303" s="59" t="s">
        <v>62</v>
      </c>
      <c r="Z303" s="57">
        <f>ROUND(IF(AQ303="5",BJ303,0),2)</f>
      </c>
      <c r="AB303" s="57">
        <f>ROUND(IF(AQ303="1",BH303,0),2)</f>
      </c>
      <c r="AC303" s="57">
        <f>ROUND(IF(AQ303="1",BI303,0),2)</f>
      </c>
      <c r="AD303" s="57">
        <f>ROUND(IF(AQ303="7",BH303,0),2)</f>
      </c>
      <c r="AE303" s="57">
        <f>ROUND(IF(AQ303="7",BI303,0),2)</f>
      </c>
      <c r="AF303" s="57">
        <f>ROUND(IF(AQ303="2",BH303,0),2)</f>
      </c>
      <c r="AG303" s="57">
        <f>ROUND(IF(AQ303="2",BI303,0),2)</f>
      </c>
      <c r="AH303" s="57">
        <f>ROUND(IF(AQ303="0",BJ303,0),2)</f>
      </c>
      <c r="AI303" s="33" t="s">
        <v>707</v>
      </c>
      <c r="AJ303" s="57">
        <f>IF(AN303=0,J303,0)</f>
      </c>
      <c r="AK303" s="57">
        <f>IF(AN303=12,J303,0)</f>
      </c>
      <c r="AL303" s="57">
        <f>IF(AN303=21,J303,0)</f>
      </c>
      <c r="AN303" s="57" t="n">
        <v>12</v>
      </c>
      <c r="AO303" s="57">
        <f>G303*0.020442266</f>
      </c>
      <c r="AP303" s="57">
        <f>G303*(1-0.020442266)</f>
      </c>
      <c r="AQ303" s="60" t="s">
        <v>89</v>
      </c>
      <c r="AV303" s="57">
        <f>ROUND(AW303+AX303,2)</f>
      </c>
      <c r="AW303" s="57">
        <f>ROUND(F303*AO303,2)</f>
      </c>
      <c r="AX303" s="57">
        <f>ROUND(F303*AP303,2)</f>
      </c>
      <c r="AY303" s="60" t="s">
        <v>745</v>
      </c>
      <c r="AZ303" s="60" t="s">
        <v>746</v>
      </c>
      <c r="BA303" s="33" t="s">
        <v>711</v>
      </c>
      <c r="BB303" s="61" t="n">
        <v>100107</v>
      </c>
      <c r="BC303" s="57">
        <f>AW303+AX303</f>
      </c>
      <c r="BD303" s="57">
        <f>G303/(100-BE303)*100</f>
      </c>
      <c r="BE303" s="57" t="n">
        <v>0</v>
      </c>
      <c r="BF303" s="57">
        <f>303</f>
      </c>
      <c r="BH303" s="57">
        <f>F303*AO303</f>
      </c>
      <c r="BI303" s="57">
        <f>F303*AP303</f>
      </c>
      <c r="BJ303" s="57">
        <f>F303*G303</f>
      </c>
      <c r="BK303" s="60" t="s">
        <v>66</v>
      </c>
      <c r="BL303" s="57" t="n">
        <v>762</v>
      </c>
      <c r="BW303" s="57" t="n">
        <v>12</v>
      </c>
      <c r="BX303" s="16" t="s">
        <v>800</v>
      </c>
    </row>
    <row r="304" customHeight="true" ht="13.5">
      <c r="A304" s="62"/>
      <c r="B304" s="63" t="s">
        <v>106</v>
      </c>
      <c r="C304" s="64" t="s">
        <v>777</v>
      </c>
      <c r="D304" s="65"/>
      <c r="E304" s="65"/>
      <c r="F304" s="65"/>
      <c r="G304" s="66"/>
      <c r="H304" s="65"/>
      <c r="I304" s="65"/>
      <c r="J304" s="65"/>
      <c r="K304" s="67"/>
    </row>
    <row r="305">
      <c r="A305" s="10" t="s">
        <v>801</v>
      </c>
      <c r="B305" s="11" t="s">
        <v>802</v>
      </c>
      <c r="C305" s="16" t="s">
        <v>803</v>
      </c>
      <c r="D305" s="11"/>
      <c r="E305" s="11" t="s">
        <v>84</v>
      </c>
      <c r="F305" s="57" t="n">
        <v>1.38336</v>
      </c>
      <c r="G305" s="58" t="n">
        <v>0</v>
      </c>
      <c r="H305" s="57">
        <f>ROUND(F305*AO305,2)</f>
      </c>
      <c r="I305" s="57">
        <f>ROUND(F305*AP305,2)</f>
      </c>
      <c r="J305" s="57">
        <f>ROUND(F305*G305,2)</f>
      </c>
      <c r="K305" s="59" t="s">
        <v>62</v>
      </c>
      <c r="Z305" s="57">
        <f>ROUND(IF(AQ305="5",BJ305,0),2)</f>
      </c>
      <c r="AB305" s="57">
        <f>ROUND(IF(AQ305="1",BH305,0),2)</f>
      </c>
      <c r="AC305" s="57">
        <f>ROUND(IF(AQ305="1",BI305,0),2)</f>
      </c>
      <c r="AD305" s="57">
        <f>ROUND(IF(AQ305="7",BH305,0),2)</f>
      </c>
      <c r="AE305" s="57">
        <f>ROUND(IF(AQ305="7",BI305,0),2)</f>
      </c>
      <c r="AF305" s="57">
        <f>ROUND(IF(AQ305="2",BH305,0),2)</f>
      </c>
      <c r="AG305" s="57">
        <f>ROUND(IF(AQ305="2",BI305,0),2)</f>
      </c>
      <c r="AH305" s="57">
        <f>ROUND(IF(AQ305="0",BJ305,0),2)</f>
      </c>
      <c r="AI305" s="33" t="s">
        <v>707</v>
      </c>
      <c r="AJ305" s="57">
        <f>IF(AN305=0,J305,0)</f>
      </c>
      <c r="AK305" s="57">
        <f>IF(AN305=12,J305,0)</f>
      </c>
      <c r="AL305" s="57">
        <f>IF(AN305=21,J305,0)</f>
      </c>
      <c r="AN305" s="57" t="n">
        <v>12</v>
      </c>
      <c r="AO305" s="57">
        <f>G305*1</f>
      </c>
      <c r="AP305" s="57">
        <f>G305*(1-1)</f>
      </c>
      <c r="AQ305" s="60" t="s">
        <v>89</v>
      </c>
      <c r="AV305" s="57">
        <f>ROUND(AW305+AX305,2)</f>
      </c>
      <c r="AW305" s="57">
        <f>ROUND(F305*AO305,2)</f>
      </c>
      <c r="AX305" s="57">
        <f>ROUND(F305*AP305,2)</f>
      </c>
      <c r="AY305" s="60" t="s">
        <v>745</v>
      </c>
      <c r="AZ305" s="60" t="s">
        <v>746</v>
      </c>
      <c r="BA305" s="33" t="s">
        <v>711</v>
      </c>
      <c r="BC305" s="57">
        <f>AW305+AX305</f>
      </c>
      <c r="BD305" s="57">
        <f>G305/(100-BE305)*100</f>
      </c>
      <c r="BE305" s="57" t="n">
        <v>0</v>
      </c>
      <c r="BF305" s="57">
        <f>305</f>
      </c>
      <c r="BH305" s="57">
        <f>F305*AO305</f>
      </c>
      <c r="BI305" s="57">
        <f>F305*AP305</f>
      </c>
      <c r="BJ305" s="57">
        <f>F305*G305</f>
      </c>
      <c r="BK305" s="60" t="s">
        <v>98</v>
      </c>
      <c r="BL305" s="57" t="n">
        <v>762</v>
      </c>
      <c r="BW305" s="57" t="n">
        <v>12</v>
      </c>
      <c r="BX305" s="16" t="s">
        <v>803</v>
      </c>
    </row>
    <row r="306">
      <c r="A306" s="10" t="s">
        <v>804</v>
      </c>
      <c r="B306" s="11" t="s">
        <v>805</v>
      </c>
      <c r="C306" s="16" t="s">
        <v>806</v>
      </c>
      <c r="D306" s="11"/>
      <c r="E306" s="11" t="s">
        <v>61</v>
      </c>
      <c r="F306" s="57" t="n">
        <v>1546.56071</v>
      </c>
      <c r="G306" s="58" t="n">
        <v>0</v>
      </c>
      <c r="H306" s="57">
        <f>ROUND(F306*AO306,2)</f>
      </c>
      <c r="I306" s="57">
        <f>ROUND(F306*AP306,2)</f>
      </c>
      <c r="J306" s="57">
        <f>ROUND(F306*G306,2)</f>
      </c>
      <c r="K306" s="59" t="s">
        <v>62</v>
      </c>
      <c r="Z306" s="57">
        <f>ROUND(IF(AQ306="5",BJ306,0),2)</f>
      </c>
      <c r="AB306" s="57">
        <f>ROUND(IF(AQ306="1",BH306,0),2)</f>
      </c>
      <c r="AC306" s="57">
        <f>ROUND(IF(AQ306="1",BI306,0),2)</f>
      </c>
      <c r="AD306" s="57">
        <f>ROUND(IF(AQ306="7",BH306,0),2)</f>
      </c>
      <c r="AE306" s="57">
        <f>ROUND(IF(AQ306="7",BI306,0),2)</f>
      </c>
      <c r="AF306" s="57">
        <f>ROUND(IF(AQ306="2",BH306,0),2)</f>
      </c>
      <c r="AG306" s="57">
        <f>ROUND(IF(AQ306="2",BI306,0),2)</f>
      </c>
      <c r="AH306" s="57">
        <f>ROUND(IF(AQ306="0",BJ306,0),2)</f>
      </c>
      <c r="AI306" s="33" t="s">
        <v>707</v>
      </c>
      <c r="AJ306" s="57">
        <f>IF(AN306=0,J306,0)</f>
      </c>
      <c r="AK306" s="57">
        <f>IF(AN306=12,J306,0)</f>
      </c>
      <c r="AL306" s="57">
        <f>IF(AN306=21,J306,0)</f>
      </c>
      <c r="AN306" s="57" t="n">
        <v>12</v>
      </c>
      <c r="AO306" s="57">
        <f>G306*0</f>
      </c>
      <c r="AP306" s="57">
        <f>G306*(1-0)</f>
      </c>
      <c r="AQ306" s="60" t="s">
        <v>89</v>
      </c>
      <c r="AV306" s="57">
        <f>ROUND(AW306+AX306,2)</f>
      </c>
      <c r="AW306" s="57">
        <f>ROUND(F306*AO306,2)</f>
      </c>
      <c r="AX306" s="57">
        <f>ROUND(F306*AP306,2)</f>
      </c>
      <c r="AY306" s="60" t="s">
        <v>745</v>
      </c>
      <c r="AZ306" s="60" t="s">
        <v>746</v>
      </c>
      <c r="BA306" s="33" t="s">
        <v>711</v>
      </c>
      <c r="BB306" s="61" t="n">
        <v>100107</v>
      </c>
      <c r="BC306" s="57">
        <f>AW306+AX306</f>
      </c>
      <c r="BD306" s="57">
        <f>G306/(100-BE306)*100</f>
      </c>
      <c r="BE306" s="57" t="n">
        <v>0</v>
      </c>
      <c r="BF306" s="57">
        <f>306</f>
      </c>
      <c r="BH306" s="57">
        <f>F306*AO306</f>
      </c>
      <c r="BI306" s="57">
        <f>F306*AP306</f>
      </c>
      <c r="BJ306" s="57">
        <f>F306*G306</f>
      </c>
      <c r="BK306" s="60" t="s">
        <v>66</v>
      </c>
      <c r="BL306" s="57" t="n">
        <v>762</v>
      </c>
      <c r="BW306" s="57" t="n">
        <v>12</v>
      </c>
      <c r="BX306" s="16" t="s">
        <v>806</v>
      </c>
    </row>
    <row r="307">
      <c r="A307" s="10" t="s">
        <v>807</v>
      </c>
      <c r="B307" s="11" t="s">
        <v>808</v>
      </c>
      <c r="C307" s="16" t="s">
        <v>809</v>
      </c>
      <c r="D307" s="11"/>
      <c r="E307" s="11" t="s">
        <v>61</v>
      </c>
      <c r="F307" s="57" t="n">
        <v>1546.56071</v>
      </c>
      <c r="G307" s="58" t="n">
        <v>0</v>
      </c>
      <c r="H307" s="57">
        <f>ROUND(F307*AO307,2)</f>
      </c>
      <c r="I307" s="57">
        <f>ROUND(F307*AP307,2)</f>
      </c>
      <c r="J307" s="57">
        <f>ROUND(F307*G307,2)</f>
      </c>
      <c r="K307" s="59" t="s">
        <v>62</v>
      </c>
      <c r="Z307" s="57">
        <f>ROUND(IF(AQ307="5",BJ307,0),2)</f>
      </c>
      <c r="AB307" s="57">
        <f>ROUND(IF(AQ307="1",BH307,0),2)</f>
      </c>
      <c r="AC307" s="57">
        <f>ROUND(IF(AQ307="1",BI307,0),2)</f>
      </c>
      <c r="AD307" s="57">
        <f>ROUND(IF(AQ307="7",BH307,0),2)</f>
      </c>
      <c r="AE307" s="57">
        <f>ROUND(IF(AQ307="7",BI307,0),2)</f>
      </c>
      <c r="AF307" s="57">
        <f>ROUND(IF(AQ307="2",BH307,0),2)</f>
      </c>
      <c r="AG307" s="57">
        <f>ROUND(IF(AQ307="2",BI307,0),2)</f>
      </c>
      <c r="AH307" s="57">
        <f>ROUND(IF(AQ307="0",BJ307,0),2)</f>
      </c>
      <c r="AI307" s="33" t="s">
        <v>707</v>
      </c>
      <c r="AJ307" s="57">
        <f>IF(AN307=0,J307,0)</f>
      </c>
      <c r="AK307" s="57">
        <f>IF(AN307=12,J307,0)</f>
      </c>
      <c r="AL307" s="57">
        <f>IF(AN307=21,J307,0)</f>
      </c>
      <c r="AN307" s="57" t="n">
        <v>12</v>
      </c>
      <c r="AO307" s="57">
        <f>G307*0</f>
      </c>
      <c r="AP307" s="57">
        <f>G307*(1-0)</f>
      </c>
      <c r="AQ307" s="60" t="s">
        <v>89</v>
      </c>
      <c r="AV307" s="57">
        <f>ROUND(AW307+AX307,2)</f>
      </c>
      <c r="AW307" s="57">
        <f>ROUND(F307*AO307,2)</f>
      </c>
      <c r="AX307" s="57">
        <f>ROUND(F307*AP307,2)</f>
      </c>
      <c r="AY307" s="60" t="s">
        <v>745</v>
      </c>
      <c r="AZ307" s="60" t="s">
        <v>746</v>
      </c>
      <c r="BA307" s="33" t="s">
        <v>711</v>
      </c>
      <c r="BB307" s="61" t="n">
        <v>100107</v>
      </c>
      <c r="BC307" s="57">
        <f>AW307+AX307</f>
      </c>
      <c r="BD307" s="57">
        <f>G307/(100-BE307)*100</f>
      </c>
      <c r="BE307" s="57" t="n">
        <v>0</v>
      </c>
      <c r="BF307" s="57">
        <f>307</f>
      </c>
      <c r="BH307" s="57">
        <f>F307*AO307</f>
      </c>
      <c r="BI307" s="57">
        <f>F307*AP307</f>
      </c>
      <c r="BJ307" s="57">
        <f>F307*G307</f>
      </c>
      <c r="BK307" s="60" t="s">
        <v>66</v>
      </c>
      <c r="BL307" s="57" t="n">
        <v>762</v>
      </c>
      <c r="BW307" s="57" t="n">
        <v>12</v>
      </c>
      <c r="BX307" s="16" t="s">
        <v>809</v>
      </c>
    </row>
    <row r="308">
      <c r="A308" s="10" t="s">
        <v>810</v>
      </c>
      <c r="B308" s="11" t="s">
        <v>811</v>
      </c>
      <c r="C308" s="16" t="s">
        <v>812</v>
      </c>
      <c r="D308" s="11"/>
      <c r="E308" s="11" t="s">
        <v>126</v>
      </c>
      <c r="F308" s="57" t="n">
        <v>7413.78</v>
      </c>
      <c r="G308" s="58" t="n">
        <v>0</v>
      </c>
      <c r="H308" s="57">
        <f>ROUND(F308*AO308,2)</f>
      </c>
      <c r="I308" s="57">
        <f>ROUND(F308*AP308,2)</f>
      </c>
      <c r="J308" s="57">
        <f>ROUND(F308*G308,2)</f>
      </c>
      <c r="K308" s="59" t="s">
        <v>62</v>
      </c>
      <c r="Z308" s="57">
        <f>ROUND(IF(AQ308="5",BJ308,0),2)</f>
      </c>
      <c r="AB308" s="57">
        <f>ROUND(IF(AQ308="1",BH308,0),2)</f>
      </c>
      <c r="AC308" s="57">
        <f>ROUND(IF(AQ308="1",BI308,0),2)</f>
      </c>
      <c r="AD308" s="57">
        <f>ROUND(IF(AQ308="7",BH308,0),2)</f>
      </c>
      <c r="AE308" s="57">
        <f>ROUND(IF(AQ308="7",BI308,0),2)</f>
      </c>
      <c r="AF308" s="57">
        <f>ROUND(IF(AQ308="2",BH308,0),2)</f>
      </c>
      <c r="AG308" s="57">
        <f>ROUND(IF(AQ308="2",BI308,0),2)</f>
      </c>
      <c r="AH308" s="57">
        <f>ROUND(IF(AQ308="0",BJ308,0),2)</f>
      </c>
      <c r="AI308" s="33" t="s">
        <v>707</v>
      </c>
      <c r="AJ308" s="57">
        <f>IF(AN308=0,J308,0)</f>
      </c>
      <c r="AK308" s="57">
        <f>IF(AN308=12,J308,0)</f>
      </c>
      <c r="AL308" s="57">
        <f>IF(AN308=21,J308,0)</f>
      </c>
      <c r="AN308" s="57" t="n">
        <v>12</v>
      </c>
      <c r="AO308" s="57">
        <f>G308*1</f>
      </c>
      <c r="AP308" s="57">
        <f>G308*(1-1)</f>
      </c>
      <c r="AQ308" s="60" t="s">
        <v>89</v>
      </c>
      <c r="AV308" s="57">
        <f>ROUND(AW308+AX308,2)</f>
      </c>
      <c r="AW308" s="57">
        <f>ROUND(F308*AO308,2)</f>
      </c>
      <c r="AX308" s="57">
        <f>ROUND(F308*AP308,2)</f>
      </c>
      <c r="AY308" s="60" t="s">
        <v>745</v>
      </c>
      <c r="AZ308" s="60" t="s">
        <v>746</v>
      </c>
      <c r="BA308" s="33" t="s">
        <v>711</v>
      </c>
      <c r="BC308" s="57">
        <f>AW308+AX308</f>
      </c>
      <c r="BD308" s="57">
        <f>G308/(100-BE308)*100</f>
      </c>
      <c r="BE308" s="57" t="n">
        <v>0</v>
      </c>
      <c r="BF308" s="57">
        <f>308</f>
      </c>
      <c r="BH308" s="57">
        <f>F308*AO308</f>
      </c>
      <c r="BI308" s="57">
        <f>F308*AP308</f>
      </c>
      <c r="BJ308" s="57">
        <f>F308*G308</f>
      </c>
      <c r="BK308" s="60" t="s">
        <v>98</v>
      </c>
      <c r="BL308" s="57" t="n">
        <v>762</v>
      </c>
      <c r="BW308" s="57" t="n">
        <v>12</v>
      </c>
      <c r="BX308" s="16" t="s">
        <v>812</v>
      </c>
    </row>
    <row r="309">
      <c r="A309" s="10" t="s">
        <v>813</v>
      </c>
      <c r="B309" s="11" t="s">
        <v>814</v>
      </c>
      <c r="C309" s="16" t="s">
        <v>815</v>
      </c>
      <c r="D309" s="11"/>
      <c r="E309" s="11" t="s">
        <v>61</v>
      </c>
      <c r="F309" s="57" t="n">
        <v>1546.56071</v>
      </c>
      <c r="G309" s="58" t="n">
        <v>0</v>
      </c>
      <c r="H309" s="57">
        <f>ROUND(F309*AO309,2)</f>
      </c>
      <c r="I309" s="57">
        <f>ROUND(F309*AP309,2)</f>
      </c>
      <c r="J309" s="57">
        <f>ROUND(F309*G309,2)</f>
      </c>
      <c r="K309" s="59" t="s">
        <v>62</v>
      </c>
      <c r="Z309" s="57">
        <f>ROUND(IF(AQ309="5",BJ309,0),2)</f>
      </c>
      <c r="AB309" s="57">
        <f>ROUND(IF(AQ309="1",BH309,0),2)</f>
      </c>
      <c r="AC309" s="57">
        <f>ROUND(IF(AQ309="1",BI309,0),2)</f>
      </c>
      <c r="AD309" s="57">
        <f>ROUND(IF(AQ309="7",BH309,0),2)</f>
      </c>
      <c r="AE309" s="57">
        <f>ROUND(IF(AQ309="7",BI309,0),2)</f>
      </c>
      <c r="AF309" s="57">
        <f>ROUND(IF(AQ309="2",BH309,0),2)</f>
      </c>
      <c r="AG309" s="57">
        <f>ROUND(IF(AQ309="2",BI309,0),2)</f>
      </c>
      <c r="AH309" s="57">
        <f>ROUND(IF(AQ309="0",BJ309,0),2)</f>
      </c>
      <c r="AI309" s="33" t="s">
        <v>707</v>
      </c>
      <c r="AJ309" s="57">
        <f>IF(AN309=0,J309,0)</f>
      </c>
      <c r="AK309" s="57">
        <f>IF(AN309=12,J309,0)</f>
      </c>
      <c r="AL309" s="57">
        <f>IF(AN309=21,J309,0)</f>
      </c>
      <c r="AN309" s="57" t="n">
        <v>12</v>
      </c>
      <c r="AO309" s="57">
        <f>G309*0.408173073</f>
      </c>
      <c r="AP309" s="57">
        <f>G309*(1-0.408173073)</f>
      </c>
      <c r="AQ309" s="60" t="s">
        <v>89</v>
      </c>
      <c r="AV309" s="57">
        <f>ROUND(AW309+AX309,2)</f>
      </c>
      <c r="AW309" s="57">
        <f>ROUND(F309*AO309,2)</f>
      </c>
      <c r="AX309" s="57">
        <f>ROUND(F309*AP309,2)</f>
      </c>
      <c r="AY309" s="60" t="s">
        <v>745</v>
      </c>
      <c r="AZ309" s="60" t="s">
        <v>746</v>
      </c>
      <c r="BA309" s="33" t="s">
        <v>711</v>
      </c>
      <c r="BB309" s="61" t="n">
        <v>100107</v>
      </c>
      <c r="BC309" s="57">
        <f>AW309+AX309</f>
      </c>
      <c r="BD309" s="57">
        <f>G309/(100-BE309)*100</f>
      </c>
      <c r="BE309" s="57" t="n">
        <v>0</v>
      </c>
      <c r="BF309" s="57">
        <f>309</f>
      </c>
      <c r="BH309" s="57">
        <f>F309*AO309</f>
      </c>
      <c r="BI309" s="57">
        <f>F309*AP309</f>
      </c>
      <c r="BJ309" s="57">
        <f>F309*G309</f>
      </c>
      <c r="BK309" s="60" t="s">
        <v>66</v>
      </c>
      <c r="BL309" s="57" t="n">
        <v>762</v>
      </c>
      <c r="BW309" s="57" t="n">
        <v>12</v>
      </c>
      <c r="BX309" s="16" t="s">
        <v>815</v>
      </c>
    </row>
    <row r="310">
      <c r="A310" s="10" t="s">
        <v>816</v>
      </c>
      <c r="B310" s="11" t="s">
        <v>811</v>
      </c>
      <c r="C310" s="16" t="s">
        <v>812</v>
      </c>
      <c r="D310" s="11"/>
      <c r="E310" s="11" t="s">
        <v>126</v>
      </c>
      <c r="F310" s="57" t="n">
        <v>1858.373</v>
      </c>
      <c r="G310" s="58" t="n">
        <v>0</v>
      </c>
      <c r="H310" s="57">
        <f>ROUND(F310*AO310,2)</f>
      </c>
      <c r="I310" s="57">
        <f>ROUND(F310*AP310,2)</f>
      </c>
      <c r="J310" s="57">
        <f>ROUND(F310*G310,2)</f>
      </c>
      <c r="K310" s="59" t="s">
        <v>62</v>
      </c>
      <c r="Z310" s="57">
        <f>ROUND(IF(AQ310="5",BJ310,0),2)</f>
      </c>
      <c r="AB310" s="57">
        <f>ROUND(IF(AQ310="1",BH310,0),2)</f>
      </c>
      <c r="AC310" s="57">
        <f>ROUND(IF(AQ310="1",BI310,0),2)</f>
      </c>
      <c r="AD310" s="57">
        <f>ROUND(IF(AQ310="7",BH310,0),2)</f>
      </c>
      <c r="AE310" s="57">
        <f>ROUND(IF(AQ310="7",BI310,0),2)</f>
      </c>
      <c r="AF310" s="57">
        <f>ROUND(IF(AQ310="2",BH310,0),2)</f>
      </c>
      <c r="AG310" s="57">
        <f>ROUND(IF(AQ310="2",BI310,0),2)</f>
      </c>
      <c r="AH310" s="57">
        <f>ROUND(IF(AQ310="0",BJ310,0),2)</f>
      </c>
      <c r="AI310" s="33" t="s">
        <v>707</v>
      </c>
      <c r="AJ310" s="57">
        <f>IF(AN310=0,J310,0)</f>
      </c>
      <c r="AK310" s="57">
        <f>IF(AN310=12,J310,0)</f>
      </c>
      <c r="AL310" s="57">
        <f>IF(AN310=21,J310,0)</f>
      </c>
      <c r="AN310" s="57" t="n">
        <v>12</v>
      </c>
      <c r="AO310" s="57">
        <f>G310*1</f>
      </c>
      <c r="AP310" s="57">
        <f>G310*(1-1)</f>
      </c>
      <c r="AQ310" s="60" t="s">
        <v>89</v>
      </c>
      <c r="AV310" s="57">
        <f>ROUND(AW310+AX310,2)</f>
      </c>
      <c r="AW310" s="57">
        <f>ROUND(F310*AO310,2)</f>
      </c>
      <c r="AX310" s="57">
        <f>ROUND(F310*AP310,2)</f>
      </c>
      <c r="AY310" s="60" t="s">
        <v>745</v>
      </c>
      <c r="AZ310" s="60" t="s">
        <v>746</v>
      </c>
      <c r="BA310" s="33" t="s">
        <v>711</v>
      </c>
      <c r="BC310" s="57">
        <f>AW310+AX310</f>
      </c>
      <c r="BD310" s="57">
        <f>G310/(100-BE310)*100</f>
      </c>
      <c r="BE310" s="57" t="n">
        <v>0</v>
      </c>
      <c r="BF310" s="57">
        <f>310</f>
      </c>
      <c r="BH310" s="57">
        <f>F310*AO310</f>
      </c>
      <c r="BI310" s="57">
        <f>F310*AP310</f>
      </c>
      <c r="BJ310" s="57">
        <f>F310*G310</f>
      </c>
      <c r="BK310" s="60" t="s">
        <v>98</v>
      </c>
      <c r="BL310" s="57" t="n">
        <v>762</v>
      </c>
      <c r="BW310" s="57" t="n">
        <v>12</v>
      </c>
      <c r="BX310" s="16" t="s">
        <v>812</v>
      </c>
    </row>
    <row r="311">
      <c r="A311" s="10" t="s">
        <v>817</v>
      </c>
      <c r="B311" s="11" t="s">
        <v>818</v>
      </c>
      <c r="C311" s="16" t="s">
        <v>819</v>
      </c>
      <c r="D311" s="11"/>
      <c r="E311" s="11" t="s">
        <v>314</v>
      </c>
      <c r="F311" s="57" t="n">
        <v>48.10692</v>
      </c>
      <c r="G311" s="58" t="n">
        <v>0</v>
      </c>
      <c r="H311" s="57">
        <f>ROUND(F311*AO311,2)</f>
      </c>
      <c r="I311" s="57">
        <f>ROUND(F311*AP311,2)</f>
      </c>
      <c r="J311" s="57">
        <f>ROUND(F311*G311,2)</f>
      </c>
      <c r="K311" s="59" t="s">
        <v>62</v>
      </c>
      <c r="Z311" s="57">
        <f>ROUND(IF(AQ311="5",BJ311,0),2)</f>
      </c>
      <c r="AB311" s="57">
        <f>ROUND(IF(AQ311="1",BH311,0),2)</f>
      </c>
      <c r="AC311" s="57">
        <f>ROUND(IF(AQ311="1",BI311,0),2)</f>
      </c>
      <c r="AD311" s="57">
        <f>ROUND(IF(AQ311="7",BH311,0),2)</f>
      </c>
      <c r="AE311" s="57">
        <f>ROUND(IF(AQ311="7",BI311,0),2)</f>
      </c>
      <c r="AF311" s="57">
        <f>ROUND(IF(AQ311="2",BH311,0),2)</f>
      </c>
      <c r="AG311" s="57">
        <f>ROUND(IF(AQ311="2",BI311,0),2)</f>
      </c>
      <c r="AH311" s="57">
        <f>ROUND(IF(AQ311="0",BJ311,0),2)</f>
      </c>
      <c r="AI311" s="33" t="s">
        <v>707</v>
      </c>
      <c r="AJ311" s="57">
        <f>IF(AN311=0,J311,0)</f>
      </c>
      <c r="AK311" s="57">
        <f>IF(AN311=12,J311,0)</f>
      </c>
      <c r="AL311" s="57">
        <f>IF(AN311=21,J311,0)</f>
      </c>
      <c r="AN311" s="57" t="n">
        <v>12</v>
      </c>
      <c r="AO311" s="57">
        <f>G311*0</f>
      </c>
      <c r="AP311" s="57">
        <f>G311*(1-0)</f>
      </c>
      <c r="AQ311" s="60" t="s">
        <v>76</v>
      </c>
      <c r="AV311" s="57">
        <f>ROUND(AW311+AX311,2)</f>
      </c>
      <c r="AW311" s="57">
        <f>ROUND(F311*AO311,2)</f>
      </c>
      <c r="AX311" s="57">
        <f>ROUND(F311*AP311,2)</f>
      </c>
      <c r="AY311" s="60" t="s">
        <v>745</v>
      </c>
      <c r="AZ311" s="60" t="s">
        <v>746</v>
      </c>
      <c r="BA311" s="33" t="s">
        <v>711</v>
      </c>
      <c r="BB311" s="61" t="n">
        <v>100107</v>
      </c>
      <c r="BC311" s="57">
        <f>AW311+AX311</f>
      </c>
      <c r="BD311" s="57">
        <f>G311/(100-BE311)*100</f>
      </c>
      <c r="BE311" s="57" t="n">
        <v>0</v>
      </c>
      <c r="BF311" s="57">
        <f>311</f>
      </c>
      <c r="BH311" s="57">
        <f>F311*AO311</f>
      </c>
      <c r="BI311" s="57">
        <f>F311*AP311</f>
      </c>
      <c r="BJ311" s="57">
        <f>F311*G311</f>
      </c>
      <c r="BK311" s="60" t="s">
        <v>66</v>
      </c>
      <c r="BL311" s="57" t="n">
        <v>762</v>
      </c>
      <c r="BW311" s="57" t="n">
        <v>12</v>
      </c>
      <c r="BX311" s="16" t="s">
        <v>819</v>
      </c>
    </row>
    <row r="312">
      <c r="A312" s="51" t="s">
        <v>53</v>
      </c>
      <c r="B312" s="52" t="s">
        <v>362</v>
      </c>
      <c r="C312" s="53" t="s">
        <v>363</v>
      </c>
      <c r="D312" s="52"/>
      <c r="E312" s="54" t="s">
        <v>4</v>
      </c>
      <c r="F312" s="54" t="s">
        <v>4</v>
      </c>
      <c r="G312" s="55" t="s">
        <v>4</v>
      </c>
      <c r="H312" s="2">
        <f>ROUND(SUM(H313:H366),2)</f>
      </c>
      <c r="I312" s="2">
        <f>ROUND(SUM(I313:I366),2)</f>
      </c>
      <c r="J312" s="2">
        <f>ROUND(SUM(J313:J366),2)</f>
      </c>
      <c r="K312" s="56" t="s">
        <v>53</v>
      </c>
      <c r="AI312" s="33" t="s">
        <v>707</v>
      </c>
      <c r="AS312" s="2">
        <f>SUM(AJ313:AJ366)</f>
      </c>
      <c r="AT312" s="2">
        <f>SUM(AK313:AK366)</f>
      </c>
      <c r="AU312" s="2">
        <f>SUM(AL313:AL366)</f>
      </c>
    </row>
    <row r="313">
      <c r="A313" s="10" t="s">
        <v>820</v>
      </c>
      <c r="B313" s="11" t="s">
        <v>821</v>
      </c>
      <c r="C313" s="16" t="s">
        <v>822</v>
      </c>
      <c r="D313" s="11"/>
      <c r="E313" s="11" t="s">
        <v>61</v>
      </c>
      <c r="F313" s="57" t="n">
        <v>1546.56071</v>
      </c>
      <c r="G313" s="58" t="n">
        <v>0</v>
      </c>
      <c r="H313" s="57">
        <f>ROUND(F313*AO313,2)</f>
      </c>
      <c r="I313" s="57">
        <f>ROUND(F313*AP313,2)</f>
      </c>
      <c r="J313" s="57">
        <f>ROUND(F313*G313,2)</f>
      </c>
      <c r="K313" s="59" t="s">
        <v>62</v>
      </c>
      <c r="Z313" s="57">
        <f>ROUND(IF(AQ313="5",BJ313,0),2)</f>
      </c>
      <c r="AB313" s="57">
        <f>ROUND(IF(AQ313="1",BH313,0),2)</f>
      </c>
      <c r="AC313" s="57">
        <f>ROUND(IF(AQ313="1",BI313,0),2)</f>
      </c>
      <c r="AD313" s="57">
        <f>ROUND(IF(AQ313="7",BH313,0),2)</f>
      </c>
      <c r="AE313" s="57">
        <f>ROUND(IF(AQ313="7",BI313,0),2)</f>
      </c>
      <c r="AF313" s="57">
        <f>ROUND(IF(AQ313="2",BH313,0),2)</f>
      </c>
      <c r="AG313" s="57">
        <f>ROUND(IF(AQ313="2",BI313,0),2)</f>
      </c>
      <c r="AH313" s="57">
        <f>ROUND(IF(AQ313="0",BJ313,0),2)</f>
      </c>
      <c r="AI313" s="33" t="s">
        <v>707</v>
      </c>
      <c r="AJ313" s="57">
        <f>IF(AN313=0,J313,0)</f>
      </c>
      <c r="AK313" s="57">
        <f>IF(AN313=12,J313,0)</f>
      </c>
      <c r="AL313" s="57">
        <f>IF(AN313=21,J313,0)</f>
      </c>
      <c r="AN313" s="57" t="n">
        <v>12</v>
      </c>
      <c r="AO313" s="57">
        <f>G313*0</f>
      </c>
      <c r="AP313" s="57">
        <f>G313*(1-0)</f>
      </c>
      <c r="AQ313" s="60" t="s">
        <v>89</v>
      </c>
      <c r="AV313" s="57">
        <f>ROUND(AW313+AX313,2)</f>
      </c>
      <c r="AW313" s="57">
        <f>ROUND(F313*AO313,2)</f>
      </c>
      <c r="AX313" s="57">
        <f>ROUND(F313*AP313,2)</f>
      </c>
      <c r="AY313" s="60" t="s">
        <v>367</v>
      </c>
      <c r="AZ313" s="60" t="s">
        <v>823</v>
      </c>
      <c r="BA313" s="33" t="s">
        <v>711</v>
      </c>
      <c r="BB313" s="61" t="n">
        <v>100108</v>
      </c>
      <c r="BC313" s="57">
        <f>AW313+AX313</f>
      </c>
      <c r="BD313" s="57">
        <f>G313/(100-BE313)*100</f>
      </c>
      <c r="BE313" s="57" t="n">
        <v>0</v>
      </c>
      <c r="BF313" s="57">
        <f>313</f>
      </c>
      <c r="BH313" s="57">
        <f>F313*AO313</f>
      </c>
      <c r="BI313" s="57">
        <f>F313*AP313</f>
      </c>
      <c r="BJ313" s="57">
        <f>F313*G313</f>
      </c>
      <c r="BK313" s="60" t="s">
        <v>66</v>
      </c>
      <c r="BL313" s="57" t="n">
        <v>764</v>
      </c>
      <c r="BW313" s="57" t="n">
        <v>12</v>
      </c>
      <c r="BX313" s="16" t="s">
        <v>822</v>
      </c>
    </row>
    <row r="314">
      <c r="A314" s="10" t="s">
        <v>824</v>
      </c>
      <c r="B314" s="11" t="s">
        <v>825</v>
      </c>
      <c r="C314" s="16" t="s">
        <v>826</v>
      </c>
      <c r="D314" s="11"/>
      <c r="E314" s="11" t="s">
        <v>126</v>
      </c>
      <c r="F314" s="57" t="n">
        <v>177.41</v>
      </c>
      <c r="G314" s="58" t="n">
        <v>0</v>
      </c>
      <c r="H314" s="57">
        <f>ROUND(F314*AO314,2)</f>
      </c>
      <c r="I314" s="57">
        <f>ROUND(F314*AP314,2)</f>
      </c>
      <c r="J314" s="57">
        <f>ROUND(F314*G314,2)</f>
      </c>
      <c r="K314" s="59" t="s">
        <v>62</v>
      </c>
      <c r="Z314" s="57">
        <f>ROUND(IF(AQ314="5",BJ314,0),2)</f>
      </c>
      <c r="AB314" s="57">
        <f>ROUND(IF(AQ314="1",BH314,0),2)</f>
      </c>
      <c r="AC314" s="57">
        <f>ROUND(IF(AQ314="1",BI314,0),2)</f>
      </c>
      <c r="AD314" s="57">
        <f>ROUND(IF(AQ314="7",BH314,0),2)</f>
      </c>
      <c r="AE314" s="57">
        <f>ROUND(IF(AQ314="7",BI314,0),2)</f>
      </c>
      <c r="AF314" s="57">
        <f>ROUND(IF(AQ314="2",BH314,0),2)</f>
      </c>
      <c r="AG314" s="57">
        <f>ROUND(IF(AQ314="2",BI314,0),2)</f>
      </c>
      <c r="AH314" s="57">
        <f>ROUND(IF(AQ314="0",BJ314,0),2)</f>
      </c>
      <c r="AI314" s="33" t="s">
        <v>707</v>
      </c>
      <c r="AJ314" s="57">
        <f>IF(AN314=0,J314,0)</f>
      </c>
      <c r="AK314" s="57">
        <f>IF(AN314=12,J314,0)</f>
      </c>
      <c r="AL314" s="57">
        <f>IF(AN314=21,J314,0)</f>
      </c>
      <c r="AN314" s="57" t="n">
        <v>12</v>
      </c>
      <c r="AO314" s="57">
        <f>G314*0</f>
      </c>
      <c r="AP314" s="57">
        <f>G314*(1-0)</f>
      </c>
      <c r="AQ314" s="60" t="s">
        <v>89</v>
      </c>
      <c r="AV314" s="57">
        <f>ROUND(AW314+AX314,2)</f>
      </c>
      <c r="AW314" s="57">
        <f>ROUND(F314*AO314,2)</f>
      </c>
      <c r="AX314" s="57">
        <f>ROUND(F314*AP314,2)</f>
      </c>
      <c r="AY314" s="60" t="s">
        <v>367</v>
      </c>
      <c r="AZ314" s="60" t="s">
        <v>823</v>
      </c>
      <c r="BA314" s="33" t="s">
        <v>711</v>
      </c>
      <c r="BB314" s="61" t="n">
        <v>100108</v>
      </c>
      <c r="BC314" s="57">
        <f>AW314+AX314</f>
      </c>
      <c r="BD314" s="57">
        <f>G314/(100-BE314)*100</f>
      </c>
      <c r="BE314" s="57" t="n">
        <v>0</v>
      </c>
      <c r="BF314" s="57">
        <f>314</f>
      </c>
      <c r="BH314" s="57">
        <f>F314*AO314</f>
      </c>
      <c r="BI314" s="57">
        <f>F314*AP314</f>
      </c>
      <c r="BJ314" s="57">
        <f>F314*G314</f>
      </c>
      <c r="BK314" s="60" t="s">
        <v>66</v>
      </c>
      <c r="BL314" s="57" t="n">
        <v>764</v>
      </c>
      <c r="BW314" s="57" t="n">
        <v>12</v>
      </c>
      <c r="BX314" s="16" t="s">
        <v>826</v>
      </c>
    </row>
    <row r="315">
      <c r="A315" s="10" t="s">
        <v>827</v>
      </c>
      <c r="B315" s="11" t="s">
        <v>828</v>
      </c>
      <c r="C315" s="16" t="s">
        <v>829</v>
      </c>
      <c r="D315" s="11"/>
      <c r="E315" s="11" t="s">
        <v>61</v>
      </c>
      <c r="F315" s="57" t="n">
        <v>48.9126</v>
      </c>
      <c r="G315" s="58" t="n">
        <v>0</v>
      </c>
      <c r="H315" s="57">
        <f>ROUND(F315*AO315,2)</f>
      </c>
      <c r="I315" s="57">
        <f>ROUND(F315*AP315,2)</f>
      </c>
      <c r="J315" s="57">
        <f>ROUND(F315*G315,2)</f>
      </c>
      <c r="K315" s="59" t="s">
        <v>62</v>
      </c>
      <c r="Z315" s="57">
        <f>ROUND(IF(AQ315="5",BJ315,0),2)</f>
      </c>
      <c r="AB315" s="57">
        <f>ROUND(IF(AQ315="1",BH315,0),2)</f>
      </c>
      <c r="AC315" s="57">
        <f>ROUND(IF(AQ315="1",BI315,0),2)</f>
      </c>
      <c r="AD315" s="57">
        <f>ROUND(IF(AQ315="7",BH315,0),2)</f>
      </c>
      <c r="AE315" s="57">
        <f>ROUND(IF(AQ315="7",BI315,0),2)</f>
      </c>
      <c r="AF315" s="57">
        <f>ROUND(IF(AQ315="2",BH315,0),2)</f>
      </c>
      <c r="AG315" s="57">
        <f>ROUND(IF(AQ315="2",BI315,0),2)</f>
      </c>
      <c r="AH315" s="57">
        <f>ROUND(IF(AQ315="0",BJ315,0),2)</f>
      </c>
      <c r="AI315" s="33" t="s">
        <v>707</v>
      </c>
      <c r="AJ315" s="57">
        <f>IF(AN315=0,J315,0)</f>
      </c>
      <c r="AK315" s="57">
        <f>IF(AN315=12,J315,0)</f>
      </c>
      <c r="AL315" s="57">
        <f>IF(AN315=21,J315,0)</f>
      </c>
      <c r="AN315" s="57" t="n">
        <v>12</v>
      </c>
      <c r="AO315" s="57">
        <f>G315*0</f>
      </c>
      <c r="AP315" s="57">
        <f>G315*(1-0)</f>
      </c>
      <c r="AQ315" s="60" t="s">
        <v>89</v>
      </c>
      <c r="AV315" s="57">
        <f>ROUND(AW315+AX315,2)</f>
      </c>
      <c r="AW315" s="57">
        <f>ROUND(F315*AO315,2)</f>
      </c>
      <c r="AX315" s="57">
        <f>ROUND(F315*AP315,2)</f>
      </c>
      <c r="AY315" s="60" t="s">
        <v>367</v>
      </c>
      <c r="AZ315" s="60" t="s">
        <v>823</v>
      </c>
      <c r="BA315" s="33" t="s">
        <v>711</v>
      </c>
      <c r="BB315" s="61" t="n">
        <v>100108</v>
      </c>
      <c r="BC315" s="57">
        <f>AW315+AX315</f>
      </c>
      <c r="BD315" s="57">
        <f>G315/(100-BE315)*100</f>
      </c>
      <c r="BE315" s="57" t="n">
        <v>0</v>
      </c>
      <c r="BF315" s="57">
        <f>315</f>
      </c>
      <c r="BH315" s="57">
        <f>F315*AO315</f>
      </c>
      <c r="BI315" s="57">
        <f>F315*AP315</f>
      </c>
      <c r="BJ315" s="57">
        <f>F315*G315</f>
      </c>
      <c r="BK315" s="60" t="s">
        <v>66</v>
      </c>
      <c r="BL315" s="57" t="n">
        <v>764</v>
      </c>
      <c r="BW315" s="57" t="n">
        <v>12</v>
      </c>
      <c r="BX315" s="16" t="s">
        <v>829</v>
      </c>
    </row>
    <row r="316">
      <c r="A316" s="10" t="s">
        <v>830</v>
      </c>
      <c r="B316" s="11" t="s">
        <v>831</v>
      </c>
      <c r="C316" s="16" t="s">
        <v>832</v>
      </c>
      <c r="D316" s="11"/>
      <c r="E316" s="11" t="s">
        <v>174</v>
      </c>
      <c r="F316" s="57" t="n">
        <v>20</v>
      </c>
      <c r="G316" s="58" t="n">
        <v>0</v>
      </c>
      <c r="H316" s="57">
        <f>ROUND(F316*AO316,2)</f>
      </c>
      <c r="I316" s="57">
        <f>ROUND(F316*AP316,2)</f>
      </c>
      <c r="J316" s="57">
        <f>ROUND(F316*G316,2)</f>
      </c>
      <c r="K316" s="59" t="s">
        <v>62</v>
      </c>
      <c r="Z316" s="57">
        <f>ROUND(IF(AQ316="5",BJ316,0),2)</f>
      </c>
      <c r="AB316" s="57">
        <f>ROUND(IF(AQ316="1",BH316,0),2)</f>
      </c>
      <c r="AC316" s="57">
        <f>ROUND(IF(AQ316="1",BI316,0),2)</f>
      </c>
      <c r="AD316" s="57">
        <f>ROUND(IF(AQ316="7",BH316,0),2)</f>
      </c>
      <c r="AE316" s="57">
        <f>ROUND(IF(AQ316="7",BI316,0),2)</f>
      </c>
      <c r="AF316" s="57">
        <f>ROUND(IF(AQ316="2",BH316,0),2)</f>
      </c>
      <c r="AG316" s="57">
        <f>ROUND(IF(AQ316="2",BI316,0),2)</f>
      </c>
      <c r="AH316" s="57">
        <f>ROUND(IF(AQ316="0",BJ316,0),2)</f>
      </c>
      <c r="AI316" s="33" t="s">
        <v>707</v>
      </c>
      <c r="AJ316" s="57">
        <f>IF(AN316=0,J316,0)</f>
      </c>
      <c r="AK316" s="57">
        <f>IF(AN316=12,J316,0)</f>
      </c>
      <c r="AL316" s="57">
        <f>IF(AN316=21,J316,0)</f>
      </c>
      <c r="AN316" s="57" t="n">
        <v>12</v>
      </c>
      <c r="AO316" s="57">
        <f>G316*0</f>
      </c>
      <c r="AP316" s="57">
        <f>G316*(1-0)</f>
      </c>
      <c r="AQ316" s="60" t="s">
        <v>89</v>
      </c>
      <c r="AV316" s="57">
        <f>ROUND(AW316+AX316,2)</f>
      </c>
      <c r="AW316" s="57">
        <f>ROUND(F316*AO316,2)</f>
      </c>
      <c r="AX316" s="57">
        <f>ROUND(F316*AP316,2)</f>
      </c>
      <c r="AY316" s="60" t="s">
        <v>367</v>
      </c>
      <c r="AZ316" s="60" t="s">
        <v>823</v>
      </c>
      <c r="BA316" s="33" t="s">
        <v>711</v>
      </c>
      <c r="BB316" s="61" t="n">
        <v>100108</v>
      </c>
      <c r="BC316" s="57">
        <f>AW316+AX316</f>
      </c>
      <c r="BD316" s="57">
        <f>G316/(100-BE316)*100</f>
      </c>
      <c r="BE316" s="57" t="n">
        <v>0</v>
      </c>
      <c r="BF316" s="57">
        <f>316</f>
      </c>
      <c r="BH316" s="57">
        <f>F316*AO316</f>
      </c>
      <c r="BI316" s="57">
        <f>F316*AP316</f>
      </c>
      <c r="BJ316" s="57">
        <f>F316*G316</f>
      </c>
      <c r="BK316" s="60" t="s">
        <v>66</v>
      </c>
      <c r="BL316" s="57" t="n">
        <v>764</v>
      </c>
      <c r="BW316" s="57" t="n">
        <v>12</v>
      </c>
      <c r="BX316" s="16" t="s">
        <v>832</v>
      </c>
    </row>
    <row r="317">
      <c r="A317" s="10" t="s">
        <v>833</v>
      </c>
      <c r="B317" s="11" t="s">
        <v>834</v>
      </c>
      <c r="C317" s="16" t="s">
        <v>835</v>
      </c>
      <c r="D317" s="11"/>
      <c r="E317" s="11" t="s">
        <v>174</v>
      </c>
      <c r="F317" s="57" t="n">
        <v>194</v>
      </c>
      <c r="G317" s="58" t="n">
        <v>0</v>
      </c>
      <c r="H317" s="57">
        <f>ROUND(F317*AO317,2)</f>
      </c>
      <c r="I317" s="57">
        <f>ROUND(F317*AP317,2)</f>
      </c>
      <c r="J317" s="57">
        <f>ROUND(F317*G317,2)</f>
      </c>
      <c r="K317" s="59" t="s">
        <v>62</v>
      </c>
      <c r="Z317" s="57">
        <f>ROUND(IF(AQ317="5",BJ317,0),2)</f>
      </c>
      <c r="AB317" s="57">
        <f>ROUND(IF(AQ317="1",BH317,0),2)</f>
      </c>
      <c r="AC317" s="57">
        <f>ROUND(IF(AQ317="1",BI317,0),2)</f>
      </c>
      <c r="AD317" s="57">
        <f>ROUND(IF(AQ317="7",BH317,0),2)</f>
      </c>
      <c r="AE317" s="57">
        <f>ROUND(IF(AQ317="7",BI317,0),2)</f>
      </c>
      <c r="AF317" s="57">
        <f>ROUND(IF(AQ317="2",BH317,0),2)</f>
      </c>
      <c r="AG317" s="57">
        <f>ROUND(IF(AQ317="2",BI317,0),2)</f>
      </c>
      <c r="AH317" s="57">
        <f>ROUND(IF(AQ317="0",BJ317,0),2)</f>
      </c>
      <c r="AI317" s="33" t="s">
        <v>707</v>
      </c>
      <c r="AJ317" s="57">
        <f>IF(AN317=0,J317,0)</f>
      </c>
      <c r="AK317" s="57">
        <f>IF(AN317=12,J317,0)</f>
      </c>
      <c r="AL317" s="57">
        <f>IF(AN317=21,J317,0)</f>
      </c>
      <c r="AN317" s="57" t="n">
        <v>12</v>
      </c>
      <c r="AO317" s="57">
        <f>G317*0</f>
      </c>
      <c r="AP317" s="57">
        <f>G317*(1-0)</f>
      </c>
      <c r="AQ317" s="60" t="s">
        <v>89</v>
      </c>
      <c r="AV317" s="57">
        <f>ROUND(AW317+AX317,2)</f>
      </c>
      <c r="AW317" s="57">
        <f>ROUND(F317*AO317,2)</f>
      </c>
      <c r="AX317" s="57">
        <f>ROUND(F317*AP317,2)</f>
      </c>
      <c r="AY317" s="60" t="s">
        <v>367</v>
      </c>
      <c r="AZ317" s="60" t="s">
        <v>823</v>
      </c>
      <c r="BA317" s="33" t="s">
        <v>711</v>
      </c>
      <c r="BB317" s="61" t="n">
        <v>100108</v>
      </c>
      <c r="BC317" s="57">
        <f>AW317+AX317</f>
      </c>
      <c r="BD317" s="57">
        <f>G317/(100-BE317)*100</f>
      </c>
      <c r="BE317" s="57" t="n">
        <v>0</v>
      </c>
      <c r="BF317" s="57">
        <f>317</f>
      </c>
      <c r="BH317" s="57">
        <f>F317*AO317</f>
      </c>
      <c r="BI317" s="57">
        <f>F317*AP317</f>
      </c>
      <c r="BJ317" s="57">
        <f>F317*G317</f>
      </c>
      <c r="BK317" s="60" t="s">
        <v>66</v>
      </c>
      <c r="BL317" s="57" t="n">
        <v>764</v>
      </c>
      <c r="BW317" s="57" t="n">
        <v>12</v>
      </c>
      <c r="BX317" s="16" t="s">
        <v>835</v>
      </c>
    </row>
    <row r="318">
      <c r="A318" s="10" t="s">
        <v>836</v>
      </c>
      <c r="B318" s="11" t="s">
        <v>837</v>
      </c>
      <c r="C318" s="16" t="s">
        <v>838</v>
      </c>
      <c r="D318" s="11"/>
      <c r="E318" s="11" t="s">
        <v>174</v>
      </c>
      <c r="F318" s="57" t="n">
        <v>194</v>
      </c>
      <c r="G318" s="58" t="n">
        <v>0</v>
      </c>
      <c r="H318" s="57">
        <f>ROUND(F318*AO318,2)</f>
      </c>
      <c r="I318" s="57">
        <f>ROUND(F318*AP318,2)</f>
      </c>
      <c r="J318" s="57">
        <f>ROUND(F318*G318,2)</f>
      </c>
      <c r="K318" s="59" t="s">
        <v>62</v>
      </c>
      <c r="Z318" s="57">
        <f>ROUND(IF(AQ318="5",BJ318,0),2)</f>
      </c>
      <c r="AB318" s="57">
        <f>ROUND(IF(AQ318="1",BH318,0),2)</f>
      </c>
      <c r="AC318" s="57">
        <f>ROUND(IF(AQ318="1",BI318,0),2)</f>
      </c>
      <c r="AD318" s="57">
        <f>ROUND(IF(AQ318="7",BH318,0),2)</f>
      </c>
      <c r="AE318" s="57">
        <f>ROUND(IF(AQ318="7",BI318,0),2)</f>
      </c>
      <c r="AF318" s="57">
        <f>ROUND(IF(AQ318="2",BH318,0),2)</f>
      </c>
      <c r="AG318" s="57">
        <f>ROUND(IF(AQ318="2",BI318,0),2)</f>
      </c>
      <c r="AH318" s="57">
        <f>ROUND(IF(AQ318="0",BJ318,0),2)</f>
      </c>
      <c r="AI318" s="33" t="s">
        <v>707</v>
      </c>
      <c r="AJ318" s="57">
        <f>IF(AN318=0,J318,0)</f>
      </c>
      <c r="AK318" s="57">
        <f>IF(AN318=12,J318,0)</f>
      </c>
      <c r="AL318" s="57">
        <f>IF(AN318=21,J318,0)</f>
      </c>
      <c r="AN318" s="57" t="n">
        <v>12</v>
      </c>
      <c r="AO318" s="57">
        <f>G318*0</f>
      </c>
      <c r="AP318" s="57">
        <f>G318*(1-0)</f>
      </c>
      <c r="AQ318" s="60" t="s">
        <v>89</v>
      </c>
      <c r="AV318" s="57">
        <f>ROUND(AW318+AX318,2)</f>
      </c>
      <c r="AW318" s="57">
        <f>ROUND(F318*AO318,2)</f>
      </c>
      <c r="AX318" s="57">
        <f>ROUND(F318*AP318,2)</f>
      </c>
      <c r="AY318" s="60" t="s">
        <v>367</v>
      </c>
      <c r="AZ318" s="60" t="s">
        <v>823</v>
      </c>
      <c r="BA318" s="33" t="s">
        <v>711</v>
      </c>
      <c r="BB318" s="61" t="n">
        <v>100108</v>
      </c>
      <c r="BC318" s="57">
        <f>AW318+AX318</f>
      </c>
      <c r="BD318" s="57">
        <f>G318/(100-BE318)*100</f>
      </c>
      <c r="BE318" s="57" t="n">
        <v>0</v>
      </c>
      <c r="BF318" s="57">
        <f>318</f>
      </c>
      <c r="BH318" s="57">
        <f>F318*AO318</f>
      </c>
      <c r="BI318" s="57">
        <f>F318*AP318</f>
      </c>
      <c r="BJ318" s="57">
        <f>F318*G318</f>
      </c>
      <c r="BK318" s="60" t="s">
        <v>66</v>
      </c>
      <c r="BL318" s="57" t="n">
        <v>764</v>
      </c>
      <c r="BW318" s="57" t="n">
        <v>12</v>
      </c>
      <c r="BX318" s="16" t="s">
        <v>838</v>
      </c>
    </row>
    <row r="319">
      <c r="A319" s="10" t="s">
        <v>839</v>
      </c>
      <c r="B319" s="11" t="s">
        <v>840</v>
      </c>
      <c r="C319" s="16" t="s">
        <v>841</v>
      </c>
      <c r="D319" s="11"/>
      <c r="E319" s="11" t="s">
        <v>126</v>
      </c>
      <c r="F319" s="57" t="n">
        <v>178.01</v>
      </c>
      <c r="G319" s="58" t="n">
        <v>0</v>
      </c>
      <c r="H319" s="57">
        <f>ROUND(F319*AO319,2)</f>
      </c>
      <c r="I319" s="57">
        <f>ROUND(F319*AP319,2)</f>
      </c>
      <c r="J319" s="57">
        <f>ROUND(F319*G319,2)</f>
      </c>
      <c r="K319" s="59" t="s">
        <v>62</v>
      </c>
      <c r="Z319" s="57">
        <f>ROUND(IF(AQ319="5",BJ319,0),2)</f>
      </c>
      <c r="AB319" s="57">
        <f>ROUND(IF(AQ319="1",BH319,0),2)</f>
      </c>
      <c r="AC319" s="57">
        <f>ROUND(IF(AQ319="1",BI319,0),2)</f>
      </c>
      <c r="AD319" s="57">
        <f>ROUND(IF(AQ319="7",BH319,0),2)</f>
      </c>
      <c r="AE319" s="57">
        <f>ROUND(IF(AQ319="7",BI319,0),2)</f>
      </c>
      <c r="AF319" s="57">
        <f>ROUND(IF(AQ319="2",BH319,0),2)</f>
      </c>
      <c r="AG319" s="57">
        <f>ROUND(IF(AQ319="2",BI319,0),2)</f>
      </c>
      <c r="AH319" s="57">
        <f>ROUND(IF(AQ319="0",BJ319,0),2)</f>
      </c>
      <c r="AI319" s="33" t="s">
        <v>707</v>
      </c>
      <c r="AJ319" s="57">
        <f>IF(AN319=0,J319,0)</f>
      </c>
      <c r="AK319" s="57">
        <f>IF(AN319=12,J319,0)</f>
      </c>
      <c r="AL319" s="57">
        <f>IF(AN319=21,J319,0)</f>
      </c>
      <c r="AN319" s="57" t="n">
        <v>12</v>
      </c>
      <c r="AO319" s="57">
        <f>G319*0</f>
      </c>
      <c r="AP319" s="57">
        <f>G319*(1-0)</f>
      </c>
      <c r="AQ319" s="60" t="s">
        <v>89</v>
      </c>
      <c r="AV319" s="57">
        <f>ROUND(AW319+AX319,2)</f>
      </c>
      <c r="AW319" s="57">
        <f>ROUND(F319*AO319,2)</f>
      </c>
      <c r="AX319" s="57">
        <f>ROUND(F319*AP319,2)</f>
      </c>
      <c r="AY319" s="60" t="s">
        <v>367</v>
      </c>
      <c r="AZ319" s="60" t="s">
        <v>823</v>
      </c>
      <c r="BA319" s="33" t="s">
        <v>711</v>
      </c>
      <c r="BB319" s="61" t="n">
        <v>100108</v>
      </c>
      <c r="BC319" s="57">
        <f>AW319+AX319</f>
      </c>
      <c r="BD319" s="57">
        <f>G319/(100-BE319)*100</f>
      </c>
      <c r="BE319" s="57" t="n">
        <v>0</v>
      </c>
      <c r="BF319" s="57">
        <f>319</f>
      </c>
      <c r="BH319" s="57">
        <f>F319*AO319</f>
      </c>
      <c r="BI319" s="57">
        <f>F319*AP319</f>
      </c>
      <c r="BJ319" s="57">
        <f>F319*G319</f>
      </c>
      <c r="BK319" s="60" t="s">
        <v>66</v>
      </c>
      <c r="BL319" s="57" t="n">
        <v>764</v>
      </c>
      <c r="BW319" s="57" t="n">
        <v>12</v>
      </c>
      <c r="BX319" s="16" t="s">
        <v>841</v>
      </c>
    </row>
    <row r="320">
      <c r="A320" s="10" t="s">
        <v>842</v>
      </c>
      <c r="B320" s="11" t="s">
        <v>843</v>
      </c>
      <c r="C320" s="16" t="s">
        <v>844</v>
      </c>
      <c r="D320" s="11"/>
      <c r="E320" s="11" t="s">
        <v>174</v>
      </c>
      <c r="F320" s="57" t="n">
        <v>9</v>
      </c>
      <c r="G320" s="58" t="n">
        <v>0</v>
      </c>
      <c r="H320" s="57">
        <f>ROUND(F320*AO320,2)</f>
      </c>
      <c r="I320" s="57">
        <f>ROUND(F320*AP320,2)</f>
      </c>
      <c r="J320" s="57">
        <f>ROUND(F320*G320,2)</f>
      </c>
      <c r="K320" s="59" t="s">
        <v>62</v>
      </c>
      <c r="Z320" s="57">
        <f>ROUND(IF(AQ320="5",BJ320,0),2)</f>
      </c>
      <c r="AB320" s="57">
        <f>ROUND(IF(AQ320="1",BH320,0),2)</f>
      </c>
      <c r="AC320" s="57">
        <f>ROUND(IF(AQ320="1",BI320,0),2)</f>
      </c>
      <c r="AD320" s="57">
        <f>ROUND(IF(AQ320="7",BH320,0),2)</f>
      </c>
      <c r="AE320" s="57">
        <f>ROUND(IF(AQ320="7",BI320,0),2)</f>
      </c>
      <c r="AF320" s="57">
        <f>ROUND(IF(AQ320="2",BH320,0),2)</f>
      </c>
      <c r="AG320" s="57">
        <f>ROUND(IF(AQ320="2",BI320,0),2)</f>
      </c>
      <c r="AH320" s="57">
        <f>ROUND(IF(AQ320="0",BJ320,0),2)</f>
      </c>
      <c r="AI320" s="33" t="s">
        <v>707</v>
      </c>
      <c r="AJ320" s="57">
        <f>IF(AN320=0,J320,0)</f>
      </c>
      <c r="AK320" s="57">
        <f>IF(AN320=12,J320,0)</f>
      </c>
      <c r="AL320" s="57">
        <f>IF(AN320=21,J320,0)</f>
      </c>
      <c r="AN320" s="57" t="n">
        <v>12</v>
      </c>
      <c r="AO320" s="57">
        <f>G320*0</f>
      </c>
      <c r="AP320" s="57">
        <f>G320*(1-0)</f>
      </c>
      <c r="AQ320" s="60" t="s">
        <v>89</v>
      </c>
      <c r="AV320" s="57">
        <f>ROUND(AW320+AX320,2)</f>
      </c>
      <c r="AW320" s="57">
        <f>ROUND(F320*AO320,2)</f>
      </c>
      <c r="AX320" s="57">
        <f>ROUND(F320*AP320,2)</f>
      </c>
      <c r="AY320" s="60" t="s">
        <v>367</v>
      </c>
      <c r="AZ320" s="60" t="s">
        <v>823</v>
      </c>
      <c r="BA320" s="33" t="s">
        <v>711</v>
      </c>
      <c r="BB320" s="61" t="n">
        <v>100108</v>
      </c>
      <c r="BC320" s="57">
        <f>AW320+AX320</f>
      </c>
      <c r="BD320" s="57">
        <f>G320/(100-BE320)*100</f>
      </c>
      <c r="BE320" s="57" t="n">
        <v>0</v>
      </c>
      <c r="BF320" s="57">
        <f>320</f>
      </c>
      <c r="BH320" s="57">
        <f>F320*AO320</f>
      </c>
      <c r="BI320" s="57">
        <f>F320*AP320</f>
      </c>
      <c r="BJ320" s="57">
        <f>F320*G320</f>
      </c>
      <c r="BK320" s="60" t="s">
        <v>66</v>
      </c>
      <c r="BL320" s="57" t="n">
        <v>764</v>
      </c>
      <c r="BW320" s="57" t="n">
        <v>12</v>
      </c>
      <c r="BX320" s="16" t="s">
        <v>844</v>
      </c>
    </row>
    <row r="321">
      <c r="A321" s="10" t="s">
        <v>845</v>
      </c>
      <c r="B321" s="11" t="s">
        <v>846</v>
      </c>
      <c r="C321" s="16" t="s">
        <v>847</v>
      </c>
      <c r="D321" s="11"/>
      <c r="E321" s="11" t="s">
        <v>174</v>
      </c>
      <c r="F321" s="57" t="n">
        <v>16</v>
      </c>
      <c r="G321" s="58" t="n">
        <v>0</v>
      </c>
      <c r="H321" s="57">
        <f>ROUND(F321*AO321,2)</f>
      </c>
      <c r="I321" s="57">
        <f>ROUND(F321*AP321,2)</f>
      </c>
      <c r="J321" s="57">
        <f>ROUND(F321*G321,2)</f>
      </c>
      <c r="K321" s="59" t="s">
        <v>62</v>
      </c>
      <c r="Z321" s="57">
        <f>ROUND(IF(AQ321="5",BJ321,0),2)</f>
      </c>
      <c r="AB321" s="57">
        <f>ROUND(IF(AQ321="1",BH321,0),2)</f>
      </c>
      <c r="AC321" s="57">
        <f>ROUND(IF(AQ321="1",BI321,0),2)</f>
      </c>
      <c r="AD321" s="57">
        <f>ROUND(IF(AQ321="7",BH321,0),2)</f>
      </c>
      <c r="AE321" s="57">
        <f>ROUND(IF(AQ321="7",BI321,0),2)</f>
      </c>
      <c r="AF321" s="57">
        <f>ROUND(IF(AQ321="2",BH321,0),2)</f>
      </c>
      <c r="AG321" s="57">
        <f>ROUND(IF(AQ321="2",BI321,0),2)</f>
      </c>
      <c r="AH321" s="57">
        <f>ROUND(IF(AQ321="0",BJ321,0),2)</f>
      </c>
      <c r="AI321" s="33" t="s">
        <v>707</v>
      </c>
      <c r="AJ321" s="57">
        <f>IF(AN321=0,J321,0)</f>
      </c>
      <c r="AK321" s="57">
        <f>IF(AN321=12,J321,0)</f>
      </c>
      <c r="AL321" s="57">
        <f>IF(AN321=21,J321,0)</f>
      </c>
      <c r="AN321" s="57" t="n">
        <v>12</v>
      </c>
      <c r="AO321" s="57">
        <f>G321*0</f>
      </c>
      <c r="AP321" s="57">
        <f>G321*(1-0)</f>
      </c>
      <c r="AQ321" s="60" t="s">
        <v>89</v>
      </c>
      <c r="AV321" s="57">
        <f>ROUND(AW321+AX321,2)</f>
      </c>
      <c r="AW321" s="57">
        <f>ROUND(F321*AO321,2)</f>
      </c>
      <c r="AX321" s="57">
        <f>ROUND(F321*AP321,2)</f>
      </c>
      <c r="AY321" s="60" t="s">
        <v>367</v>
      </c>
      <c r="AZ321" s="60" t="s">
        <v>823</v>
      </c>
      <c r="BA321" s="33" t="s">
        <v>711</v>
      </c>
      <c r="BB321" s="61" t="n">
        <v>100108</v>
      </c>
      <c r="BC321" s="57">
        <f>AW321+AX321</f>
      </c>
      <c r="BD321" s="57">
        <f>G321/(100-BE321)*100</f>
      </c>
      <c r="BE321" s="57" t="n">
        <v>0</v>
      </c>
      <c r="BF321" s="57">
        <f>321</f>
      </c>
      <c r="BH321" s="57">
        <f>F321*AO321</f>
      </c>
      <c r="BI321" s="57">
        <f>F321*AP321</f>
      </c>
      <c r="BJ321" s="57">
        <f>F321*G321</f>
      </c>
      <c r="BK321" s="60" t="s">
        <v>66</v>
      </c>
      <c r="BL321" s="57" t="n">
        <v>764</v>
      </c>
      <c r="BW321" s="57" t="n">
        <v>12</v>
      </c>
      <c r="BX321" s="16" t="s">
        <v>847</v>
      </c>
    </row>
    <row r="322">
      <c r="A322" s="10" t="s">
        <v>848</v>
      </c>
      <c r="B322" s="11" t="s">
        <v>849</v>
      </c>
      <c r="C322" s="16" t="s">
        <v>850</v>
      </c>
      <c r="D322" s="11"/>
      <c r="E322" s="11" t="s">
        <v>126</v>
      </c>
      <c r="F322" s="57" t="n">
        <v>19.1</v>
      </c>
      <c r="G322" s="58" t="n">
        <v>0</v>
      </c>
      <c r="H322" s="57">
        <f>ROUND(F322*AO322,2)</f>
      </c>
      <c r="I322" s="57">
        <f>ROUND(F322*AP322,2)</f>
      </c>
      <c r="J322" s="57">
        <f>ROUND(F322*G322,2)</f>
      </c>
      <c r="K322" s="59" t="s">
        <v>62</v>
      </c>
      <c r="Z322" s="57">
        <f>ROUND(IF(AQ322="5",BJ322,0),2)</f>
      </c>
      <c r="AB322" s="57">
        <f>ROUND(IF(AQ322="1",BH322,0),2)</f>
      </c>
      <c r="AC322" s="57">
        <f>ROUND(IF(AQ322="1",BI322,0),2)</f>
      </c>
      <c r="AD322" s="57">
        <f>ROUND(IF(AQ322="7",BH322,0),2)</f>
      </c>
      <c r="AE322" s="57">
        <f>ROUND(IF(AQ322="7",BI322,0),2)</f>
      </c>
      <c r="AF322" s="57">
        <f>ROUND(IF(AQ322="2",BH322,0),2)</f>
      </c>
      <c r="AG322" s="57">
        <f>ROUND(IF(AQ322="2",BI322,0),2)</f>
      </c>
      <c r="AH322" s="57">
        <f>ROUND(IF(AQ322="0",BJ322,0),2)</f>
      </c>
      <c r="AI322" s="33" t="s">
        <v>707</v>
      </c>
      <c r="AJ322" s="57">
        <f>IF(AN322=0,J322,0)</f>
      </c>
      <c r="AK322" s="57">
        <f>IF(AN322=12,J322,0)</f>
      </c>
      <c r="AL322" s="57">
        <f>IF(AN322=21,J322,0)</f>
      </c>
      <c r="AN322" s="57" t="n">
        <v>12</v>
      </c>
      <c r="AO322" s="57">
        <f>G322*0</f>
      </c>
      <c r="AP322" s="57">
        <f>G322*(1-0)</f>
      </c>
      <c r="AQ322" s="60" t="s">
        <v>89</v>
      </c>
      <c r="AV322" s="57">
        <f>ROUND(AW322+AX322,2)</f>
      </c>
      <c r="AW322" s="57">
        <f>ROUND(F322*AO322,2)</f>
      </c>
      <c r="AX322" s="57">
        <f>ROUND(F322*AP322,2)</f>
      </c>
      <c r="AY322" s="60" t="s">
        <v>367</v>
      </c>
      <c r="AZ322" s="60" t="s">
        <v>823</v>
      </c>
      <c r="BA322" s="33" t="s">
        <v>711</v>
      </c>
      <c r="BB322" s="61" t="n">
        <v>100108</v>
      </c>
      <c r="BC322" s="57">
        <f>AW322+AX322</f>
      </c>
      <c r="BD322" s="57">
        <f>G322/(100-BE322)*100</f>
      </c>
      <c r="BE322" s="57" t="n">
        <v>0</v>
      </c>
      <c r="BF322" s="57">
        <f>322</f>
      </c>
      <c r="BH322" s="57">
        <f>F322*AO322</f>
      </c>
      <c r="BI322" s="57">
        <f>F322*AP322</f>
      </c>
      <c r="BJ322" s="57">
        <f>F322*G322</f>
      </c>
      <c r="BK322" s="60" t="s">
        <v>66</v>
      </c>
      <c r="BL322" s="57" t="n">
        <v>764</v>
      </c>
      <c r="BW322" s="57" t="n">
        <v>12</v>
      </c>
      <c r="BX322" s="16" t="s">
        <v>850</v>
      </c>
    </row>
    <row r="323">
      <c r="A323" s="10" t="s">
        <v>851</v>
      </c>
      <c r="B323" s="11" t="s">
        <v>852</v>
      </c>
      <c r="C323" s="16" t="s">
        <v>853</v>
      </c>
      <c r="D323" s="11"/>
      <c r="E323" s="11" t="s">
        <v>126</v>
      </c>
      <c r="F323" s="57" t="n">
        <v>107.4</v>
      </c>
      <c r="G323" s="58" t="n">
        <v>0</v>
      </c>
      <c r="H323" s="57">
        <f>ROUND(F323*AO323,2)</f>
      </c>
      <c r="I323" s="57">
        <f>ROUND(F323*AP323,2)</f>
      </c>
      <c r="J323" s="57">
        <f>ROUND(F323*G323,2)</f>
      </c>
      <c r="K323" s="59" t="s">
        <v>62</v>
      </c>
      <c r="Z323" s="57">
        <f>ROUND(IF(AQ323="5",BJ323,0),2)</f>
      </c>
      <c r="AB323" s="57">
        <f>ROUND(IF(AQ323="1",BH323,0),2)</f>
      </c>
      <c r="AC323" s="57">
        <f>ROUND(IF(AQ323="1",BI323,0),2)</f>
      </c>
      <c r="AD323" s="57">
        <f>ROUND(IF(AQ323="7",BH323,0),2)</f>
      </c>
      <c r="AE323" s="57">
        <f>ROUND(IF(AQ323="7",BI323,0),2)</f>
      </c>
      <c r="AF323" s="57">
        <f>ROUND(IF(AQ323="2",BH323,0),2)</f>
      </c>
      <c r="AG323" s="57">
        <f>ROUND(IF(AQ323="2",BI323,0),2)</f>
      </c>
      <c r="AH323" s="57">
        <f>ROUND(IF(AQ323="0",BJ323,0),2)</f>
      </c>
      <c r="AI323" s="33" t="s">
        <v>707</v>
      </c>
      <c r="AJ323" s="57">
        <f>IF(AN323=0,J323,0)</f>
      </c>
      <c r="AK323" s="57">
        <f>IF(AN323=12,J323,0)</f>
      </c>
      <c r="AL323" s="57">
        <f>IF(AN323=21,J323,0)</f>
      </c>
      <c r="AN323" s="57" t="n">
        <v>12</v>
      </c>
      <c r="AO323" s="57">
        <f>G323*0</f>
      </c>
      <c r="AP323" s="57">
        <f>G323*(1-0)</f>
      </c>
      <c r="AQ323" s="60" t="s">
        <v>89</v>
      </c>
      <c r="AV323" s="57">
        <f>ROUND(AW323+AX323,2)</f>
      </c>
      <c r="AW323" s="57">
        <f>ROUND(F323*AO323,2)</f>
      </c>
      <c r="AX323" s="57">
        <f>ROUND(F323*AP323,2)</f>
      </c>
      <c r="AY323" s="60" t="s">
        <v>367</v>
      </c>
      <c r="AZ323" s="60" t="s">
        <v>823</v>
      </c>
      <c r="BA323" s="33" t="s">
        <v>711</v>
      </c>
      <c r="BB323" s="61" t="n">
        <v>100108</v>
      </c>
      <c r="BC323" s="57">
        <f>AW323+AX323</f>
      </c>
      <c r="BD323" s="57">
        <f>G323/(100-BE323)*100</f>
      </c>
      <c r="BE323" s="57" t="n">
        <v>0</v>
      </c>
      <c r="BF323" s="57">
        <f>323</f>
      </c>
      <c r="BH323" s="57">
        <f>F323*AO323</f>
      </c>
      <c r="BI323" s="57">
        <f>F323*AP323</f>
      </c>
      <c r="BJ323" s="57">
        <f>F323*G323</f>
      </c>
      <c r="BK323" s="60" t="s">
        <v>66</v>
      </c>
      <c r="BL323" s="57" t="n">
        <v>764</v>
      </c>
      <c r="BW323" s="57" t="n">
        <v>12</v>
      </c>
      <c r="BX323" s="16" t="s">
        <v>853</v>
      </c>
    </row>
    <row r="324">
      <c r="A324" s="10" t="s">
        <v>854</v>
      </c>
      <c r="B324" s="11" t="s">
        <v>855</v>
      </c>
      <c r="C324" s="16" t="s">
        <v>856</v>
      </c>
      <c r="D324" s="11"/>
      <c r="E324" s="11" t="s">
        <v>126</v>
      </c>
      <c r="F324" s="57" t="n">
        <v>79.5</v>
      </c>
      <c r="G324" s="58" t="n">
        <v>0</v>
      </c>
      <c r="H324" s="57">
        <f>ROUND(F324*AO324,2)</f>
      </c>
      <c r="I324" s="57">
        <f>ROUND(F324*AP324,2)</f>
      </c>
      <c r="J324" s="57">
        <f>ROUND(F324*G324,2)</f>
      </c>
      <c r="K324" s="59" t="s">
        <v>62</v>
      </c>
      <c r="Z324" s="57">
        <f>ROUND(IF(AQ324="5",BJ324,0),2)</f>
      </c>
      <c r="AB324" s="57">
        <f>ROUND(IF(AQ324="1",BH324,0),2)</f>
      </c>
      <c r="AC324" s="57">
        <f>ROUND(IF(AQ324="1",BI324,0),2)</f>
      </c>
      <c r="AD324" s="57">
        <f>ROUND(IF(AQ324="7",BH324,0),2)</f>
      </c>
      <c r="AE324" s="57">
        <f>ROUND(IF(AQ324="7",BI324,0),2)</f>
      </c>
      <c r="AF324" s="57">
        <f>ROUND(IF(AQ324="2",BH324,0),2)</f>
      </c>
      <c r="AG324" s="57">
        <f>ROUND(IF(AQ324="2",BI324,0),2)</f>
      </c>
      <c r="AH324" s="57">
        <f>ROUND(IF(AQ324="0",BJ324,0),2)</f>
      </c>
      <c r="AI324" s="33" t="s">
        <v>707</v>
      </c>
      <c r="AJ324" s="57">
        <f>IF(AN324=0,J324,0)</f>
      </c>
      <c r="AK324" s="57">
        <f>IF(AN324=12,J324,0)</f>
      </c>
      <c r="AL324" s="57">
        <f>IF(AN324=21,J324,0)</f>
      </c>
      <c r="AN324" s="57" t="n">
        <v>12</v>
      </c>
      <c r="AO324" s="57">
        <f>G324*0</f>
      </c>
      <c r="AP324" s="57">
        <f>G324*(1-0)</f>
      </c>
      <c r="AQ324" s="60" t="s">
        <v>89</v>
      </c>
      <c r="AV324" s="57">
        <f>ROUND(AW324+AX324,2)</f>
      </c>
      <c r="AW324" s="57">
        <f>ROUND(F324*AO324,2)</f>
      </c>
      <c r="AX324" s="57">
        <f>ROUND(F324*AP324,2)</f>
      </c>
      <c r="AY324" s="60" t="s">
        <v>367</v>
      </c>
      <c r="AZ324" s="60" t="s">
        <v>823</v>
      </c>
      <c r="BA324" s="33" t="s">
        <v>711</v>
      </c>
      <c r="BB324" s="61" t="n">
        <v>100108</v>
      </c>
      <c r="BC324" s="57">
        <f>AW324+AX324</f>
      </c>
      <c r="BD324" s="57">
        <f>G324/(100-BE324)*100</f>
      </c>
      <c r="BE324" s="57" t="n">
        <v>0</v>
      </c>
      <c r="BF324" s="57">
        <f>324</f>
      </c>
      <c r="BH324" s="57">
        <f>F324*AO324</f>
      </c>
      <c r="BI324" s="57">
        <f>F324*AP324</f>
      </c>
      <c r="BJ324" s="57">
        <f>F324*G324</f>
      </c>
      <c r="BK324" s="60" t="s">
        <v>66</v>
      </c>
      <c r="BL324" s="57" t="n">
        <v>764</v>
      </c>
      <c r="BW324" s="57" t="n">
        <v>12</v>
      </c>
      <c r="BX324" s="16" t="s">
        <v>856</v>
      </c>
    </row>
    <row r="325">
      <c r="A325" s="10" t="s">
        <v>857</v>
      </c>
      <c r="B325" s="11" t="s">
        <v>858</v>
      </c>
      <c r="C325" s="16" t="s">
        <v>859</v>
      </c>
      <c r="D325" s="11"/>
      <c r="E325" s="11" t="s">
        <v>126</v>
      </c>
      <c r="F325" s="57" t="n">
        <v>54.5</v>
      </c>
      <c r="G325" s="58" t="n">
        <v>0</v>
      </c>
      <c r="H325" s="57">
        <f>ROUND(F325*AO325,2)</f>
      </c>
      <c r="I325" s="57">
        <f>ROUND(F325*AP325,2)</f>
      </c>
      <c r="J325" s="57">
        <f>ROUND(F325*G325,2)</f>
      </c>
      <c r="K325" s="59" t="s">
        <v>62</v>
      </c>
      <c r="Z325" s="57">
        <f>ROUND(IF(AQ325="5",BJ325,0),2)</f>
      </c>
      <c r="AB325" s="57">
        <f>ROUND(IF(AQ325="1",BH325,0),2)</f>
      </c>
      <c r="AC325" s="57">
        <f>ROUND(IF(AQ325="1",BI325,0),2)</f>
      </c>
      <c r="AD325" s="57">
        <f>ROUND(IF(AQ325="7",BH325,0),2)</f>
      </c>
      <c r="AE325" s="57">
        <f>ROUND(IF(AQ325="7",BI325,0),2)</f>
      </c>
      <c r="AF325" s="57">
        <f>ROUND(IF(AQ325="2",BH325,0),2)</f>
      </c>
      <c r="AG325" s="57">
        <f>ROUND(IF(AQ325="2",BI325,0),2)</f>
      </c>
      <c r="AH325" s="57">
        <f>ROUND(IF(AQ325="0",BJ325,0),2)</f>
      </c>
      <c r="AI325" s="33" t="s">
        <v>707</v>
      </c>
      <c r="AJ325" s="57">
        <f>IF(AN325=0,J325,0)</f>
      </c>
      <c r="AK325" s="57">
        <f>IF(AN325=12,J325,0)</f>
      </c>
      <c r="AL325" s="57">
        <f>IF(AN325=21,J325,0)</f>
      </c>
      <c r="AN325" s="57" t="n">
        <v>12</v>
      </c>
      <c r="AO325" s="57">
        <f>G325*0</f>
      </c>
      <c r="AP325" s="57">
        <f>G325*(1-0)</f>
      </c>
      <c r="AQ325" s="60" t="s">
        <v>89</v>
      </c>
      <c r="AV325" s="57">
        <f>ROUND(AW325+AX325,2)</f>
      </c>
      <c r="AW325" s="57">
        <f>ROUND(F325*AO325,2)</f>
      </c>
      <c r="AX325" s="57">
        <f>ROUND(F325*AP325,2)</f>
      </c>
      <c r="AY325" s="60" t="s">
        <v>367</v>
      </c>
      <c r="AZ325" s="60" t="s">
        <v>823</v>
      </c>
      <c r="BA325" s="33" t="s">
        <v>711</v>
      </c>
      <c r="BB325" s="61" t="n">
        <v>100108</v>
      </c>
      <c r="BC325" s="57">
        <f>AW325+AX325</f>
      </c>
      <c r="BD325" s="57">
        <f>G325/(100-BE325)*100</f>
      </c>
      <c r="BE325" s="57" t="n">
        <v>0</v>
      </c>
      <c r="BF325" s="57">
        <f>325</f>
      </c>
      <c r="BH325" s="57">
        <f>F325*AO325</f>
      </c>
      <c r="BI325" s="57">
        <f>F325*AP325</f>
      </c>
      <c r="BJ325" s="57">
        <f>F325*G325</f>
      </c>
      <c r="BK325" s="60" t="s">
        <v>66</v>
      </c>
      <c r="BL325" s="57" t="n">
        <v>764</v>
      </c>
      <c r="BW325" s="57" t="n">
        <v>12</v>
      </c>
      <c r="BX325" s="16" t="s">
        <v>859</v>
      </c>
    </row>
    <row r="326">
      <c r="A326" s="10" t="s">
        <v>860</v>
      </c>
      <c r="B326" s="11" t="s">
        <v>861</v>
      </c>
      <c r="C326" s="16" t="s">
        <v>862</v>
      </c>
      <c r="D326" s="11"/>
      <c r="E326" s="11" t="s">
        <v>61</v>
      </c>
      <c r="F326" s="57" t="n">
        <v>1546.56071</v>
      </c>
      <c r="G326" s="58" t="n">
        <v>0</v>
      </c>
      <c r="H326" s="57">
        <f>ROUND(F326*AO326,2)</f>
      </c>
      <c r="I326" s="57">
        <f>ROUND(F326*AP326,2)</f>
      </c>
      <c r="J326" s="57">
        <f>ROUND(F326*G326,2)</f>
      </c>
      <c r="K326" s="59" t="s">
        <v>62</v>
      </c>
      <c r="Z326" s="57">
        <f>ROUND(IF(AQ326="5",BJ326,0),2)</f>
      </c>
      <c r="AB326" s="57">
        <f>ROUND(IF(AQ326="1",BH326,0),2)</f>
      </c>
      <c r="AC326" s="57">
        <f>ROUND(IF(AQ326="1",BI326,0),2)</f>
      </c>
      <c r="AD326" s="57">
        <f>ROUND(IF(AQ326="7",BH326,0),2)</f>
      </c>
      <c r="AE326" s="57">
        <f>ROUND(IF(AQ326="7",BI326,0),2)</f>
      </c>
      <c r="AF326" s="57">
        <f>ROUND(IF(AQ326="2",BH326,0),2)</f>
      </c>
      <c r="AG326" s="57">
        <f>ROUND(IF(AQ326="2",BI326,0),2)</f>
      </c>
      <c r="AH326" s="57">
        <f>ROUND(IF(AQ326="0",BJ326,0),2)</f>
      </c>
      <c r="AI326" s="33" t="s">
        <v>707</v>
      </c>
      <c r="AJ326" s="57">
        <f>IF(AN326=0,J326,0)</f>
      </c>
      <c r="AK326" s="57">
        <f>IF(AN326=12,J326,0)</f>
      </c>
      <c r="AL326" s="57">
        <f>IF(AN326=21,J326,0)</f>
      </c>
      <c r="AN326" s="57" t="n">
        <v>12</v>
      </c>
      <c r="AO326" s="57">
        <f>G326*0</f>
      </c>
      <c r="AP326" s="57">
        <f>G326*(1-0)</f>
      </c>
      <c r="AQ326" s="60" t="s">
        <v>89</v>
      </c>
      <c r="AV326" s="57">
        <f>ROUND(AW326+AX326,2)</f>
      </c>
      <c r="AW326" s="57">
        <f>ROUND(F326*AO326,2)</f>
      </c>
      <c r="AX326" s="57">
        <f>ROUND(F326*AP326,2)</f>
      </c>
      <c r="AY326" s="60" t="s">
        <v>367</v>
      </c>
      <c r="AZ326" s="60" t="s">
        <v>823</v>
      </c>
      <c r="BA326" s="33" t="s">
        <v>711</v>
      </c>
      <c r="BB326" s="61" t="n">
        <v>100108</v>
      </c>
      <c r="BC326" s="57">
        <f>AW326+AX326</f>
      </c>
      <c r="BD326" s="57">
        <f>G326/(100-BE326)*100</f>
      </c>
      <c r="BE326" s="57" t="n">
        <v>0</v>
      </c>
      <c r="BF326" s="57">
        <f>326</f>
      </c>
      <c r="BH326" s="57">
        <f>F326*AO326</f>
      </c>
      <c r="BI326" s="57">
        <f>F326*AP326</f>
      </c>
      <c r="BJ326" s="57">
        <f>F326*G326</f>
      </c>
      <c r="BK326" s="60" t="s">
        <v>66</v>
      </c>
      <c r="BL326" s="57" t="n">
        <v>764</v>
      </c>
      <c r="BW326" s="57" t="n">
        <v>12</v>
      </c>
      <c r="BX326" s="16" t="s">
        <v>862</v>
      </c>
    </row>
    <row r="327" ht="24.75">
      <c r="A327" s="10" t="s">
        <v>863</v>
      </c>
      <c r="B327" s="11" t="s">
        <v>864</v>
      </c>
      <c r="C327" s="16" t="s">
        <v>865</v>
      </c>
      <c r="D327" s="11"/>
      <c r="E327" s="11" t="s">
        <v>61</v>
      </c>
      <c r="F327" s="57" t="n">
        <v>1778.54482</v>
      </c>
      <c r="G327" s="58" t="n">
        <v>0</v>
      </c>
      <c r="H327" s="57">
        <f>ROUND(F327*AO327,2)</f>
      </c>
      <c r="I327" s="57">
        <f>ROUND(F327*AP327,2)</f>
      </c>
      <c r="J327" s="57">
        <f>ROUND(F327*G327,2)</f>
      </c>
      <c r="K327" s="59" t="s">
        <v>62</v>
      </c>
      <c r="Z327" s="57">
        <f>ROUND(IF(AQ327="5",BJ327,0),2)</f>
      </c>
      <c r="AB327" s="57">
        <f>ROUND(IF(AQ327="1",BH327,0),2)</f>
      </c>
      <c r="AC327" s="57">
        <f>ROUND(IF(AQ327="1",BI327,0),2)</f>
      </c>
      <c r="AD327" s="57">
        <f>ROUND(IF(AQ327="7",BH327,0),2)</f>
      </c>
      <c r="AE327" s="57">
        <f>ROUND(IF(AQ327="7",BI327,0),2)</f>
      </c>
      <c r="AF327" s="57">
        <f>ROUND(IF(AQ327="2",BH327,0),2)</f>
      </c>
      <c r="AG327" s="57">
        <f>ROUND(IF(AQ327="2",BI327,0),2)</f>
      </c>
      <c r="AH327" s="57">
        <f>ROUND(IF(AQ327="0",BJ327,0),2)</f>
      </c>
      <c r="AI327" s="33" t="s">
        <v>707</v>
      </c>
      <c r="AJ327" s="57">
        <f>IF(AN327=0,J327,0)</f>
      </c>
      <c r="AK327" s="57">
        <f>IF(AN327=12,J327,0)</f>
      </c>
      <c r="AL327" s="57">
        <f>IF(AN327=21,J327,0)</f>
      </c>
      <c r="AN327" s="57" t="n">
        <v>12</v>
      </c>
      <c r="AO327" s="57">
        <f>G327*1</f>
      </c>
      <c r="AP327" s="57">
        <f>G327*(1-1)</f>
      </c>
      <c r="AQ327" s="60" t="s">
        <v>89</v>
      </c>
      <c r="AV327" s="57">
        <f>ROUND(AW327+AX327,2)</f>
      </c>
      <c r="AW327" s="57">
        <f>ROUND(F327*AO327,2)</f>
      </c>
      <c r="AX327" s="57">
        <f>ROUND(F327*AP327,2)</f>
      </c>
      <c r="AY327" s="60" t="s">
        <v>367</v>
      </c>
      <c r="AZ327" s="60" t="s">
        <v>823</v>
      </c>
      <c r="BA327" s="33" t="s">
        <v>711</v>
      </c>
      <c r="BC327" s="57">
        <f>AW327+AX327</f>
      </c>
      <c r="BD327" s="57">
        <f>G327/(100-BE327)*100</f>
      </c>
      <c r="BE327" s="57" t="n">
        <v>0</v>
      </c>
      <c r="BF327" s="57">
        <f>327</f>
      </c>
      <c r="BH327" s="57">
        <f>F327*AO327</f>
      </c>
      <c r="BI327" s="57">
        <f>F327*AP327</f>
      </c>
      <c r="BJ327" s="57">
        <f>F327*G327</f>
      </c>
      <c r="BK327" s="60" t="s">
        <v>98</v>
      </c>
      <c r="BL327" s="57" t="n">
        <v>764</v>
      </c>
      <c r="BW327" s="57" t="n">
        <v>12</v>
      </c>
      <c r="BX327" s="16" t="s">
        <v>865</v>
      </c>
    </row>
    <row r="328">
      <c r="A328" s="10" t="s">
        <v>866</v>
      </c>
      <c r="B328" s="11" t="s">
        <v>867</v>
      </c>
      <c r="C328" s="16" t="s">
        <v>868</v>
      </c>
      <c r="D328" s="11"/>
      <c r="E328" s="11" t="s">
        <v>126</v>
      </c>
      <c r="F328" s="57" t="n">
        <v>177.41</v>
      </c>
      <c r="G328" s="58" t="n">
        <v>0</v>
      </c>
      <c r="H328" s="57">
        <f>ROUND(F328*AO328,2)</f>
      </c>
      <c r="I328" s="57">
        <f>ROUND(F328*AP328,2)</f>
      </c>
      <c r="J328" s="57">
        <f>ROUND(F328*G328,2)</f>
      </c>
      <c r="K328" s="59" t="s">
        <v>62</v>
      </c>
      <c r="Z328" s="57">
        <f>ROUND(IF(AQ328="5",BJ328,0),2)</f>
      </c>
      <c r="AB328" s="57">
        <f>ROUND(IF(AQ328="1",BH328,0),2)</f>
      </c>
      <c r="AC328" s="57">
        <f>ROUND(IF(AQ328="1",BI328,0),2)</f>
      </c>
      <c r="AD328" s="57">
        <f>ROUND(IF(AQ328="7",BH328,0),2)</f>
      </c>
      <c r="AE328" s="57">
        <f>ROUND(IF(AQ328="7",BI328,0),2)</f>
      </c>
      <c r="AF328" s="57">
        <f>ROUND(IF(AQ328="2",BH328,0),2)</f>
      </c>
      <c r="AG328" s="57">
        <f>ROUND(IF(AQ328="2",BI328,0),2)</f>
      </c>
      <c r="AH328" s="57">
        <f>ROUND(IF(AQ328="0",BJ328,0),2)</f>
      </c>
      <c r="AI328" s="33" t="s">
        <v>707</v>
      </c>
      <c r="AJ328" s="57">
        <f>IF(AN328=0,J328,0)</f>
      </c>
      <c r="AK328" s="57">
        <f>IF(AN328=12,J328,0)</f>
      </c>
      <c r="AL328" s="57">
        <f>IF(AN328=21,J328,0)</f>
      </c>
      <c r="AN328" s="57" t="n">
        <v>12</v>
      </c>
      <c r="AO328" s="57">
        <f>G328*1</f>
      </c>
      <c r="AP328" s="57">
        <f>G328*(1-1)</f>
      </c>
      <c r="AQ328" s="60" t="s">
        <v>89</v>
      </c>
      <c r="AV328" s="57">
        <f>ROUND(AW328+AX328,2)</f>
      </c>
      <c r="AW328" s="57">
        <f>ROUND(F328*AO328,2)</f>
      </c>
      <c r="AX328" s="57">
        <f>ROUND(F328*AP328,2)</f>
      </c>
      <c r="AY328" s="60" t="s">
        <v>367</v>
      </c>
      <c r="AZ328" s="60" t="s">
        <v>823</v>
      </c>
      <c r="BA328" s="33" t="s">
        <v>711</v>
      </c>
      <c r="BC328" s="57">
        <f>AW328+AX328</f>
      </c>
      <c r="BD328" s="57">
        <f>G328/(100-BE328)*100</f>
      </c>
      <c r="BE328" s="57" t="n">
        <v>0</v>
      </c>
      <c r="BF328" s="57">
        <f>328</f>
      </c>
      <c r="BH328" s="57">
        <f>F328*AO328</f>
      </c>
      <c r="BI328" s="57">
        <f>F328*AP328</f>
      </c>
      <c r="BJ328" s="57">
        <f>F328*G328</f>
      </c>
      <c r="BK328" s="60" t="s">
        <v>98</v>
      </c>
      <c r="BL328" s="57" t="n">
        <v>764</v>
      </c>
      <c r="BW328" s="57" t="n">
        <v>12</v>
      </c>
      <c r="BX328" s="16" t="s">
        <v>868</v>
      </c>
    </row>
    <row r="329">
      <c r="A329" s="10" t="s">
        <v>869</v>
      </c>
      <c r="B329" s="11" t="s">
        <v>870</v>
      </c>
      <c r="C329" s="16" t="s">
        <v>871</v>
      </c>
      <c r="D329" s="11"/>
      <c r="E329" s="11" t="s">
        <v>61</v>
      </c>
      <c r="F329" s="57" t="n">
        <v>48.9126</v>
      </c>
      <c r="G329" s="58" t="n">
        <v>0</v>
      </c>
      <c r="H329" s="57">
        <f>ROUND(F329*AO329,2)</f>
      </c>
      <c r="I329" s="57">
        <f>ROUND(F329*AP329,2)</f>
      </c>
      <c r="J329" s="57">
        <f>ROUND(F329*G329,2)</f>
      </c>
      <c r="K329" s="59" t="s">
        <v>62</v>
      </c>
      <c r="Z329" s="57">
        <f>ROUND(IF(AQ329="5",BJ329,0),2)</f>
      </c>
      <c r="AB329" s="57">
        <f>ROUND(IF(AQ329="1",BH329,0),2)</f>
      </c>
      <c r="AC329" s="57">
        <f>ROUND(IF(AQ329="1",BI329,0),2)</f>
      </c>
      <c r="AD329" s="57">
        <f>ROUND(IF(AQ329="7",BH329,0),2)</f>
      </c>
      <c r="AE329" s="57">
        <f>ROUND(IF(AQ329="7",BI329,0),2)</f>
      </c>
      <c r="AF329" s="57">
        <f>ROUND(IF(AQ329="2",BH329,0),2)</f>
      </c>
      <c r="AG329" s="57">
        <f>ROUND(IF(AQ329="2",BI329,0),2)</f>
      </c>
      <c r="AH329" s="57">
        <f>ROUND(IF(AQ329="0",BJ329,0),2)</f>
      </c>
      <c r="AI329" s="33" t="s">
        <v>707</v>
      </c>
      <c r="AJ329" s="57">
        <f>IF(AN329=0,J329,0)</f>
      </c>
      <c r="AK329" s="57">
        <f>IF(AN329=12,J329,0)</f>
      </c>
      <c r="AL329" s="57">
        <f>IF(AN329=21,J329,0)</f>
      </c>
      <c r="AN329" s="57" t="n">
        <v>12</v>
      </c>
      <c r="AO329" s="57">
        <f>G329*0.260581945</f>
      </c>
      <c r="AP329" s="57">
        <f>G329*(1-0.260581945)</f>
      </c>
      <c r="AQ329" s="60" t="s">
        <v>89</v>
      </c>
      <c r="AV329" s="57">
        <f>ROUND(AW329+AX329,2)</f>
      </c>
      <c r="AW329" s="57">
        <f>ROUND(F329*AO329,2)</f>
      </c>
      <c r="AX329" s="57">
        <f>ROUND(F329*AP329,2)</f>
      </c>
      <c r="AY329" s="60" t="s">
        <v>367</v>
      </c>
      <c r="AZ329" s="60" t="s">
        <v>823</v>
      </c>
      <c r="BA329" s="33" t="s">
        <v>711</v>
      </c>
      <c r="BB329" s="61" t="n">
        <v>100108</v>
      </c>
      <c r="BC329" s="57">
        <f>AW329+AX329</f>
      </c>
      <c r="BD329" s="57">
        <f>G329/(100-BE329)*100</f>
      </c>
      <c r="BE329" s="57" t="n">
        <v>0</v>
      </c>
      <c r="BF329" s="57">
        <f>329</f>
      </c>
      <c r="BH329" s="57">
        <f>F329*AO329</f>
      </c>
      <c r="BI329" s="57">
        <f>F329*AP329</f>
      </c>
      <c r="BJ329" s="57">
        <f>F329*G329</f>
      </c>
      <c r="BK329" s="60" t="s">
        <v>66</v>
      </c>
      <c r="BL329" s="57" t="n">
        <v>764</v>
      </c>
      <c r="BW329" s="57" t="n">
        <v>12</v>
      </c>
      <c r="BX329" s="16" t="s">
        <v>871</v>
      </c>
    </row>
    <row r="330">
      <c r="A330" s="10" t="s">
        <v>872</v>
      </c>
      <c r="B330" s="11" t="s">
        <v>387</v>
      </c>
      <c r="C330" s="16" t="s">
        <v>388</v>
      </c>
      <c r="D330" s="11"/>
      <c r="E330" s="11" t="s">
        <v>126</v>
      </c>
      <c r="F330" s="57" t="n">
        <v>142.52</v>
      </c>
      <c r="G330" s="58" t="n">
        <v>0</v>
      </c>
      <c r="H330" s="57">
        <f>ROUND(F330*AO330,2)</f>
      </c>
      <c r="I330" s="57">
        <f>ROUND(F330*AP330,2)</f>
      </c>
      <c r="J330" s="57">
        <f>ROUND(F330*G330,2)</f>
      </c>
      <c r="K330" s="59" t="s">
        <v>62</v>
      </c>
      <c r="Z330" s="57">
        <f>ROUND(IF(AQ330="5",BJ330,0),2)</f>
      </c>
      <c r="AB330" s="57">
        <f>ROUND(IF(AQ330="1",BH330,0),2)</f>
      </c>
      <c r="AC330" s="57">
        <f>ROUND(IF(AQ330="1",BI330,0),2)</f>
      </c>
      <c r="AD330" s="57">
        <f>ROUND(IF(AQ330="7",BH330,0),2)</f>
      </c>
      <c r="AE330" s="57">
        <f>ROUND(IF(AQ330="7",BI330,0),2)</f>
      </c>
      <c r="AF330" s="57">
        <f>ROUND(IF(AQ330="2",BH330,0),2)</f>
      </c>
      <c r="AG330" s="57">
        <f>ROUND(IF(AQ330="2",BI330,0),2)</f>
      </c>
      <c r="AH330" s="57">
        <f>ROUND(IF(AQ330="0",BJ330,0),2)</f>
      </c>
      <c r="AI330" s="33" t="s">
        <v>707</v>
      </c>
      <c r="AJ330" s="57">
        <f>IF(AN330=0,J330,0)</f>
      </c>
      <c r="AK330" s="57">
        <f>IF(AN330=12,J330,0)</f>
      </c>
      <c r="AL330" s="57">
        <f>IF(AN330=21,J330,0)</f>
      </c>
      <c r="AN330" s="57" t="n">
        <v>12</v>
      </c>
      <c r="AO330" s="57">
        <f>G330*0</f>
      </c>
      <c r="AP330" s="57">
        <f>G330*(1-0)</f>
      </c>
      <c r="AQ330" s="60" t="s">
        <v>89</v>
      </c>
      <c r="AV330" s="57">
        <f>ROUND(AW330+AX330,2)</f>
      </c>
      <c r="AW330" s="57">
        <f>ROUND(F330*AO330,2)</f>
      </c>
      <c r="AX330" s="57">
        <f>ROUND(F330*AP330,2)</f>
      </c>
      <c r="AY330" s="60" t="s">
        <v>367</v>
      </c>
      <c r="AZ330" s="60" t="s">
        <v>823</v>
      </c>
      <c r="BA330" s="33" t="s">
        <v>711</v>
      </c>
      <c r="BB330" s="61" t="n">
        <v>100108</v>
      </c>
      <c r="BC330" s="57">
        <f>AW330+AX330</f>
      </c>
      <c r="BD330" s="57">
        <f>G330/(100-BE330)*100</f>
      </c>
      <c r="BE330" s="57" t="n">
        <v>0</v>
      </c>
      <c r="BF330" s="57">
        <f>330</f>
      </c>
      <c r="BH330" s="57">
        <f>F330*AO330</f>
      </c>
      <c r="BI330" s="57">
        <f>F330*AP330</f>
      </c>
      <c r="BJ330" s="57">
        <f>F330*G330</f>
      </c>
      <c r="BK330" s="60" t="s">
        <v>66</v>
      </c>
      <c r="BL330" s="57" t="n">
        <v>764</v>
      </c>
      <c r="BW330" s="57" t="n">
        <v>12</v>
      </c>
      <c r="BX330" s="16" t="s">
        <v>388</v>
      </c>
    </row>
    <row r="331">
      <c r="A331" s="10" t="s">
        <v>873</v>
      </c>
      <c r="B331" s="11" t="s">
        <v>138</v>
      </c>
      <c r="C331" s="16" t="s">
        <v>874</v>
      </c>
      <c r="D331" s="11"/>
      <c r="E331" s="11" t="s">
        <v>174</v>
      </c>
      <c r="F331" s="57" t="n">
        <v>78.386</v>
      </c>
      <c r="G331" s="58" t="n">
        <v>0</v>
      </c>
      <c r="H331" s="57">
        <f>ROUND(F331*AO331,2)</f>
      </c>
      <c r="I331" s="57">
        <f>ROUND(F331*AP331,2)</f>
      </c>
      <c r="J331" s="57">
        <f>ROUND(F331*G331,2)</f>
      </c>
      <c r="K331" s="59" t="s">
        <v>140</v>
      </c>
      <c r="Z331" s="57">
        <f>ROUND(IF(AQ331="5",BJ331,0),2)</f>
      </c>
      <c r="AB331" s="57">
        <f>ROUND(IF(AQ331="1",BH331,0),2)</f>
      </c>
      <c r="AC331" s="57">
        <f>ROUND(IF(AQ331="1",BI331,0),2)</f>
      </c>
      <c r="AD331" s="57">
        <f>ROUND(IF(AQ331="7",BH331,0),2)</f>
      </c>
      <c r="AE331" s="57">
        <f>ROUND(IF(AQ331="7",BI331,0),2)</f>
      </c>
      <c r="AF331" s="57">
        <f>ROUND(IF(AQ331="2",BH331,0),2)</f>
      </c>
      <c r="AG331" s="57">
        <f>ROUND(IF(AQ331="2",BI331,0),2)</f>
      </c>
      <c r="AH331" s="57">
        <f>ROUND(IF(AQ331="0",BJ331,0),2)</f>
      </c>
      <c r="AI331" s="33" t="s">
        <v>707</v>
      </c>
      <c r="AJ331" s="57">
        <f>IF(AN331=0,J331,0)</f>
      </c>
      <c r="AK331" s="57">
        <f>IF(AN331=12,J331,0)</f>
      </c>
      <c r="AL331" s="57">
        <f>IF(AN331=21,J331,0)</f>
      </c>
      <c r="AN331" s="57" t="n">
        <v>12</v>
      </c>
      <c r="AO331" s="57">
        <f>G331*1</f>
      </c>
      <c r="AP331" s="57">
        <f>G331*(1-1)</f>
      </c>
      <c r="AQ331" s="60" t="s">
        <v>89</v>
      </c>
      <c r="AV331" s="57">
        <f>ROUND(AW331+AX331,2)</f>
      </c>
      <c r="AW331" s="57">
        <f>ROUND(F331*AO331,2)</f>
      </c>
      <c r="AX331" s="57">
        <f>ROUND(F331*AP331,2)</f>
      </c>
      <c r="AY331" s="60" t="s">
        <v>367</v>
      </c>
      <c r="AZ331" s="60" t="s">
        <v>823</v>
      </c>
      <c r="BA331" s="33" t="s">
        <v>711</v>
      </c>
      <c r="BC331" s="57">
        <f>AW331+AX331</f>
      </c>
      <c r="BD331" s="57">
        <f>G331/(100-BE331)*100</f>
      </c>
      <c r="BE331" s="57" t="n">
        <v>0</v>
      </c>
      <c r="BF331" s="57">
        <f>331</f>
      </c>
      <c r="BH331" s="57">
        <f>F331*AO331</f>
      </c>
      <c r="BI331" s="57">
        <f>F331*AP331</f>
      </c>
      <c r="BJ331" s="57">
        <f>F331*G331</f>
      </c>
      <c r="BK331" s="60" t="s">
        <v>98</v>
      </c>
      <c r="BL331" s="57" t="n">
        <v>764</v>
      </c>
      <c r="BW331" s="57" t="n">
        <v>12</v>
      </c>
      <c r="BX331" s="16" t="s">
        <v>874</v>
      </c>
    </row>
    <row r="332">
      <c r="A332" s="10" t="s">
        <v>875</v>
      </c>
      <c r="B332" s="11" t="s">
        <v>138</v>
      </c>
      <c r="C332" s="16" t="s">
        <v>876</v>
      </c>
      <c r="D332" s="11"/>
      <c r="E332" s="11" t="s">
        <v>61</v>
      </c>
      <c r="F332" s="57" t="n">
        <v>45.8609</v>
      </c>
      <c r="G332" s="58" t="n">
        <v>0</v>
      </c>
      <c r="H332" s="57">
        <f>ROUND(F332*AO332,2)</f>
      </c>
      <c r="I332" s="57">
        <f>ROUND(F332*AP332,2)</f>
      </c>
      <c r="J332" s="57">
        <f>ROUND(F332*G332,2)</f>
      </c>
      <c r="K332" s="59" t="s">
        <v>140</v>
      </c>
      <c r="Z332" s="57">
        <f>ROUND(IF(AQ332="5",BJ332,0),2)</f>
      </c>
      <c r="AB332" s="57">
        <f>ROUND(IF(AQ332="1",BH332,0),2)</f>
      </c>
      <c r="AC332" s="57">
        <f>ROUND(IF(AQ332="1",BI332,0),2)</f>
      </c>
      <c r="AD332" s="57">
        <f>ROUND(IF(AQ332="7",BH332,0),2)</f>
      </c>
      <c r="AE332" s="57">
        <f>ROUND(IF(AQ332="7",BI332,0),2)</f>
      </c>
      <c r="AF332" s="57">
        <f>ROUND(IF(AQ332="2",BH332,0),2)</f>
      </c>
      <c r="AG332" s="57">
        <f>ROUND(IF(AQ332="2",BI332,0),2)</f>
      </c>
      <c r="AH332" s="57">
        <f>ROUND(IF(AQ332="0",BJ332,0),2)</f>
      </c>
      <c r="AI332" s="33" t="s">
        <v>707</v>
      </c>
      <c r="AJ332" s="57">
        <f>IF(AN332=0,J332,0)</f>
      </c>
      <c r="AK332" s="57">
        <f>IF(AN332=12,J332,0)</f>
      </c>
      <c r="AL332" s="57">
        <f>IF(AN332=21,J332,0)</f>
      </c>
      <c r="AN332" s="57" t="n">
        <v>12</v>
      </c>
      <c r="AO332" s="57">
        <f>G332*0.315217647</f>
      </c>
      <c r="AP332" s="57">
        <f>G332*(1-0.315217647)</f>
      </c>
      <c r="AQ332" s="60" t="s">
        <v>89</v>
      </c>
      <c r="AV332" s="57">
        <f>ROUND(AW332+AX332,2)</f>
      </c>
      <c r="AW332" s="57">
        <f>ROUND(F332*AO332,2)</f>
      </c>
      <c r="AX332" s="57">
        <f>ROUND(F332*AP332,2)</f>
      </c>
      <c r="AY332" s="60" t="s">
        <v>367</v>
      </c>
      <c r="AZ332" s="60" t="s">
        <v>823</v>
      </c>
      <c r="BA332" s="33" t="s">
        <v>711</v>
      </c>
      <c r="BB332" s="61" t="n">
        <v>100108</v>
      </c>
      <c r="BC332" s="57">
        <f>AW332+AX332</f>
      </c>
      <c r="BD332" s="57">
        <f>G332/(100-BE332)*100</f>
      </c>
      <c r="BE332" s="57" t="n">
        <v>0</v>
      </c>
      <c r="BF332" s="57">
        <f>332</f>
      </c>
      <c r="BH332" s="57">
        <f>F332*AO332</f>
      </c>
      <c r="BI332" s="57">
        <f>F332*AP332</f>
      </c>
      <c r="BJ332" s="57">
        <f>F332*G332</f>
      </c>
      <c r="BK332" s="60" t="s">
        <v>66</v>
      </c>
      <c r="BL332" s="57" t="n">
        <v>764</v>
      </c>
      <c r="BW332" s="57" t="n">
        <v>12</v>
      </c>
      <c r="BX332" s="16" t="s">
        <v>876</v>
      </c>
    </row>
    <row r="333">
      <c r="A333" s="10" t="s">
        <v>877</v>
      </c>
      <c r="B333" s="11" t="s">
        <v>878</v>
      </c>
      <c r="C333" s="16" t="s">
        <v>879</v>
      </c>
      <c r="D333" s="11"/>
      <c r="E333" s="11" t="s">
        <v>126</v>
      </c>
      <c r="F333" s="57" t="n">
        <v>177.41</v>
      </c>
      <c r="G333" s="58" t="n">
        <v>0</v>
      </c>
      <c r="H333" s="57">
        <f>ROUND(F333*AO333,2)</f>
      </c>
      <c r="I333" s="57">
        <f>ROUND(F333*AP333,2)</f>
      </c>
      <c r="J333" s="57">
        <f>ROUND(F333*G333,2)</f>
      </c>
      <c r="K333" s="59" t="s">
        <v>62</v>
      </c>
      <c r="Z333" s="57">
        <f>ROUND(IF(AQ333="5",BJ333,0),2)</f>
      </c>
      <c r="AB333" s="57">
        <f>ROUND(IF(AQ333="1",BH333,0),2)</f>
      </c>
      <c r="AC333" s="57">
        <f>ROUND(IF(AQ333="1",BI333,0),2)</f>
      </c>
      <c r="AD333" s="57">
        <f>ROUND(IF(AQ333="7",BH333,0),2)</f>
      </c>
      <c r="AE333" s="57">
        <f>ROUND(IF(AQ333="7",BI333,0),2)</f>
      </c>
      <c r="AF333" s="57">
        <f>ROUND(IF(AQ333="2",BH333,0),2)</f>
      </c>
      <c r="AG333" s="57">
        <f>ROUND(IF(AQ333="2",BI333,0),2)</f>
      </c>
      <c r="AH333" s="57">
        <f>ROUND(IF(AQ333="0",BJ333,0),2)</f>
      </c>
      <c r="AI333" s="33" t="s">
        <v>707</v>
      </c>
      <c r="AJ333" s="57">
        <f>IF(AN333=0,J333,0)</f>
      </c>
      <c r="AK333" s="57">
        <f>IF(AN333=12,J333,0)</f>
      </c>
      <c r="AL333" s="57">
        <f>IF(AN333=21,J333,0)</f>
      </c>
      <c r="AN333" s="57" t="n">
        <v>12</v>
      </c>
      <c r="AO333" s="57">
        <f>G333*0</f>
      </c>
      <c r="AP333" s="57">
        <f>G333*(1-0)</f>
      </c>
      <c r="AQ333" s="60" t="s">
        <v>89</v>
      </c>
      <c r="AV333" s="57">
        <f>ROUND(AW333+AX333,2)</f>
      </c>
      <c r="AW333" s="57">
        <f>ROUND(F333*AO333,2)</f>
      </c>
      <c r="AX333" s="57">
        <f>ROUND(F333*AP333,2)</f>
      </c>
      <c r="AY333" s="60" t="s">
        <v>367</v>
      </c>
      <c r="AZ333" s="60" t="s">
        <v>823</v>
      </c>
      <c r="BA333" s="33" t="s">
        <v>711</v>
      </c>
      <c r="BB333" s="61" t="n">
        <v>100108</v>
      </c>
      <c r="BC333" s="57">
        <f>AW333+AX333</f>
      </c>
      <c r="BD333" s="57">
        <f>G333/(100-BE333)*100</f>
      </c>
      <c r="BE333" s="57" t="n">
        <v>0</v>
      </c>
      <c r="BF333" s="57">
        <f>333</f>
      </c>
      <c r="BH333" s="57">
        <f>F333*AO333</f>
      </c>
      <c r="BI333" s="57">
        <f>F333*AP333</f>
      </c>
      <c r="BJ333" s="57">
        <f>F333*G333</f>
      </c>
      <c r="BK333" s="60" t="s">
        <v>66</v>
      </c>
      <c r="BL333" s="57" t="n">
        <v>764</v>
      </c>
      <c r="BW333" s="57" t="n">
        <v>12</v>
      </c>
      <c r="BX333" s="16" t="s">
        <v>879</v>
      </c>
    </row>
    <row r="334">
      <c r="A334" s="10" t="s">
        <v>880</v>
      </c>
      <c r="B334" s="11" t="s">
        <v>881</v>
      </c>
      <c r="C334" s="16" t="s">
        <v>882</v>
      </c>
      <c r="D334" s="11"/>
      <c r="E334" s="11" t="s">
        <v>174</v>
      </c>
      <c r="F334" s="57" t="n">
        <v>100.07744</v>
      </c>
      <c r="G334" s="58" t="n">
        <v>0</v>
      </c>
      <c r="H334" s="57">
        <f>ROUND(F334*AO334,2)</f>
      </c>
      <c r="I334" s="57">
        <f>ROUND(F334*AP334,2)</f>
      </c>
      <c r="J334" s="57">
        <f>ROUND(F334*G334,2)</f>
      </c>
      <c r="K334" s="59" t="s">
        <v>62</v>
      </c>
      <c r="Z334" s="57">
        <f>ROUND(IF(AQ334="5",BJ334,0),2)</f>
      </c>
      <c r="AB334" s="57">
        <f>ROUND(IF(AQ334="1",BH334,0),2)</f>
      </c>
      <c r="AC334" s="57">
        <f>ROUND(IF(AQ334="1",BI334,0),2)</f>
      </c>
      <c r="AD334" s="57">
        <f>ROUND(IF(AQ334="7",BH334,0),2)</f>
      </c>
      <c r="AE334" s="57">
        <f>ROUND(IF(AQ334="7",BI334,0),2)</f>
      </c>
      <c r="AF334" s="57">
        <f>ROUND(IF(AQ334="2",BH334,0),2)</f>
      </c>
      <c r="AG334" s="57">
        <f>ROUND(IF(AQ334="2",BI334,0),2)</f>
      </c>
      <c r="AH334" s="57">
        <f>ROUND(IF(AQ334="0",BJ334,0),2)</f>
      </c>
      <c r="AI334" s="33" t="s">
        <v>707</v>
      </c>
      <c r="AJ334" s="57">
        <f>IF(AN334=0,J334,0)</f>
      </c>
      <c r="AK334" s="57">
        <f>IF(AN334=12,J334,0)</f>
      </c>
      <c r="AL334" s="57">
        <f>IF(AN334=21,J334,0)</f>
      </c>
      <c r="AN334" s="57" t="n">
        <v>12</v>
      </c>
      <c r="AO334" s="57">
        <f>G334*1</f>
      </c>
      <c r="AP334" s="57">
        <f>G334*(1-1)</f>
      </c>
      <c r="AQ334" s="60" t="s">
        <v>89</v>
      </c>
      <c r="AV334" s="57">
        <f>ROUND(AW334+AX334,2)</f>
      </c>
      <c r="AW334" s="57">
        <f>ROUND(F334*AO334,2)</f>
      </c>
      <c r="AX334" s="57">
        <f>ROUND(F334*AP334,2)</f>
      </c>
      <c r="AY334" s="60" t="s">
        <v>367</v>
      </c>
      <c r="AZ334" s="60" t="s">
        <v>823</v>
      </c>
      <c r="BA334" s="33" t="s">
        <v>711</v>
      </c>
      <c r="BC334" s="57">
        <f>AW334+AX334</f>
      </c>
      <c r="BD334" s="57">
        <f>G334/(100-BE334)*100</f>
      </c>
      <c r="BE334" s="57" t="n">
        <v>0</v>
      </c>
      <c r="BF334" s="57">
        <f>334</f>
      </c>
      <c r="BH334" s="57">
        <f>F334*AO334</f>
      </c>
      <c r="BI334" s="57">
        <f>F334*AP334</f>
      </c>
      <c r="BJ334" s="57">
        <f>F334*G334</f>
      </c>
      <c r="BK334" s="60" t="s">
        <v>98</v>
      </c>
      <c r="BL334" s="57" t="n">
        <v>764</v>
      </c>
      <c r="BW334" s="57" t="n">
        <v>12</v>
      </c>
      <c r="BX334" s="16" t="s">
        <v>882</v>
      </c>
    </row>
    <row r="335">
      <c r="A335" s="10" t="s">
        <v>883</v>
      </c>
      <c r="B335" s="11" t="s">
        <v>884</v>
      </c>
      <c r="C335" s="16" t="s">
        <v>885</v>
      </c>
      <c r="D335" s="11"/>
      <c r="E335" s="11" t="s">
        <v>174</v>
      </c>
      <c r="F335" s="57" t="n">
        <v>100.07744</v>
      </c>
      <c r="G335" s="58" t="n">
        <v>0</v>
      </c>
      <c r="H335" s="57">
        <f>ROUND(F335*AO335,2)</f>
      </c>
      <c r="I335" s="57">
        <f>ROUND(F335*AP335,2)</f>
      </c>
      <c r="J335" s="57">
        <f>ROUND(F335*G335,2)</f>
      </c>
      <c r="K335" s="59" t="s">
        <v>62</v>
      </c>
      <c r="Z335" s="57">
        <f>ROUND(IF(AQ335="5",BJ335,0),2)</f>
      </c>
      <c r="AB335" s="57">
        <f>ROUND(IF(AQ335="1",BH335,0),2)</f>
      </c>
      <c r="AC335" s="57">
        <f>ROUND(IF(AQ335="1",BI335,0),2)</f>
      </c>
      <c r="AD335" s="57">
        <f>ROUND(IF(AQ335="7",BH335,0),2)</f>
      </c>
      <c r="AE335" s="57">
        <f>ROUND(IF(AQ335="7",BI335,0),2)</f>
      </c>
      <c r="AF335" s="57">
        <f>ROUND(IF(AQ335="2",BH335,0),2)</f>
      </c>
      <c r="AG335" s="57">
        <f>ROUND(IF(AQ335="2",BI335,0),2)</f>
      </c>
      <c r="AH335" s="57">
        <f>ROUND(IF(AQ335="0",BJ335,0),2)</f>
      </c>
      <c r="AI335" s="33" t="s">
        <v>707</v>
      </c>
      <c r="AJ335" s="57">
        <f>IF(AN335=0,J335,0)</f>
      </c>
      <c r="AK335" s="57">
        <f>IF(AN335=12,J335,0)</f>
      </c>
      <c r="AL335" s="57">
        <f>IF(AN335=21,J335,0)</f>
      </c>
      <c r="AN335" s="57" t="n">
        <v>12</v>
      </c>
      <c r="AO335" s="57">
        <f>G335*1</f>
      </c>
      <c r="AP335" s="57">
        <f>G335*(1-1)</f>
      </c>
      <c r="AQ335" s="60" t="s">
        <v>89</v>
      </c>
      <c r="AV335" s="57">
        <f>ROUND(AW335+AX335,2)</f>
      </c>
      <c r="AW335" s="57">
        <f>ROUND(F335*AO335,2)</f>
      </c>
      <c r="AX335" s="57">
        <f>ROUND(F335*AP335,2)</f>
      </c>
      <c r="AY335" s="60" t="s">
        <v>367</v>
      </c>
      <c r="AZ335" s="60" t="s">
        <v>823</v>
      </c>
      <c r="BA335" s="33" t="s">
        <v>711</v>
      </c>
      <c r="BC335" s="57">
        <f>AW335+AX335</f>
      </c>
      <c r="BD335" s="57">
        <f>G335/(100-BE335)*100</f>
      </c>
      <c r="BE335" s="57" t="n">
        <v>0</v>
      </c>
      <c r="BF335" s="57">
        <f>335</f>
      </c>
      <c r="BH335" s="57">
        <f>F335*AO335</f>
      </c>
      <c r="BI335" s="57">
        <f>F335*AP335</f>
      </c>
      <c r="BJ335" s="57">
        <f>F335*G335</f>
      </c>
      <c r="BK335" s="60" t="s">
        <v>98</v>
      </c>
      <c r="BL335" s="57" t="n">
        <v>764</v>
      </c>
      <c r="BW335" s="57" t="n">
        <v>12</v>
      </c>
      <c r="BX335" s="16" t="s">
        <v>885</v>
      </c>
    </row>
    <row r="336">
      <c r="A336" s="10" t="s">
        <v>886</v>
      </c>
      <c r="B336" s="11" t="s">
        <v>138</v>
      </c>
      <c r="C336" s="16" t="s">
        <v>887</v>
      </c>
      <c r="D336" s="11"/>
      <c r="E336" s="11" t="s">
        <v>174</v>
      </c>
      <c r="F336" s="57" t="n">
        <v>3.90302</v>
      </c>
      <c r="G336" s="58" t="n">
        <v>0</v>
      </c>
      <c r="H336" s="57">
        <f>ROUND(F336*AO336,2)</f>
      </c>
      <c r="I336" s="57">
        <f>ROUND(F336*AP336,2)</f>
      </c>
      <c r="J336" s="57">
        <f>ROUND(F336*G336,2)</f>
      </c>
      <c r="K336" s="59" t="s">
        <v>140</v>
      </c>
      <c r="Z336" s="57">
        <f>ROUND(IF(AQ336="5",BJ336,0),2)</f>
      </c>
      <c r="AB336" s="57">
        <f>ROUND(IF(AQ336="1",BH336,0),2)</f>
      </c>
      <c r="AC336" s="57">
        <f>ROUND(IF(AQ336="1",BI336,0),2)</f>
      </c>
      <c r="AD336" s="57">
        <f>ROUND(IF(AQ336="7",BH336,0),2)</f>
      </c>
      <c r="AE336" s="57">
        <f>ROUND(IF(AQ336="7",BI336,0),2)</f>
      </c>
      <c r="AF336" s="57">
        <f>ROUND(IF(AQ336="2",BH336,0),2)</f>
      </c>
      <c r="AG336" s="57">
        <f>ROUND(IF(AQ336="2",BI336,0),2)</f>
      </c>
      <c r="AH336" s="57">
        <f>ROUND(IF(AQ336="0",BJ336,0),2)</f>
      </c>
      <c r="AI336" s="33" t="s">
        <v>707</v>
      </c>
      <c r="AJ336" s="57">
        <f>IF(AN336=0,J336,0)</f>
      </c>
      <c r="AK336" s="57">
        <f>IF(AN336=12,J336,0)</f>
      </c>
      <c r="AL336" s="57">
        <f>IF(AN336=21,J336,0)</f>
      </c>
      <c r="AN336" s="57" t="n">
        <v>12</v>
      </c>
      <c r="AO336" s="57">
        <f>G336*1</f>
      </c>
      <c r="AP336" s="57">
        <f>G336*(1-1)</f>
      </c>
      <c r="AQ336" s="60" t="s">
        <v>89</v>
      </c>
      <c r="AV336" s="57">
        <f>ROUND(AW336+AX336,2)</f>
      </c>
      <c r="AW336" s="57">
        <f>ROUND(F336*AO336,2)</f>
      </c>
      <c r="AX336" s="57">
        <f>ROUND(F336*AP336,2)</f>
      </c>
      <c r="AY336" s="60" t="s">
        <v>367</v>
      </c>
      <c r="AZ336" s="60" t="s">
        <v>823</v>
      </c>
      <c r="BA336" s="33" t="s">
        <v>711</v>
      </c>
      <c r="BC336" s="57">
        <f>AW336+AX336</f>
      </c>
      <c r="BD336" s="57">
        <f>G336/(100-BE336)*100</f>
      </c>
      <c r="BE336" s="57" t="n">
        <v>0</v>
      </c>
      <c r="BF336" s="57">
        <f>336</f>
      </c>
      <c r="BH336" s="57">
        <f>F336*AO336</f>
      </c>
      <c r="BI336" s="57">
        <f>F336*AP336</f>
      </c>
      <c r="BJ336" s="57">
        <f>F336*G336</f>
      </c>
      <c r="BK336" s="60" t="s">
        <v>98</v>
      </c>
      <c r="BL336" s="57" t="n">
        <v>764</v>
      </c>
      <c r="BW336" s="57" t="n">
        <v>12</v>
      </c>
      <c r="BX336" s="16" t="s">
        <v>887</v>
      </c>
    </row>
    <row r="337">
      <c r="A337" s="10" t="s">
        <v>888</v>
      </c>
      <c r="B337" s="11" t="s">
        <v>889</v>
      </c>
      <c r="C337" s="16" t="s">
        <v>890</v>
      </c>
      <c r="D337" s="11"/>
      <c r="E337" s="11" t="s">
        <v>174</v>
      </c>
      <c r="F337" s="57" t="n">
        <v>20</v>
      </c>
      <c r="G337" s="58" t="n">
        <v>0</v>
      </c>
      <c r="H337" s="57">
        <f>ROUND(F337*AO337,2)</f>
      </c>
      <c r="I337" s="57">
        <f>ROUND(F337*AP337,2)</f>
      </c>
      <c r="J337" s="57">
        <f>ROUND(F337*G337,2)</f>
      </c>
      <c r="K337" s="59" t="s">
        <v>62</v>
      </c>
      <c r="Z337" s="57">
        <f>ROUND(IF(AQ337="5",BJ337,0),2)</f>
      </c>
      <c r="AB337" s="57">
        <f>ROUND(IF(AQ337="1",BH337,0),2)</f>
      </c>
      <c r="AC337" s="57">
        <f>ROUND(IF(AQ337="1",BI337,0),2)</f>
      </c>
      <c r="AD337" s="57">
        <f>ROUND(IF(AQ337="7",BH337,0),2)</f>
      </c>
      <c r="AE337" s="57">
        <f>ROUND(IF(AQ337="7",BI337,0),2)</f>
      </c>
      <c r="AF337" s="57">
        <f>ROUND(IF(AQ337="2",BH337,0),2)</f>
      </c>
      <c r="AG337" s="57">
        <f>ROUND(IF(AQ337="2",BI337,0),2)</f>
      </c>
      <c r="AH337" s="57">
        <f>ROUND(IF(AQ337="0",BJ337,0),2)</f>
      </c>
      <c r="AI337" s="33" t="s">
        <v>707</v>
      </c>
      <c r="AJ337" s="57">
        <f>IF(AN337=0,J337,0)</f>
      </c>
      <c r="AK337" s="57">
        <f>IF(AN337=12,J337,0)</f>
      </c>
      <c r="AL337" s="57">
        <f>IF(AN337=21,J337,0)</f>
      </c>
      <c r="AN337" s="57" t="n">
        <v>12</v>
      </c>
      <c r="AO337" s="57">
        <f>G337*0</f>
      </c>
      <c r="AP337" s="57">
        <f>G337*(1-0)</f>
      </c>
      <c r="AQ337" s="60" t="s">
        <v>89</v>
      </c>
      <c r="AV337" s="57">
        <f>ROUND(AW337+AX337,2)</f>
      </c>
      <c r="AW337" s="57">
        <f>ROUND(F337*AO337,2)</f>
      </c>
      <c r="AX337" s="57">
        <f>ROUND(F337*AP337,2)</f>
      </c>
      <c r="AY337" s="60" t="s">
        <v>367</v>
      </c>
      <c r="AZ337" s="60" t="s">
        <v>823</v>
      </c>
      <c r="BA337" s="33" t="s">
        <v>711</v>
      </c>
      <c r="BB337" s="61" t="n">
        <v>100108</v>
      </c>
      <c r="BC337" s="57">
        <f>AW337+AX337</f>
      </c>
      <c r="BD337" s="57">
        <f>G337/(100-BE337)*100</f>
      </c>
      <c r="BE337" s="57" t="n">
        <v>0</v>
      </c>
      <c r="BF337" s="57">
        <f>337</f>
      </c>
      <c r="BH337" s="57">
        <f>F337*AO337</f>
      </c>
      <c r="BI337" s="57">
        <f>F337*AP337</f>
      </c>
      <c r="BJ337" s="57">
        <f>F337*G337</f>
      </c>
      <c r="BK337" s="60" t="s">
        <v>66</v>
      </c>
      <c r="BL337" s="57" t="n">
        <v>764</v>
      </c>
      <c r="BW337" s="57" t="n">
        <v>12</v>
      </c>
      <c r="BX337" s="16" t="s">
        <v>890</v>
      </c>
    </row>
    <row r="338">
      <c r="A338" s="10" t="s">
        <v>891</v>
      </c>
      <c r="B338" s="11" t="s">
        <v>138</v>
      </c>
      <c r="C338" s="16" t="s">
        <v>892</v>
      </c>
      <c r="D338" s="11"/>
      <c r="E338" s="11" t="s">
        <v>174</v>
      </c>
      <c r="F338" s="57" t="n">
        <v>20</v>
      </c>
      <c r="G338" s="58" t="n">
        <v>0</v>
      </c>
      <c r="H338" s="57">
        <f>ROUND(F338*AO338,2)</f>
      </c>
      <c r="I338" s="57">
        <f>ROUND(F338*AP338,2)</f>
      </c>
      <c r="J338" s="57">
        <f>ROUND(F338*G338,2)</f>
      </c>
      <c r="K338" s="59" t="s">
        <v>140</v>
      </c>
      <c r="Z338" s="57">
        <f>ROUND(IF(AQ338="5",BJ338,0),2)</f>
      </c>
      <c r="AB338" s="57">
        <f>ROUND(IF(AQ338="1",BH338,0),2)</f>
      </c>
      <c r="AC338" s="57">
        <f>ROUND(IF(AQ338="1",BI338,0),2)</f>
      </c>
      <c r="AD338" s="57">
        <f>ROUND(IF(AQ338="7",BH338,0),2)</f>
      </c>
      <c r="AE338" s="57">
        <f>ROUND(IF(AQ338="7",BI338,0),2)</f>
      </c>
      <c r="AF338" s="57">
        <f>ROUND(IF(AQ338="2",BH338,0),2)</f>
      </c>
      <c r="AG338" s="57">
        <f>ROUND(IF(AQ338="2",BI338,0),2)</f>
      </c>
      <c r="AH338" s="57">
        <f>ROUND(IF(AQ338="0",BJ338,0),2)</f>
      </c>
      <c r="AI338" s="33" t="s">
        <v>707</v>
      </c>
      <c r="AJ338" s="57">
        <f>IF(AN338=0,J338,0)</f>
      </c>
      <c r="AK338" s="57">
        <f>IF(AN338=12,J338,0)</f>
      </c>
      <c r="AL338" s="57">
        <f>IF(AN338=21,J338,0)</f>
      </c>
      <c r="AN338" s="57" t="n">
        <v>12</v>
      </c>
      <c r="AO338" s="57">
        <f>G338*1</f>
      </c>
      <c r="AP338" s="57">
        <f>G338*(1-1)</f>
      </c>
      <c r="AQ338" s="60" t="s">
        <v>89</v>
      </c>
      <c r="AV338" s="57">
        <f>ROUND(AW338+AX338,2)</f>
      </c>
      <c r="AW338" s="57">
        <f>ROUND(F338*AO338,2)</f>
      </c>
      <c r="AX338" s="57">
        <f>ROUND(F338*AP338,2)</f>
      </c>
      <c r="AY338" s="60" t="s">
        <v>367</v>
      </c>
      <c r="AZ338" s="60" t="s">
        <v>823</v>
      </c>
      <c r="BA338" s="33" t="s">
        <v>711</v>
      </c>
      <c r="BC338" s="57">
        <f>AW338+AX338</f>
      </c>
      <c r="BD338" s="57">
        <f>G338/(100-BE338)*100</f>
      </c>
      <c r="BE338" s="57" t="n">
        <v>0</v>
      </c>
      <c r="BF338" s="57">
        <f>338</f>
      </c>
      <c r="BH338" s="57">
        <f>F338*AO338</f>
      </c>
      <c r="BI338" s="57">
        <f>F338*AP338</f>
      </c>
      <c r="BJ338" s="57">
        <f>F338*G338</f>
      </c>
      <c r="BK338" s="60" t="s">
        <v>98</v>
      </c>
      <c r="BL338" s="57" t="n">
        <v>764</v>
      </c>
      <c r="BW338" s="57" t="n">
        <v>12</v>
      </c>
      <c r="BX338" s="16" t="s">
        <v>892</v>
      </c>
    </row>
    <row r="339">
      <c r="A339" s="10" t="s">
        <v>893</v>
      </c>
      <c r="B339" s="11" t="s">
        <v>894</v>
      </c>
      <c r="C339" s="16" t="s">
        <v>895</v>
      </c>
      <c r="D339" s="11"/>
      <c r="E339" s="11" t="s">
        <v>174</v>
      </c>
      <c r="F339" s="57" t="n">
        <v>191</v>
      </c>
      <c r="G339" s="58" t="n">
        <v>0</v>
      </c>
      <c r="H339" s="57">
        <f>ROUND(F339*AO339,2)</f>
      </c>
      <c r="I339" s="57">
        <f>ROUND(F339*AP339,2)</f>
      </c>
      <c r="J339" s="57">
        <f>ROUND(F339*G339,2)</f>
      </c>
      <c r="K339" s="59" t="s">
        <v>62</v>
      </c>
      <c r="Z339" s="57">
        <f>ROUND(IF(AQ339="5",BJ339,0),2)</f>
      </c>
      <c r="AB339" s="57">
        <f>ROUND(IF(AQ339="1",BH339,0),2)</f>
      </c>
      <c r="AC339" s="57">
        <f>ROUND(IF(AQ339="1",BI339,0),2)</f>
      </c>
      <c r="AD339" s="57">
        <f>ROUND(IF(AQ339="7",BH339,0),2)</f>
      </c>
      <c r="AE339" s="57">
        <f>ROUND(IF(AQ339="7",BI339,0),2)</f>
      </c>
      <c r="AF339" s="57">
        <f>ROUND(IF(AQ339="2",BH339,0),2)</f>
      </c>
      <c r="AG339" s="57">
        <f>ROUND(IF(AQ339="2",BI339,0),2)</f>
      </c>
      <c r="AH339" s="57">
        <f>ROUND(IF(AQ339="0",BJ339,0),2)</f>
      </c>
      <c r="AI339" s="33" t="s">
        <v>707</v>
      </c>
      <c r="AJ339" s="57">
        <f>IF(AN339=0,J339,0)</f>
      </c>
      <c r="AK339" s="57">
        <f>IF(AN339=12,J339,0)</f>
      </c>
      <c r="AL339" s="57">
        <f>IF(AN339=21,J339,0)</f>
      </c>
      <c r="AN339" s="57" t="n">
        <v>12</v>
      </c>
      <c r="AO339" s="57">
        <f>G339*0</f>
      </c>
      <c r="AP339" s="57">
        <f>G339*(1-0)</f>
      </c>
      <c r="AQ339" s="60" t="s">
        <v>89</v>
      </c>
      <c r="AV339" s="57">
        <f>ROUND(AW339+AX339,2)</f>
      </c>
      <c r="AW339" s="57">
        <f>ROUND(F339*AO339,2)</f>
      </c>
      <c r="AX339" s="57">
        <f>ROUND(F339*AP339,2)</f>
      </c>
      <c r="AY339" s="60" t="s">
        <v>367</v>
      </c>
      <c r="AZ339" s="60" t="s">
        <v>823</v>
      </c>
      <c r="BA339" s="33" t="s">
        <v>711</v>
      </c>
      <c r="BB339" s="61" t="n">
        <v>100108</v>
      </c>
      <c r="BC339" s="57">
        <f>AW339+AX339</f>
      </c>
      <c r="BD339" s="57">
        <f>G339/(100-BE339)*100</f>
      </c>
      <c r="BE339" s="57" t="n">
        <v>0</v>
      </c>
      <c r="BF339" s="57">
        <f>339</f>
      </c>
      <c r="BH339" s="57">
        <f>F339*AO339</f>
      </c>
      <c r="BI339" s="57">
        <f>F339*AP339</f>
      </c>
      <c r="BJ339" s="57">
        <f>F339*G339</f>
      </c>
      <c r="BK339" s="60" t="s">
        <v>66</v>
      </c>
      <c r="BL339" s="57" t="n">
        <v>764</v>
      </c>
      <c r="BW339" s="57" t="n">
        <v>12</v>
      </c>
      <c r="BX339" s="16" t="s">
        <v>895</v>
      </c>
    </row>
    <row r="340">
      <c r="A340" s="10" t="s">
        <v>896</v>
      </c>
      <c r="B340" s="11" t="s">
        <v>138</v>
      </c>
      <c r="C340" s="16" t="s">
        <v>897</v>
      </c>
      <c r="D340" s="11"/>
      <c r="E340" s="11" t="s">
        <v>174</v>
      </c>
      <c r="F340" s="57" t="n">
        <v>139.16667</v>
      </c>
      <c r="G340" s="58" t="n">
        <v>0</v>
      </c>
      <c r="H340" s="57">
        <f>ROUND(F340*AO340,2)</f>
      </c>
      <c r="I340" s="57">
        <f>ROUND(F340*AP340,2)</f>
      </c>
      <c r="J340" s="57">
        <f>ROUND(F340*G340,2)</f>
      </c>
      <c r="K340" s="59" t="s">
        <v>140</v>
      </c>
      <c r="Z340" s="57">
        <f>ROUND(IF(AQ340="5",BJ340,0),2)</f>
      </c>
      <c r="AB340" s="57">
        <f>ROUND(IF(AQ340="1",BH340,0),2)</f>
      </c>
      <c r="AC340" s="57">
        <f>ROUND(IF(AQ340="1",BI340,0),2)</f>
      </c>
      <c r="AD340" s="57">
        <f>ROUND(IF(AQ340="7",BH340,0),2)</f>
      </c>
      <c r="AE340" s="57">
        <f>ROUND(IF(AQ340="7",BI340,0),2)</f>
      </c>
      <c r="AF340" s="57">
        <f>ROUND(IF(AQ340="2",BH340,0),2)</f>
      </c>
      <c r="AG340" s="57">
        <f>ROUND(IF(AQ340="2",BI340,0),2)</f>
      </c>
      <c r="AH340" s="57">
        <f>ROUND(IF(AQ340="0",BJ340,0),2)</f>
      </c>
      <c r="AI340" s="33" t="s">
        <v>707</v>
      </c>
      <c r="AJ340" s="57">
        <f>IF(AN340=0,J340,0)</f>
      </c>
      <c r="AK340" s="57">
        <f>IF(AN340=12,J340,0)</f>
      </c>
      <c r="AL340" s="57">
        <f>IF(AN340=21,J340,0)</f>
      </c>
      <c r="AN340" s="57" t="n">
        <v>12</v>
      </c>
      <c r="AO340" s="57">
        <f>G340*1</f>
      </c>
      <c r="AP340" s="57">
        <f>G340*(1-1)</f>
      </c>
      <c r="AQ340" s="60" t="s">
        <v>89</v>
      </c>
      <c r="AV340" s="57">
        <f>ROUND(AW340+AX340,2)</f>
      </c>
      <c r="AW340" s="57">
        <f>ROUND(F340*AO340,2)</f>
      </c>
      <c r="AX340" s="57">
        <f>ROUND(F340*AP340,2)</f>
      </c>
      <c r="AY340" s="60" t="s">
        <v>367</v>
      </c>
      <c r="AZ340" s="60" t="s">
        <v>823</v>
      </c>
      <c r="BA340" s="33" t="s">
        <v>711</v>
      </c>
      <c r="BC340" s="57">
        <f>AW340+AX340</f>
      </c>
      <c r="BD340" s="57">
        <f>G340/(100-BE340)*100</f>
      </c>
      <c r="BE340" s="57" t="n">
        <v>0</v>
      </c>
      <c r="BF340" s="57">
        <f>340</f>
      </c>
      <c r="BH340" s="57">
        <f>F340*AO340</f>
      </c>
      <c r="BI340" s="57">
        <f>F340*AP340</f>
      </c>
      <c r="BJ340" s="57">
        <f>F340*G340</f>
      </c>
      <c r="BK340" s="60" t="s">
        <v>98</v>
      </c>
      <c r="BL340" s="57" t="n">
        <v>764</v>
      </c>
      <c r="BW340" s="57" t="n">
        <v>12</v>
      </c>
      <c r="BX340" s="16" t="s">
        <v>897</v>
      </c>
    </row>
    <row r="341">
      <c r="A341" s="10" t="s">
        <v>898</v>
      </c>
      <c r="B341" s="11" t="s">
        <v>138</v>
      </c>
      <c r="C341" s="16" t="s">
        <v>899</v>
      </c>
      <c r="D341" s="11"/>
      <c r="E341" s="11" t="s">
        <v>174</v>
      </c>
      <c r="F341" s="57" t="n">
        <v>191</v>
      </c>
      <c r="G341" s="58" t="n">
        <v>0</v>
      </c>
      <c r="H341" s="57">
        <f>ROUND(F341*AO341,2)</f>
      </c>
      <c r="I341" s="57">
        <f>ROUND(F341*AP341,2)</f>
      </c>
      <c r="J341" s="57">
        <f>ROUND(F341*G341,2)</f>
      </c>
      <c r="K341" s="59" t="s">
        <v>140</v>
      </c>
      <c r="Z341" s="57">
        <f>ROUND(IF(AQ341="5",BJ341,0),2)</f>
      </c>
      <c r="AB341" s="57">
        <f>ROUND(IF(AQ341="1",BH341,0),2)</f>
      </c>
      <c r="AC341" s="57">
        <f>ROUND(IF(AQ341="1",BI341,0),2)</f>
      </c>
      <c r="AD341" s="57">
        <f>ROUND(IF(AQ341="7",BH341,0),2)</f>
      </c>
      <c r="AE341" s="57">
        <f>ROUND(IF(AQ341="7",BI341,0),2)</f>
      </c>
      <c r="AF341" s="57">
        <f>ROUND(IF(AQ341="2",BH341,0),2)</f>
      </c>
      <c r="AG341" s="57">
        <f>ROUND(IF(AQ341="2",BI341,0),2)</f>
      </c>
      <c r="AH341" s="57">
        <f>ROUND(IF(AQ341="0",BJ341,0),2)</f>
      </c>
      <c r="AI341" s="33" t="s">
        <v>707</v>
      </c>
      <c r="AJ341" s="57">
        <f>IF(AN341=0,J341,0)</f>
      </c>
      <c r="AK341" s="57">
        <f>IF(AN341=12,J341,0)</f>
      </c>
      <c r="AL341" s="57">
        <f>IF(AN341=21,J341,0)</f>
      </c>
      <c r="AN341" s="57" t="n">
        <v>12</v>
      </c>
      <c r="AO341" s="57">
        <f>G341*1</f>
      </c>
      <c r="AP341" s="57">
        <f>G341*(1-1)</f>
      </c>
      <c r="AQ341" s="60" t="s">
        <v>89</v>
      </c>
      <c r="AV341" s="57">
        <f>ROUND(AW341+AX341,2)</f>
      </c>
      <c r="AW341" s="57">
        <f>ROUND(F341*AO341,2)</f>
      </c>
      <c r="AX341" s="57">
        <f>ROUND(F341*AP341,2)</f>
      </c>
      <c r="AY341" s="60" t="s">
        <v>367</v>
      </c>
      <c r="AZ341" s="60" t="s">
        <v>823</v>
      </c>
      <c r="BA341" s="33" t="s">
        <v>711</v>
      </c>
      <c r="BC341" s="57">
        <f>AW341+AX341</f>
      </c>
      <c r="BD341" s="57">
        <f>G341/(100-BE341)*100</f>
      </c>
      <c r="BE341" s="57" t="n">
        <v>0</v>
      </c>
      <c r="BF341" s="57">
        <f>341</f>
      </c>
      <c r="BH341" s="57">
        <f>F341*AO341</f>
      </c>
      <c r="BI341" s="57">
        <f>F341*AP341</f>
      </c>
      <c r="BJ341" s="57">
        <f>F341*G341</f>
      </c>
      <c r="BK341" s="60" t="s">
        <v>98</v>
      </c>
      <c r="BL341" s="57" t="n">
        <v>764</v>
      </c>
      <c r="BW341" s="57" t="n">
        <v>12</v>
      </c>
      <c r="BX341" s="16" t="s">
        <v>899</v>
      </c>
    </row>
    <row r="342">
      <c r="A342" s="10" t="s">
        <v>900</v>
      </c>
      <c r="B342" s="11" t="s">
        <v>138</v>
      </c>
      <c r="C342" s="16" t="s">
        <v>901</v>
      </c>
      <c r="D342" s="11"/>
      <c r="E342" s="11" t="s">
        <v>174</v>
      </c>
      <c r="F342" s="57" t="n">
        <v>191</v>
      </c>
      <c r="G342" s="58" t="n">
        <v>0</v>
      </c>
      <c r="H342" s="57">
        <f>ROUND(F342*AO342,2)</f>
      </c>
      <c r="I342" s="57">
        <f>ROUND(F342*AP342,2)</f>
      </c>
      <c r="J342" s="57">
        <f>ROUND(F342*G342,2)</f>
      </c>
      <c r="K342" s="59" t="s">
        <v>140</v>
      </c>
      <c r="Z342" s="57">
        <f>ROUND(IF(AQ342="5",BJ342,0),2)</f>
      </c>
      <c r="AB342" s="57">
        <f>ROUND(IF(AQ342="1",BH342,0),2)</f>
      </c>
      <c r="AC342" s="57">
        <f>ROUND(IF(AQ342="1",BI342,0),2)</f>
      </c>
      <c r="AD342" s="57">
        <f>ROUND(IF(AQ342="7",BH342,0),2)</f>
      </c>
      <c r="AE342" s="57">
        <f>ROUND(IF(AQ342="7",BI342,0),2)</f>
      </c>
      <c r="AF342" s="57">
        <f>ROUND(IF(AQ342="2",BH342,0),2)</f>
      </c>
      <c r="AG342" s="57">
        <f>ROUND(IF(AQ342="2",BI342,0),2)</f>
      </c>
      <c r="AH342" s="57">
        <f>ROUND(IF(AQ342="0",BJ342,0),2)</f>
      </c>
      <c r="AI342" s="33" t="s">
        <v>707</v>
      </c>
      <c r="AJ342" s="57">
        <f>IF(AN342=0,J342,0)</f>
      </c>
      <c r="AK342" s="57">
        <f>IF(AN342=12,J342,0)</f>
      </c>
      <c r="AL342" s="57">
        <f>IF(AN342=21,J342,0)</f>
      </c>
      <c r="AN342" s="57" t="n">
        <v>12</v>
      </c>
      <c r="AO342" s="57">
        <f>G342*1</f>
      </c>
      <c r="AP342" s="57">
        <f>G342*(1-1)</f>
      </c>
      <c r="AQ342" s="60" t="s">
        <v>89</v>
      </c>
      <c r="AV342" s="57">
        <f>ROUND(AW342+AX342,2)</f>
      </c>
      <c r="AW342" s="57">
        <f>ROUND(F342*AO342,2)</f>
      </c>
      <c r="AX342" s="57">
        <f>ROUND(F342*AP342,2)</f>
      </c>
      <c r="AY342" s="60" t="s">
        <v>367</v>
      </c>
      <c r="AZ342" s="60" t="s">
        <v>823</v>
      </c>
      <c r="BA342" s="33" t="s">
        <v>711</v>
      </c>
      <c r="BC342" s="57">
        <f>AW342+AX342</f>
      </c>
      <c r="BD342" s="57">
        <f>G342/(100-BE342)*100</f>
      </c>
      <c r="BE342" s="57" t="n">
        <v>0</v>
      </c>
      <c r="BF342" s="57">
        <f>342</f>
      </c>
      <c r="BH342" s="57">
        <f>F342*AO342</f>
      </c>
      <c r="BI342" s="57">
        <f>F342*AP342</f>
      </c>
      <c r="BJ342" s="57">
        <f>F342*G342</f>
      </c>
      <c r="BK342" s="60" t="s">
        <v>98</v>
      </c>
      <c r="BL342" s="57" t="n">
        <v>764</v>
      </c>
      <c r="BW342" s="57" t="n">
        <v>12</v>
      </c>
      <c r="BX342" s="16" t="s">
        <v>901</v>
      </c>
    </row>
    <row r="343">
      <c r="A343" s="10" t="s">
        <v>902</v>
      </c>
      <c r="B343" s="11" t="s">
        <v>138</v>
      </c>
      <c r="C343" s="16" t="s">
        <v>903</v>
      </c>
      <c r="D343" s="11"/>
      <c r="E343" s="11" t="s">
        <v>174</v>
      </c>
      <c r="F343" s="57" t="n">
        <v>420</v>
      </c>
      <c r="G343" s="58" t="n">
        <v>0</v>
      </c>
      <c r="H343" s="57">
        <f>ROUND(F343*AO343,2)</f>
      </c>
      <c r="I343" s="57">
        <f>ROUND(F343*AP343,2)</f>
      </c>
      <c r="J343" s="57">
        <f>ROUND(F343*G343,2)</f>
      </c>
      <c r="K343" s="59" t="s">
        <v>140</v>
      </c>
      <c r="Z343" s="57">
        <f>ROUND(IF(AQ343="5",BJ343,0),2)</f>
      </c>
      <c r="AB343" s="57">
        <f>ROUND(IF(AQ343="1",BH343,0),2)</f>
      </c>
      <c r="AC343" s="57">
        <f>ROUND(IF(AQ343="1",BI343,0),2)</f>
      </c>
      <c r="AD343" s="57">
        <f>ROUND(IF(AQ343="7",BH343,0),2)</f>
      </c>
      <c r="AE343" s="57">
        <f>ROUND(IF(AQ343="7",BI343,0),2)</f>
      </c>
      <c r="AF343" s="57">
        <f>ROUND(IF(AQ343="2",BH343,0),2)</f>
      </c>
      <c r="AG343" s="57">
        <f>ROUND(IF(AQ343="2",BI343,0),2)</f>
      </c>
      <c r="AH343" s="57">
        <f>ROUND(IF(AQ343="0",BJ343,0),2)</f>
      </c>
      <c r="AI343" s="33" t="s">
        <v>707</v>
      </c>
      <c r="AJ343" s="57">
        <f>IF(AN343=0,J343,0)</f>
      </c>
      <c r="AK343" s="57">
        <f>IF(AN343=12,J343,0)</f>
      </c>
      <c r="AL343" s="57">
        <f>IF(AN343=21,J343,0)</f>
      </c>
      <c r="AN343" s="57" t="n">
        <v>12</v>
      </c>
      <c r="AO343" s="57">
        <f>G343*1</f>
      </c>
      <c r="AP343" s="57">
        <f>G343*(1-1)</f>
      </c>
      <c r="AQ343" s="60" t="s">
        <v>89</v>
      </c>
      <c r="AV343" s="57">
        <f>ROUND(AW343+AX343,2)</f>
      </c>
      <c r="AW343" s="57">
        <f>ROUND(F343*AO343,2)</f>
      </c>
      <c r="AX343" s="57">
        <f>ROUND(F343*AP343,2)</f>
      </c>
      <c r="AY343" s="60" t="s">
        <v>367</v>
      </c>
      <c r="AZ343" s="60" t="s">
        <v>823</v>
      </c>
      <c r="BA343" s="33" t="s">
        <v>711</v>
      </c>
      <c r="BC343" s="57">
        <f>AW343+AX343</f>
      </c>
      <c r="BD343" s="57">
        <f>G343/(100-BE343)*100</f>
      </c>
      <c r="BE343" s="57" t="n">
        <v>0</v>
      </c>
      <c r="BF343" s="57">
        <f>343</f>
      </c>
      <c r="BH343" s="57">
        <f>F343*AO343</f>
      </c>
      <c r="BI343" s="57">
        <f>F343*AP343</f>
      </c>
      <c r="BJ343" s="57">
        <f>F343*G343</f>
      </c>
      <c r="BK343" s="60" t="s">
        <v>98</v>
      </c>
      <c r="BL343" s="57" t="n">
        <v>764</v>
      </c>
      <c r="BW343" s="57" t="n">
        <v>12</v>
      </c>
      <c r="BX343" s="16" t="s">
        <v>903</v>
      </c>
    </row>
    <row r="344">
      <c r="A344" s="10" t="s">
        <v>904</v>
      </c>
      <c r="B344" s="11" t="s">
        <v>905</v>
      </c>
      <c r="C344" s="16" t="s">
        <v>906</v>
      </c>
      <c r="D344" s="11"/>
      <c r="E344" s="11" t="s">
        <v>174</v>
      </c>
      <c r="F344" s="57" t="n">
        <v>150</v>
      </c>
      <c r="G344" s="58" t="n">
        <v>0</v>
      </c>
      <c r="H344" s="57">
        <f>ROUND(F344*AO344,2)</f>
      </c>
      <c r="I344" s="57">
        <f>ROUND(F344*AP344,2)</f>
      </c>
      <c r="J344" s="57">
        <f>ROUND(F344*G344,2)</f>
      </c>
      <c r="K344" s="59" t="s">
        <v>62</v>
      </c>
      <c r="Z344" s="57">
        <f>ROUND(IF(AQ344="5",BJ344,0),2)</f>
      </c>
      <c r="AB344" s="57">
        <f>ROUND(IF(AQ344="1",BH344,0),2)</f>
      </c>
      <c r="AC344" s="57">
        <f>ROUND(IF(AQ344="1",BI344,0),2)</f>
      </c>
      <c r="AD344" s="57">
        <f>ROUND(IF(AQ344="7",BH344,0),2)</f>
      </c>
      <c r="AE344" s="57">
        <f>ROUND(IF(AQ344="7",BI344,0),2)</f>
      </c>
      <c r="AF344" s="57">
        <f>ROUND(IF(AQ344="2",BH344,0),2)</f>
      </c>
      <c r="AG344" s="57">
        <f>ROUND(IF(AQ344="2",BI344,0),2)</f>
      </c>
      <c r="AH344" s="57">
        <f>ROUND(IF(AQ344="0",BJ344,0),2)</f>
      </c>
      <c r="AI344" s="33" t="s">
        <v>707</v>
      </c>
      <c r="AJ344" s="57">
        <f>IF(AN344=0,J344,0)</f>
      </c>
      <c r="AK344" s="57">
        <f>IF(AN344=12,J344,0)</f>
      </c>
      <c r="AL344" s="57">
        <f>IF(AN344=21,J344,0)</f>
      </c>
      <c r="AN344" s="57" t="n">
        <v>12</v>
      </c>
      <c r="AO344" s="57">
        <f>G344*0</f>
      </c>
      <c r="AP344" s="57">
        <f>G344*(1-0)</f>
      </c>
      <c r="AQ344" s="60" t="s">
        <v>89</v>
      </c>
      <c r="AV344" s="57">
        <f>ROUND(AW344+AX344,2)</f>
      </c>
      <c r="AW344" s="57">
        <f>ROUND(F344*AO344,2)</f>
      </c>
      <c r="AX344" s="57">
        <f>ROUND(F344*AP344,2)</f>
      </c>
      <c r="AY344" s="60" t="s">
        <v>367</v>
      </c>
      <c r="AZ344" s="60" t="s">
        <v>823</v>
      </c>
      <c r="BA344" s="33" t="s">
        <v>711</v>
      </c>
      <c r="BB344" s="61" t="n">
        <v>100108</v>
      </c>
      <c r="BC344" s="57">
        <f>AW344+AX344</f>
      </c>
      <c r="BD344" s="57">
        <f>G344/(100-BE344)*100</f>
      </c>
      <c r="BE344" s="57" t="n">
        <v>0</v>
      </c>
      <c r="BF344" s="57">
        <f>344</f>
      </c>
      <c r="BH344" s="57">
        <f>F344*AO344</f>
      </c>
      <c r="BI344" s="57">
        <f>F344*AP344</f>
      </c>
      <c r="BJ344" s="57">
        <f>F344*G344</f>
      </c>
      <c r="BK344" s="60" t="s">
        <v>66</v>
      </c>
      <c r="BL344" s="57" t="n">
        <v>764</v>
      </c>
      <c r="BW344" s="57" t="n">
        <v>12</v>
      </c>
      <c r="BX344" s="16" t="s">
        <v>906</v>
      </c>
    </row>
    <row r="345">
      <c r="A345" s="10" t="s">
        <v>907</v>
      </c>
      <c r="B345" s="11" t="s">
        <v>138</v>
      </c>
      <c r="C345" s="16" t="s">
        <v>908</v>
      </c>
      <c r="D345" s="11"/>
      <c r="E345" s="11" t="s">
        <v>174</v>
      </c>
      <c r="F345" s="57" t="n">
        <v>150</v>
      </c>
      <c r="G345" s="58" t="n">
        <v>0</v>
      </c>
      <c r="H345" s="57">
        <f>ROUND(F345*AO345,2)</f>
      </c>
      <c r="I345" s="57">
        <f>ROUND(F345*AP345,2)</f>
      </c>
      <c r="J345" s="57">
        <f>ROUND(F345*G345,2)</f>
      </c>
      <c r="K345" s="59" t="s">
        <v>140</v>
      </c>
      <c r="Z345" s="57">
        <f>ROUND(IF(AQ345="5",BJ345,0),2)</f>
      </c>
      <c r="AB345" s="57">
        <f>ROUND(IF(AQ345="1",BH345,0),2)</f>
      </c>
      <c r="AC345" s="57">
        <f>ROUND(IF(AQ345="1",BI345,0),2)</f>
      </c>
      <c r="AD345" s="57">
        <f>ROUND(IF(AQ345="7",BH345,0),2)</f>
      </c>
      <c r="AE345" s="57">
        <f>ROUND(IF(AQ345="7",BI345,0),2)</f>
      </c>
      <c r="AF345" s="57">
        <f>ROUND(IF(AQ345="2",BH345,0),2)</f>
      </c>
      <c r="AG345" s="57">
        <f>ROUND(IF(AQ345="2",BI345,0),2)</f>
      </c>
      <c r="AH345" s="57">
        <f>ROUND(IF(AQ345="0",BJ345,0),2)</f>
      </c>
      <c r="AI345" s="33" t="s">
        <v>707</v>
      </c>
      <c r="AJ345" s="57">
        <f>IF(AN345=0,J345,0)</f>
      </c>
      <c r="AK345" s="57">
        <f>IF(AN345=12,J345,0)</f>
      </c>
      <c r="AL345" s="57">
        <f>IF(AN345=21,J345,0)</f>
      </c>
      <c r="AN345" s="57" t="n">
        <v>12</v>
      </c>
      <c r="AO345" s="57">
        <f>G345*1</f>
      </c>
      <c r="AP345" s="57">
        <f>G345*(1-1)</f>
      </c>
      <c r="AQ345" s="60" t="s">
        <v>89</v>
      </c>
      <c r="AV345" s="57">
        <f>ROUND(AW345+AX345,2)</f>
      </c>
      <c r="AW345" s="57">
        <f>ROUND(F345*AO345,2)</f>
      </c>
      <c r="AX345" s="57">
        <f>ROUND(F345*AP345,2)</f>
      </c>
      <c r="AY345" s="60" t="s">
        <v>367</v>
      </c>
      <c r="AZ345" s="60" t="s">
        <v>823</v>
      </c>
      <c r="BA345" s="33" t="s">
        <v>711</v>
      </c>
      <c r="BC345" s="57">
        <f>AW345+AX345</f>
      </c>
      <c r="BD345" s="57">
        <f>G345/(100-BE345)*100</f>
      </c>
      <c r="BE345" s="57" t="n">
        <v>0</v>
      </c>
      <c r="BF345" s="57">
        <f>345</f>
      </c>
      <c r="BH345" s="57">
        <f>F345*AO345</f>
      </c>
      <c r="BI345" s="57">
        <f>F345*AP345</f>
      </c>
      <c r="BJ345" s="57">
        <f>F345*G345</f>
      </c>
      <c r="BK345" s="60" t="s">
        <v>98</v>
      </c>
      <c r="BL345" s="57" t="n">
        <v>764</v>
      </c>
      <c r="BW345" s="57" t="n">
        <v>12</v>
      </c>
      <c r="BX345" s="16" t="s">
        <v>908</v>
      </c>
    </row>
    <row r="346">
      <c r="A346" s="10" t="s">
        <v>909</v>
      </c>
      <c r="B346" s="11" t="s">
        <v>910</v>
      </c>
      <c r="C346" s="16" t="s">
        <v>911</v>
      </c>
      <c r="D346" s="11"/>
      <c r="E346" s="11" t="s">
        <v>126</v>
      </c>
      <c r="F346" s="57" t="n">
        <v>178.01</v>
      </c>
      <c r="G346" s="58" t="n">
        <v>0</v>
      </c>
      <c r="H346" s="57">
        <f>ROUND(F346*AO346,2)</f>
      </c>
      <c r="I346" s="57">
        <f>ROUND(F346*AP346,2)</f>
      </c>
      <c r="J346" s="57">
        <f>ROUND(F346*G346,2)</f>
      </c>
      <c r="K346" s="59" t="s">
        <v>62</v>
      </c>
      <c r="Z346" s="57">
        <f>ROUND(IF(AQ346="5",BJ346,0),2)</f>
      </c>
      <c r="AB346" s="57">
        <f>ROUND(IF(AQ346="1",BH346,0),2)</f>
      </c>
      <c r="AC346" s="57">
        <f>ROUND(IF(AQ346="1",BI346,0),2)</f>
      </c>
      <c r="AD346" s="57">
        <f>ROUND(IF(AQ346="7",BH346,0),2)</f>
      </c>
      <c r="AE346" s="57">
        <f>ROUND(IF(AQ346="7",BI346,0),2)</f>
      </c>
      <c r="AF346" s="57">
        <f>ROUND(IF(AQ346="2",BH346,0),2)</f>
      </c>
      <c r="AG346" s="57">
        <f>ROUND(IF(AQ346="2",BI346,0),2)</f>
      </c>
      <c r="AH346" s="57">
        <f>ROUND(IF(AQ346="0",BJ346,0),2)</f>
      </c>
      <c r="AI346" s="33" t="s">
        <v>707</v>
      </c>
      <c r="AJ346" s="57">
        <f>IF(AN346=0,J346,0)</f>
      </c>
      <c r="AK346" s="57">
        <f>IF(AN346=12,J346,0)</f>
      </c>
      <c r="AL346" s="57">
        <f>IF(AN346=21,J346,0)</f>
      </c>
      <c r="AN346" s="57" t="n">
        <v>12</v>
      </c>
      <c r="AO346" s="57">
        <f>G346*0</f>
      </c>
      <c r="AP346" s="57">
        <f>G346*(1-0)</f>
      </c>
      <c r="AQ346" s="60" t="s">
        <v>89</v>
      </c>
      <c r="AV346" s="57">
        <f>ROUND(AW346+AX346,2)</f>
      </c>
      <c r="AW346" s="57">
        <f>ROUND(F346*AO346,2)</f>
      </c>
      <c r="AX346" s="57">
        <f>ROUND(F346*AP346,2)</f>
      </c>
      <c r="AY346" s="60" t="s">
        <v>367</v>
      </c>
      <c r="AZ346" s="60" t="s">
        <v>823</v>
      </c>
      <c r="BA346" s="33" t="s">
        <v>711</v>
      </c>
      <c r="BB346" s="61" t="n">
        <v>100108</v>
      </c>
      <c r="BC346" s="57">
        <f>AW346+AX346</f>
      </c>
      <c r="BD346" s="57">
        <f>G346/(100-BE346)*100</f>
      </c>
      <c r="BE346" s="57" t="n">
        <v>0</v>
      </c>
      <c r="BF346" s="57">
        <f>346</f>
      </c>
      <c r="BH346" s="57">
        <f>F346*AO346</f>
      </c>
      <c r="BI346" s="57">
        <f>F346*AP346</f>
      </c>
      <c r="BJ346" s="57">
        <f>F346*G346</f>
      </c>
      <c r="BK346" s="60" t="s">
        <v>66</v>
      </c>
      <c r="BL346" s="57" t="n">
        <v>764</v>
      </c>
      <c r="BW346" s="57" t="n">
        <v>12</v>
      </c>
      <c r="BX346" s="16" t="s">
        <v>911</v>
      </c>
    </row>
    <row r="347">
      <c r="A347" s="10" t="s">
        <v>912</v>
      </c>
      <c r="B347" s="11" t="s">
        <v>138</v>
      </c>
      <c r="C347" s="16" t="s">
        <v>913</v>
      </c>
      <c r="D347" s="11"/>
      <c r="E347" s="11" t="s">
        <v>174</v>
      </c>
      <c r="F347" s="57" t="n">
        <v>44.5025</v>
      </c>
      <c r="G347" s="58" t="n">
        <v>0</v>
      </c>
      <c r="H347" s="57">
        <f>ROUND(F347*AO347,2)</f>
      </c>
      <c r="I347" s="57">
        <f>ROUND(F347*AP347,2)</f>
      </c>
      <c r="J347" s="57">
        <f>ROUND(F347*G347,2)</f>
      </c>
      <c r="K347" s="59" t="s">
        <v>140</v>
      </c>
      <c r="Z347" s="57">
        <f>ROUND(IF(AQ347="5",BJ347,0),2)</f>
      </c>
      <c r="AB347" s="57">
        <f>ROUND(IF(AQ347="1",BH347,0),2)</f>
      </c>
      <c r="AC347" s="57">
        <f>ROUND(IF(AQ347="1",BI347,0),2)</f>
      </c>
      <c r="AD347" s="57">
        <f>ROUND(IF(AQ347="7",BH347,0),2)</f>
      </c>
      <c r="AE347" s="57">
        <f>ROUND(IF(AQ347="7",BI347,0),2)</f>
      </c>
      <c r="AF347" s="57">
        <f>ROUND(IF(AQ347="2",BH347,0),2)</f>
      </c>
      <c r="AG347" s="57">
        <f>ROUND(IF(AQ347="2",BI347,0),2)</f>
      </c>
      <c r="AH347" s="57">
        <f>ROUND(IF(AQ347="0",BJ347,0),2)</f>
      </c>
      <c r="AI347" s="33" t="s">
        <v>707</v>
      </c>
      <c r="AJ347" s="57">
        <f>IF(AN347=0,J347,0)</f>
      </c>
      <c r="AK347" s="57">
        <f>IF(AN347=12,J347,0)</f>
      </c>
      <c r="AL347" s="57">
        <f>IF(AN347=21,J347,0)</f>
      </c>
      <c r="AN347" s="57" t="n">
        <v>12</v>
      </c>
      <c r="AO347" s="57">
        <f>G347*1</f>
      </c>
      <c r="AP347" s="57">
        <f>G347*(1-1)</f>
      </c>
      <c r="AQ347" s="60" t="s">
        <v>89</v>
      </c>
      <c r="AV347" s="57">
        <f>ROUND(AW347+AX347,2)</f>
      </c>
      <c r="AW347" s="57">
        <f>ROUND(F347*AO347,2)</f>
      </c>
      <c r="AX347" s="57">
        <f>ROUND(F347*AP347,2)</f>
      </c>
      <c r="AY347" s="60" t="s">
        <v>367</v>
      </c>
      <c r="AZ347" s="60" t="s">
        <v>823</v>
      </c>
      <c r="BA347" s="33" t="s">
        <v>711</v>
      </c>
      <c r="BC347" s="57">
        <f>AW347+AX347</f>
      </c>
      <c r="BD347" s="57">
        <f>G347/(100-BE347)*100</f>
      </c>
      <c r="BE347" s="57" t="n">
        <v>0</v>
      </c>
      <c r="BF347" s="57">
        <f>347</f>
      </c>
      <c r="BH347" s="57">
        <f>F347*AO347</f>
      </c>
      <c r="BI347" s="57">
        <f>F347*AP347</f>
      </c>
      <c r="BJ347" s="57">
        <f>F347*G347</f>
      </c>
      <c r="BK347" s="60" t="s">
        <v>98</v>
      </c>
      <c r="BL347" s="57" t="n">
        <v>764</v>
      </c>
      <c r="BW347" s="57" t="n">
        <v>12</v>
      </c>
      <c r="BX347" s="16" t="s">
        <v>913</v>
      </c>
    </row>
    <row r="348">
      <c r="A348" s="10" t="s">
        <v>914</v>
      </c>
      <c r="B348" s="11" t="s">
        <v>138</v>
      </c>
      <c r="C348" s="16" t="s">
        <v>915</v>
      </c>
      <c r="D348" s="11"/>
      <c r="E348" s="11" t="s">
        <v>174</v>
      </c>
      <c r="F348" s="57" t="n">
        <v>194</v>
      </c>
      <c r="G348" s="58" t="n">
        <v>0</v>
      </c>
      <c r="H348" s="57">
        <f>ROUND(F348*AO348,2)</f>
      </c>
      <c r="I348" s="57">
        <f>ROUND(F348*AP348,2)</f>
      </c>
      <c r="J348" s="57">
        <f>ROUND(F348*G348,2)</f>
      </c>
      <c r="K348" s="59" t="s">
        <v>140</v>
      </c>
      <c r="Z348" s="57">
        <f>ROUND(IF(AQ348="5",BJ348,0),2)</f>
      </c>
      <c r="AB348" s="57">
        <f>ROUND(IF(AQ348="1",BH348,0),2)</f>
      </c>
      <c r="AC348" s="57">
        <f>ROUND(IF(AQ348="1",BI348,0),2)</f>
      </c>
      <c r="AD348" s="57">
        <f>ROUND(IF(AQ348="7",BH348,0),2)</f>
      </c>
      <c r="AE348" s="57">
        <f>ROUND(IF(AQ348="7",BI348,0),2)</f>
      </c>
      <c r="AF348" s="57">
        <f>ROUND(IF(AQ348="2",BH348,0),2)</f>
      </c>
      <c r="AG348" s="57">
        <f>ROUND(IF(AQ348="2",BI348,0),2)</f>
      </c>
      <c r="AH348" s="57">
        <f>ROUND(IF(AQ348="0",BJ348,0),2)</f>
      </c>
      <c r="AI348" s="33" t="s">
        <v>707</v>
      </c>
      <c r="AJ348" s="57">
        <f>IF(AN348=0,J348,0)</f>
      </c>
      <c r="AK348" s="57">
        <f>IF(AN348=12,J348,0)</f>
      </c>
      <c r="AL348" s="57">
        <f>IF(AN348=21,J348,0)</f>
      </c>
      <c r="AN348" s="57" t="n">
        <v>12</v>
      </c>
      <c r="AO348" s="57">
        <f>G348*1</f>
      </c>
      <c r="AP348" s="57">
        <f>G348*(1-1)</f>
      </c>
      <c r="AQ348" s="60" t="s">
        <v>89</v>
      </c>
      <c r="AV348" s="57">
        <f>ROUND(AW348+AX348,2)</f>
      </c>
      <c r="AW348" s="57">
        <f>ROUND(F348*AO348,2)</f>
      </c>
      <c r="AX348" s="57">
        <f>ROUND(F348*AP348,2)</f>
      </c>
      <c r="AY348" s="60" t="s">
        <v>367</v>
      </c>
      <c r="AZ348" s="60" t="s">
        <v>823</v>
      </c>
      <c r="BA348" s="33" t="s">
        <v>711</v>
      </c>
      <c r="BC348" s="57">
        <f>AW348+AX348</f>
      </c>
      <c r="BD348" s="57">
        <f>G348/(100-BE348)*100</f>
      </c>
      <c r="BE348" s="57" t="n">
        <v>0</v>
      </c>
      <c r="BF348" s="57">
        <f>348</f>
      </c>
      <c r="BH348" s="57">
        <f>F348*AO348</f>
      </c>
      <c r="BI348" s="57">
        <f>F348*AP348</f>
      </c>
      <c r="BJ348" s="57">
        <f>F348*G348</f>
      </c>
      <c r="BK348" s="60" t="s">
        <v>98</v>
      </c>
      <c r="BL348" s="57" t="n">
        <v>764</v>
      </c>
      <c r="BW348" s="57" t="n">
        <v>12</v>
      </c>
      <c r="BX348" s="16" t="s">
        <v>915</v>
      </c>
    </row>
    <row r="349">
      <c r="A349" s="10" t="s">
        <v>916</v>
      </c>
      <c r="B349" s="11" t="s">
        <v>138</v>
      </c>
      <c r="C349" s="16" t="s">
        <v>917</v>
      </c>
      <c r="D349" s="11"/>
      <c r="E349" s="11" t="s">
        <v>174</v>
      </c>
      <c r="F349" s="57" t="n">
        <v>42</v>
      </c>
      <c r="G349" s="58" t="n">
        <v>0</v>
      </c>
      <c r="H349" s="57">
        <f>ROUND(F349*AO349,2)</f>
      </c>
      <c r="I349" s="57">
        <f>ROUND(F349*AP349,2)</f>
      </c>
      <c r="J349" s="57">
        <f>ROUND(F349*G349,2)</f>
      </c>
      <c r="K349" s="59" t="s">
        <v>140</v>
      </c>
      <c r="Z349" s="57">
        <f>ROUND(IF(AQ349="5",BJ349,0),2)</f>
      </c>
      <c r="AB349" s="57">
        <f>ROUND(IF(AQ349="1",BH349,0),2)</f>
      </c>
      <c r="AC349" s="57">
        <f>ROUND(IF(AQ349="1",BI349,0),2)</f>
      </c>
      <c r="AD349" s="57">
        <f>ROUND(IF(AQ349="7",BH349,0),2)</f>
      </c>
      <c r="AE349" s="57">
        <f>ROUND(IF(AQ349="7",BI349,0),2)</f>
      </c>
      <c r="AF349" s="57">
        <f>ROUND(IF(AQ349="2",BH349,0),2)</f>
      </c>
      <c r="AG349" s="57">
        <f>ROUND(IF(AQ349="2",BI349,0),2)</f>
      </c>
      <c r="AH349" s="57">
        <f>ROUND(IF(AQ349="0",BJ349,0),2)</f>
      </c>
      <c r="AI349" s="33" t="s">
        <v>707</v>
      </c>
      <c r="AJ349" s="57">
        <f>IF(AN349=0,J349,0)</f>
      </c>
      <c r="AK349" s="57">
        <f>IF(AN349=12,J349,0)</f>
      </c>
      <c r="AL349" s="57">
        <f>IF(AN349=21,J349,0)</f>
      </c>
      <c r="AN349" s="57" t="n">
        <v>12</v>
      </c>
      <c r="AO349" s="57">
        <f>G349*1</f>
      </c>
      <c r="AP349" s="57">
        <f>G349*(1-1)</f>
      </c>
      <c r="AQ349" s="60" t="s">
        <v>89</v>
      </c>
      <c r="AV349" s="57">
        <f>ROUND(AW349+AX349,2)</f>
      </c>
      <c r="AW349" s="57">
        <f>ROUND(F349*AO349,2)</f>
      </c>
      <c r="AX349" s="57">
        <f>ROUND(F349*AP349,2)</f>
      </c>
      <c r="AY349" s="60" t="s">
        <v>367</v>
      </c>
      <c r="AZ349" s="60" t="s">
        <v>823</v>
      </c>
      <c r="BA349" s="33" t="s">
        <v>711</v>
      </c>
      <c r="BC349" s="57">
        <f>AW349+AX349</f>
      </c>
      <c r="BD349" s="57">
        <f>G349/(100-BE349)*100</f>
      </c>
      <c r="BE349" s="57" t="n">
        <v>0</v>
      </c>
      <c r="BF349" s="57">
        <f>349</f>
      </c>
      <c r="BH349" s="57">
        <f>F349*AO349</f>
      </c>
      <c r="BI349" s="57">
        <f>F349*AP349</f>
      </c>
      <c r="BJ349" s="57">
        <f>F349*G349</f>
      </c>
      <c r="BK349" s="60" t="s">
        <v>98</v>
      </c>
      <c r="BL349" s="57" t="n">
        <v>764</v>
      </c>
      <c r="BW349" s="57" t="n">
        <v>12</v>
      </c>
      <c r="BX349" s="16" t="s">
        <v>917</v>
      </c>
    </row>
    <row r="350">
      <c r="A350" s="10" t="s">
        <v>918</v>
      </c>
      <c r="B350" s="11" t="s">
        <v>138</v>
      </c>
      <c r="C350" s="16" t="s">
        <v>919</v>
      </c>
      <c r="D350" s="11"/>
      <c r="E350" s="11" t="s">
        <v>174</v>
      </c>
      <c r="F350" s="57" t="n">
        <v>2</v>
      </c>
      <c r="G350" s="58" t="n">
        <v>0</v>
      </c>
      <c r="H350" s="57">
        <f>ROUND(F350*AO350,2)</f>
      </c>
      <c r="I350" s="57">
        <f>ROUND(F350*AP350,2)</f>
      </c>
      <c r="J350" s="57">
        <f>ROUND(F350*G350,2)</f>
      </c>
      <c r="K350" s="59" t="s">
        <v>140</v>
      </c>
      <c r="Z350" s="57">
        <f>ROUND(IF(AQ350="5",BJ350,0),2)</f>
      </c>
      <c r="AB350" s="57">
        <f>ROUND(IF(AQ350="1",BH350,0),2)</f>
      </c>
      <c r="AC350" s="57">
        <f>ROUND(IF(AQ350="1",BI350,0),2)</f>
      </c>
      <c r="AD350" s="57">
        <f>ROUND(IF(AQ350="7",BH350,0),2)</f>
      </c>
      <c r="AE350" s="57">
        <f>ROUND(IF(AQ350="7",BI350,0),2)</f>
      </c>
      <c r="AF350" s="57">
        <f>ROUND(IF(AQ350="2",BH350,0),2)</f>
      </c>
      <c r="AG350" s="57">
        <f>ROUND(IF(AQ350="2",BI350,0),2)</f>
      </c>
      <c r="AH350" s="57">
        <f>ROUND(IF(AQ350="0",BJ350,0),2)</f>
      </c>
      <c r="AI350" s="33" t="s">
        <v>707</v>
      </c>
      <c r="AJ350" s="57">
        <f>IF(AN350=0,J350,0)</f>
      </c>
      <c r="AK350" s="57">
        <f>IF(AN350=12,J350,0)</f>
      </c>
      <c r="AL350" s="57">
        <f>IF(AN350=21,J350,0)</f>
      </c>
      <c r="AN350" s="57" t="n">
        <v>12</v>
      </c>
      <c r="AO350" s="57">
        <f>G350*1</f>
      </c>
      <c r="AP350" s="57">
        <f>G350*(1-1)</f>
      </c>
      <c r="AQ350" s="60" t="s">
        <v>89</v>
      </c>
      <c r="AV350" s="57">
        <f>ROUND(AW350+AX350,2)</f>
      </c>
      <c r="AW350" s="57">
        <f>ROUND(F350*AO350,2)</f>
      </c>
      <c r="AX350" s="57">
        <f>ROUND(F350*AP350,2)</f>
      </c>
      <c r="AY350" s="60" t="s">
        <v>367</v>
      </c>
      <c r="AZ350" s="60" t="s">
        <v>823</v>
      </c>
      <c r="BA350" s="33" t="s">
        <v>711</v>
      </c>
      <c r="BC350" s="57">
        <f>AW350+AX350</f>
      </c>
      <c r="BD350" s="57">
        <f>G350/(100-BE350)*100</f>
      </c>
      <c r="BE350" s="57" t="n">
        <v>0</v>
      </c>
      <c r="BF350" s="57">
        <f>350</f>
      </c>
      <c r="BH350" s="57">
        <f>F350*AO350</f>
      </c>
      <c r="BI350" s="57">
        <f>F350*AP350</f>
      </c>
      <c r="BJ350" s="57">
        <f>F350*G350</f>
      </c>
      <c r="BK350" s="60" t="s">
        <v>98</v>
      </c>
      <c r="BL350" s="57" t="n">
        <v>764</v>
      </c>
      <c r="BW350" s="57" t="n">
        <v>12</v>
      </c>
      <c r="BX350" s="16" t="s">
        <v>919</v>
      </c>
    </row>
    <row r="351">
      <c r="A351" s="10" t="s">
        <v>920</v>
      </c>
      <c r="B351" s="11" t="s">
        <v>921</v>
      </c>
      <c r="C351" s="16" t="s">
        <v>922</v>
      </c>
      <c r="D351" s="11"/>
      <c r="E351" s="11" t="s">
        <v>174</v>
      </c>
      <c r="F351" s="57" t="n">
        <v>9</v>
      </c>
      <c r="G351" s="58" t="n">
        <v>0</v>
      </c>
      <c r="H351" s="57">
        <f>ROUND(F351*AO351,2)</f>
      </c>
      <c r="I351" s="57">
        <f>ROUND(F351*AP351,2)</f>
      </c>
      <c r="J351" s="57">
        <f>ROUND(F351*G351,2)</f>
      </c>
      <c r="K351" s="59" t="s">
        <v>62</v>
      </c>
      <c r="Z351" s="57">
        <f>ROUND(IF(AQ351="5",BJ351,0),2)</f>
      </c>
      <c r="AB351" s="57">
        <f>ROUND(IF(AQ351="1",BH351,0),2)</f>
      </c>
      <c r="AC351" s="57">
        <f>ROUND(IF(AQ351="1",BI351,0),2)</f>
      </c>
      <c r="AD351" s="57">
        <f>ROUND(IF(AQ351="7",BH351,0),2)</f>
      </c>
      <c r="AE351" s="57">
        <f>ROUND(IF(AQ351="7",BI351,0),2)</f>
      </c>
      <c r="AF351" s="57">
        <f>ROUND(IF(AQ351="2",BH351,0),2)</f>
      </c>
      <c r="AG351" s="57">
        <f>ROUND(IF(AQ351="2",BI351,0),2)</f>
      </c>
      <c r="AH351" s="57">
        <f>ROUND(IF(AQ351="0",BJ351,0),2)</f>
      </c>
      <c r="AI351" s="33" t="s">
        <v>707</v>
      </c>
      <c r="AJ351" s="57">
        <f>IF(AN351=0,J351,0)</f>
      </c>
      <c r="AK351" s="57">
        <f>IF(AN351=12,J351,0)</f>
      </c>
      <c r="AL351" s="57">
        <f>IF(AN351=21,J351,0)</f>
      </c>
      <c r="AN351" s="57" t="n">
        <v>12</v>
      </c>
      <c r="AO351" s="57">
        <f>G351*0</f>
      </c>
      <c r="AP351" s="57">
        <f>G351*(1-0)</f>
      </c>
      <c r="AQ351" s="60" t="s">
        <v>89</v>
      </c>
      <c r="AV351" s="57">
        <f>ROUND(AW351+AX351,2)</f>
      </c>
      <c r="AW351" s="57">
        <f>ROUND(F351*AO351,2)</f>
      </c>
      <c r="AX351" s="57">
        <f>ROUND(F351*AP351,2)</f>
      </c>
      <c r="AY351" s="60" t="s">
        <v>367</v>
      </c>
      <c r="AZ351" s="60" t="s">
        <v>823</v>
      </c>
      <c r="BA351" s="33" t="s">
        <v>711</v>
      </c>
      <c r="BB351" s="61" t="n">
        <v>100108</v>
      </c>
      <c r="BC351" s="57">
        <f>AW351+AX351</f>
      </c>
      <c r="BD351" s="57">
        <f>G351/(100-BE351)*100</f>
      </c>
      <c r="BE351" s="57" t="n">
        <v>0</v>
      </c>
      <c r="BF351" s="57">
        <f>351</f>
      </c>
      <c r="BH351" s="57">
        <f>F351*AO351</f>
      </c>
      <c r="BI351" s="57">
        <f>F351*AP351</f>
      </c>
      <c r="BJ351" s="57">
        <f>F351*G351</f>
      </c>
      <c r="BK351" s="60" t="s">
        <v>66</v>
      </c>
      <c r="BL351" s="57" t="n">
        <v>764</v>
      </c>
      <c r="BW351" s="57" t="n">
        <v>12</v>
      </c>
      <c r="BX351" s="16" t="s">
        <v>922</v>
      </c>
    </row>
    <row r="352">
      <c r="A352" s="10" t="s">
        <v>923</v>
      </c>
      <c r="B352" s="11" t="s">
        <v>138</v>
      </c>
      <c r="C352" s="16" t="s">
        <v>924</v>
      </c>
      <c r="D352" s="11"/>
      <c r="E352" s="11" t="s">
        <v>174</v>
      </c>
      <c r="F352" s="57" t="n">
        <v>9</v>
      </c>
      <c r="G352" s="58" t="n">
        <v>0</v>
      </c>
      <c r="H352" s="57">
        <f>ROUND(F352*AO352,2)</f>
      </c>
      <c r="I352" s="57">
        <f>ROUND(F352*AP352,2)</f>
      </c>
      <c r="J352" s="57">
        <f>ROUND(F352*G352,2)</f>
      </c>
      <c r="K352" s="59" t="s">
        <v>140</v>
      </c>
      <c r="Z352" s="57">
        <f>ROUND(IF(AQ352="5",BJ352,0),2)</f>
      </c>
      <c r="AB352" s="57">
        <f>ROUND(IF(AQ352="1",BH352,0),2)</f>
      </c>
      <c r="AC352" s="57">
        <f>ROUND(IF(AQ352="1",BI352,0),2)</f>
      </c>
      <c r="AD352" s="57">
        <f>ROUND(IF(AQ352="7",BH352,0),2)</f>
      </c>
      <c r="AE352" s="57">
        <f>ROUND(IF(AQ352="7",BI352,0),2)</f>
      </c>
      <c r="AF352" s="57">
        <f>ROUND(IF(AQ352="2",BH352,0),2)</f>
      </c>
      <c r="AG352" s="57">
        <f>ROUND(IF(AQ352="2",BI352,0),2)</f>
      </c>
      <c r="AH352" s="57">
        <f>ROUND(IF(AQ352="0",BJ352,0),2)</f>
      </c>
      <c r="AI352" s="33" t="s">
        <v>707</v>
      </c>
      <c r="AJ352" s="57">
        <f>IF(AN352=0,J352,0)</f>
      </c>
      <c r="AK352" s="57">
        <f>IF(AN352=12,J352,0)</f>
      </c>
      <c r="AL352" s="57">
        <f>IF(AN352=21,J352,0)</f>
      </c>
      <c r="AN352" s="57" t="n">
        <v>12</v>
      </c>
      <c r="AO352" s="57">
        <f>G352*1</f>
      </c>
      <c r="AP352" s="57">
        <f>G352*(1-1)</f>
      </c>
      <c r="AQ352" s="60" t="s">
        <v>89</v>
      </c>
      <c r="AV352" s="57">
        <f>ROUND(AW352+AX352,2)</f>
      </c>
      <c r="AW352" s="57">
        <f>ROUND(F352*AO352,2)</f>
      </c>
      <c r="AX352" s="57">
        <f>ROUND(F352*AP352,2)</f>
      </c>
      <c r="AY352" s="60" t="s">
        <v>367</v>
      </c>
      <c r="AZ352" s="60" t="s">
        <v>823</v>
      </c>
      <c r="BA352" s="33" t="s">
        <v>711</v>
      </c>
      <c r="BC352" s="57">
        <f>AW352+AX352</f>
      </c>
      <c r="BD352" s="57">
        <f>G352/(100-BE352)*100</f>
      </c>
      <c r="BE352" s="57" t="n">
        <v>0</v>
      </c>
      <c r="BF352" s="57">
        <f>352</f>
      </c>
      <c r="BH352" s="57">
        <f>F352*AO352</f>
      </c>
      <c r="BI352" s="57">
        <f>F352*AP352</f>
      </c>
      <c r="BJ352" s="57">
        <f>F352*G352</f>
      </c>
      <c r="BK352" s="60" t="s">
        <v>98</v>
      </c>
      <c r="BL352" s="57" t="n">
        <v>764</v>
      </c>
      <c r="BW352" s="57" t="n">
        <v>12</v>
      </c>
      <c r="BX352" s="16" t="s">
        <v>924</v>
      </c>
    </row>
    <row r="353">
      <c r="A353" s="10" t="s">
        <v>925</v>
      </c>
      <c r="B353" s="11" t="s">
        <v>926</v>
      </c>
      <c r="C353" s="16" t="s">
        <v>927</v>
      </c>
      <c r="D353" s="11"/>
      <c r="E353" s="11" t="s">
        <v>174</v>
      </c>
      <c r="F353" s="57" t="n">
        <v>16</v>
      </c>
      <c r="G353" s="58" t="n">
        <v>0</v>
      </c>
      <c r="H353" s="57">
        <f>ROUND(F353*AO353,2)</f>
      </c>
      <c r="I353" s="57">
        <f>ROUND(F353*AP353,2)</f>
      </c>
      <c r="J353" s="57">
        <f>ROUND(F353*G353,2)</f>
      </c>
      <c r="K353" s="59" t="s">
        <v>62</v>
      </c>
      <c r="Z353" s="57">
        <f>ROUND(IF(AQ353="5",BJ353,0),2)</f>
      </c>
      <c r="AB353" s="57">
        <f>ROUND(IF(AQ353="1",BH353,0),2)</f>
      </c>
      <c r="AC353" s="57">
        <f>ROUND(IF(AQ353="1",BI353,0),2)</f>
      </c>
      <c r="AD353" s="57">
        <f>ROUND(IF(AQ353="7",BH353,0),2)</f>
      </c>
      <c r="AE353" s="57">
        <f>ROUND(IF(AQ353="7",BI353,0),2)</f>
      </c>
      <c r="AF353" s="57">
        <f>ROUND(IF(AQ353="2",BH353,0),2)</f>
      </c>
      <c r="AG353" s="57">
        <f>ROUND(IF(AQ353="2",BI353,0),2)</f>
      </c>
      <c r="AH353" s="57">
        <f>ROUND(IF(AQ353="0",BJ353,0),2)</f>
      </c>
      <c r="AI353" s="33" t="s">
        <v>707</v>
      </c>
      <c r="AJ353" s="57">
        <f>IF(AN353=0,J353,0)</f>
      </c>
      <c r="AK353" s="57">
        <f>IF(AN353=12,J353,0)</f>
      </c>
      <c r="AL353" s="57">
        <f>IF(AN353=21,J353,0)</f>
      </c>
      <c r="AN353" s="57" t="n">
        <v>12</v>
      </c>
      <c r="AO353" s="57">
        <f>G353*0</f>
      </c>
      <c r="AP353" s="57">
        <f>G353*(1-0)</f>
      </c>
      <c r="AQ353" s="60" t="s">
        <v>89</v>
      </c>
      <c r="AV353" s="57">
        <f>ROUND(AW353+AX353,2)</f>
      </c>
      <c r="AW353" s="57">
        <f>ROUND(F353*AO353,2)</f>
      </c>
      <c r="AX353" s="57">
        <f>ROUND(F353*AP353,2)</f>
      </c>
      <c r="AY353" s="60" t="s">
        <v>367</v>
      </c>
      <c r="AZ353" s="60" t="s">
        <v>823</v>
      </c>
      <c r="BA353" s="33" t="s">
        <v>711</v>
      </c>
      <c r="BB353" s="61" t="n">
        <v>100108</v>
      </c>
      <c r="BC353" s="57">
        <f>AW353+AX353</f>
      </c>
      <c r="BD353" s="57">
        <f>G353/(100-BE353)*100</f>
      </c>
      <c r="BE353" s="57" t="n">
        <v>0</v>
      </c>
      <c r="BF353" s="57">
        <f>353</f>
      </c>
      <c r="BH353" s="57">
        <f>F353*AO353</f>
      </c>
      <c r="BI353" s="57">
        <f>F353*AP353</f>
      </c>
      <c r="BJ353" s="57">
        <f>F353*G353</f>
      </c>
      <c r="BK353" s="60" t="s">
        <v>66</v>
      </c>
      <c r="BL353" s="57" t="n">
        <v>764</v>
      </c>
      <c r="BW353" s="57" t="n">
        <v>12</v>
      </c>
      <c r="BX353" s="16" t="s">
        <v>927</v>
      </c>
    </row>
    <row r="354">
      <c r="A354" s="10" t="s">
        <v>928</v>
      </c>
      <c r="B354" s="11" t="s">
        <v>138</v>
      </c>
      <c r="C354" s="16" t="s">
        <v>929</v>
      </c>
      <c r="D354" s="11"/>
      <c r="E354" s="11" t="s">
        <v>174</v>
      </c>
      <c r="F354" s="57" t="n">
        <v>16</v>
      </c>
      <c r="G354" s="58" t="n">
        <v>0</v>
      </c>
      <c r="H354" s="57">
        <f>ROUND(F354*AO354,2)</f>
      </c>
      <c r="I354" s="57">
        <f>ROUND(F354*AP354,2)</f>
      </c>
      <c r="J354" s="57">
        <f>ROUND(F354*G354,2)</f>
      </c>
      <c r="K354" s="59" t="s">
        <v>140</v>
      </c>
      <c r="Z354" s="57">
        <f>ROUND(IF(AQ354="5",BJ354,0),2)</f>
      </c>
      <c r="AB354" s="57">
        <f>ROUND(IF(AQ354="1",BH354,0),2)</f>
      </c>
      <c r="AC354" s="57">
        <f>ROUND(IF(AQ354="1",BI354,0),2)</f>
      </c>
      <c r="AD354" s="57">
        <f>ROUND(IF(AQ354="7",BH354,0),2)</f>
      </c>
      <c r="AE354" s="57">
        <f>ROUND(IF(AQ354="7",BI354,0),2)</f>
      </c>
      <c r="AF354" s="57">
        <f>ROUND(IF(AQ354="2",BH354,0),2)</f>
      </c>
      <c r="AG354" s="57">
        <f>ROUND(IF(AQ354="2",BI354,0),2)</f>
      </c>
      <c r="AH354" s="57">
        <f>ROUND(IF(AQ354="0",BJ354,0),2)</f>
      </c>
      <c r="AI354" s="33" t="s">
        <v>707</v>
      </c>
      <c r="AJ354" s="57">
        <f>IF(AN354=0,J354,0)</f>
      </c>
      <c r="AK354" s="57">
        <f>IF(AN354=12,J354,0)</f>
      </c>
      <c r="AL354" s="57">
        <f>IF(AN354=21,J354,0)</f>
      </c>
      <c r="AN354" s="57" t="n">
        <v>12</v>
      </c>
      <c r="AO354" s="57">
        <f>G354*1</f>
      </c>
      <c r="AP354" s="57">
        <f>G354*(1-1)</f>
      </c>
      <c r="AQ354" s="60" t="s">
        <v>89</v>
      </c>
      <c r="AV354" s="57">
        <f>ROUND(AW354+AX354,2)</f>
      </c>
      <c r="AW354" s="57">
        <f>ROUND(F354*AO354,2)</f>
      </c>
      <c r="AX354" s="57">
        <f>ROUND(F354*AP354,2)</f>
      </c>
      <c r="AY354" s="60" t="s">
        <v>367</v>
      </c>
      <c r="AZ354" s="60" t="s">
        <v>823</v>
      </c>
      <c r="BA354" s="33" t="s">
        <v>711</v>
      </c>
      <c r="BC354" s="57">
        <f>AW354+AX354</f>
      </c>
      <c r="BD354" s="57">
        <f>G354/(100-BE354)*100</f>
      </c>
      <c r="BE354" s="57" t="n">
        <v>0</v>
      </c>
      <c r="BF354" s="57">
        <f>354</f>
      </c>
      <c r="BH354" s="57">
        <f>F354*AO354</f>
      </c>
      <c r="BI354" s="57">
        <f>F354*AP354</f>
      </c>
      <c r="BJ354" s="57">
        <f>F354*G354</f>
      </c>
      <c r="BK354" s="60" t="s">
        <v>98</v>
      </c>
      <c r="BL354" s="57" t="n">
        <v>764</v>
      </c>
      <c r="BW354" s="57" t="n">
        <v>12</v>
      </c>
      <c r="BX354" s="16" t="s">
        <v>929</v>
      </c>
    </row>
    <row r="355">
      <c r="A355" s="10" t="s">
        <v>930</v>
      </c>
      <c r="B355" s="11" t="s">
        <v>931</v>
      </c>
      <c r="C355" s="16" t="s">
        <v>932</v>
      </c>
      <c r="D355" s="11"/>
      <c r="E355" s="11" t="s">
        <v>174</v>
      </c>
      <c r="F355" s="57" t="n">
        <v>32</v>
      </c>
      <c r="G355" s="58" t="n">
        <v>0</v>
      </c>
      <c r="H355" s="57">
        <f>ROUND(F355*AO355,2)</f>
      </c>
      <c r="I355" s="57">
        <f>ROUND(F355*AP355,2)</f>
      </c>
      <c r="J355" s="57">
        <f>ROUND(F355*G355,2)</f>
      </c>
      <c r="K355" s="59" t="s">
        <v>62</v>
      </c>
      <c r="Z355" s="57">
        <f>ROUND(IF(AQ355="5",BJ355,0),2)</f>
      </c>
      <c r="AB355" s="57">
        <f>ROUND(IF(AQ355="1",BH355,0),2)</f>
      </c>
      <c r="AC355" s="57">
        <f>ROUND(IF(AQ355="1",BI355,0),2)</f>
      </c>
      <c r="AD355" s="57">
        <f>ROUND(IF(AQ355="7",BH355,0),2)</f>
      </c>
      <c r="AE355" s="57">
        <f>ROUND(IF(AQ355="7",BI355,0),2)</f>
      </c>
      <c r="AF355" s="57">
        <f>ROUND(IF(AQ355="2",BH355,0),2)</f>
      </c>
      <c r="AG355" s="57">
        <f>ROUND(IF(AQ355="2",BI355,0),2)</f>
      </c>
      <c r="AH355" s="57">
        <f>ROUND(IF(AQ355="0",BJ355,0),2)</f>
      </c>
      <c r="AI355" s="33" t="s">
        <v>707</v>
      </c>
      <c r="AJ355" s="57">
        <f>IF(AN355=0,J355,0)</f>
      </c>
      <c r="AK355" s="57">
        <f>IF(AN355=12,J355,0)</f>
      </c>
      <c r="AL355" s="57">
        <f>IF(AN355=21,J355,0)</f>
      </c>
      <c r="AN355" s="57" t="n">
        <v>12</v>
      </c>
      <c r="AO355" s="57">
        <f>G355*1</f>
      </c>
      <c r="AP355" s="57">
        <f>G355*(1-1)</f>
      </c>
      <c r="AQ355" s="60" t="s">
        <v>89</v>
      </c>
      <c r="AV355" s="57">
        <f>ROUND(AW355+AX355,2)</f>
      </c>
      <c r="AW355" s="57">
        <f>ROUND(F355*AO355,2)</f>
      </c>
      <c r="AX355" s="57">
        <f>ROUND(F355*AP355,2)</f>
      </c>
      <c r="AY355" s="60" t="s">
        <v>367</v>
      </c>
      <c r="AZ355" s="60" t="s">
        <v>823</v>
      </c>
      <c r="BA355" s="33" t="s">
        <v>711</v>
      </c>
      <c r="BC355" s="57">
        <f>AW355+AX355</f>
      </c>
      <c r="BD355" s="57">
        <f>G355/(100-BE355)*100</f>
      </c>
      <c r="BE355" s="57" t="n">
        <v>0</v>
      </c>
      <c r="BF355" s="57">
        <f>355</f>
      </c>
      <c r="BH355" s="57">
        <f>F355*AO355</f>
      </c>
      <c r="BI355" s="57">
        <f>F355*AP355</f>
      </c>
      <c r="BJ355" s="57">
        <f>F355*G355</f>
      </c>
      <c r="BK355" s="60" t="s">
        <v>98</v>
      </c>
      <c r="BL355" s="57" t="n">
        <v>764</v>
      </c>
      <c r="BW355" s="57" t="n">
        <v>12</v>
      </c>
      <c r="BX355" s="16" t="s">
        <v>932</v>
      </c>
    </row>
    <row r="356">
      <c r="A356" s="10" t="s">
        <v>933</v>
      </c>
      <c r="B356" s="11" t="s">
        <v>934</v>
      </c>
      <c r="C356" s="16" t="s">
        <v>935</v>
      </c>
      <c r="D356" s="11"/>
      <c r="E356" s="11" t="s">
        <v>126</v>
      </c>
      <c r="F356" s="57" t="n">
        <v>19.1</v>
      </c>
      <c r="G356" s="58" t="n">
        <v>0</v>
      </c>
      <c r="H356" s="57">
        <f>ROUND(F356*AO356,2)</f>
      </c>
      <c r="I356" s="57">
        <f>ROUND(F356*AP356,2)</f>
      </c>
      <c r="J356" s="57">
        <f>ROUND(F356*G356,2)</f>
      </c>
      <c r="K356" s="59" t="s">
        <v>62</v>
      </c>
      <c r="Z356" s="57">
        <f>ROUND(IF(AQ356="5",BJ356,0),2)</f>
      </c>
      <c r="AB356" s="57">
        <f>ROUND(IF(AQ356="1",BH356,0),2)</f>
      </c>
      <c r="AC356" s="57">
        <f>ROUND(IF(AQ356="1",BI356,0),2)</f>
      </c>
      <c r="AD356" s="57">
        <f>ROUND(IF(AQ356="7",BH356,0),2)</f>
      </c>
      <c r="AE356" s="57">
        <f>ROUND(IF(AQ356="7",BI356,0),2)</f>
      </c>
      <c r="AF356" s="57">
        <f>ROUND(IF(AQ356="2",BH356,0),2)</f>
      </c>
      <c r="AG356" s="57">
        <f>ROUND(IF(AQ356="2",BI356,0),2)</f>
      </c>
      <c r="AH356" s="57">
        <f>ROUND(IF(AQ356="0",BJ356,0),2)</f>
      </c>
      <c r="AI356" s="33" t="s">
        <v>707</v>
      </c>
      <c r="AJ356" s="57">
        <f>IF(AN356=0,J356,0)</f>
      </c>
      <c r="AK356" s="57">
        <f>IF(AN356=12,J356,0)</f>
      </c>
      <c r="AL356" s="57">
        <f>IF(AN356=21,J356,0)</f>
      </c>
      <c r="AN356" s="57" t="n">
        <v>12</v>
      </c>
      <c r="AO356" s="57">
        <f>G356*0</f>
      </c>
      <c r="AP356" s="57">
        <f>G356*(1-0)</f>
      </c>
      <c r="AQ356" s="60" t="s">
        <v>89</v>
      </c>
      <c r="AV356" s="57">
        <f>ROUND(AW356+AX356,2)</f>
      </c>
      <c r="AW356" s="57">
        <f>ROUND(F356*AO356,2)</f>
      </c>
      <c r="AX356" s="57">
        <f>ROUND(F356*AP356,2)</f>
      </c>
      <c r="AY356" s="60" t="s">
        <v>367</v>
      </c>
      <c r="AZ356" s="60" t="s">
        <v>823</v>
      </c>
      <c r="BA356" s="33" t="s">
        <v>711</v>
      </c>
      <c r="BB356" s="61" t="n">
        <v>100108</v>
      </c>
      <c r="BC356" s="57">
        <f>AW356+AX356</f>
      </c>
      <c r="BD356" s="57">
        <f>G356/(100-BE356)*100</f>
      </c>
      <c r="BE356" s="57" t="n">
        <v>0</v>
      </c>
      <c r="BF356" s="57">
        <f>356</f>
      </c>
      <c r="BH356" s="57">
        <f>F356*AO356</f>
      </c>
      <c r="BI356" s="57">
        <f>F356*AP356</f>
      </c>
      <c r="BJ356" s="57">
        <f>F356*G356</f>
      </c>
      <c r="BK356" s="60" t="s">
        <v>66</v>
      </c>
      <c r="BL356" s="57" t="n">
        <v>764</v>
      </c>
      <c r="BW356" s="57" t="n">
        <v>12</v>
      </c>
      <c r="BX356" s="16" t="s">
        <v>935</v>
      </c>
    </row>
    <row r="357">
      <c r="A357" s="10" t="s">
        <v>936</v>
      </c>
      <c r="B357" s="11" t="s">
        <v>937</v>
      </c>
      <c r="C357" s="16" t="s">
        <v>938</v>
      </c>
      <c r="D357" s="11"/>
      <c r="E357" s="11" t="s">
        <v>174</v>
      </c>
      <c r="F357" s="57" t="n">
        <v>12.35882</v>
      </c>
      <c r="G357" s="58" t="n">
        <v>0</v>
      </c>
      <c r="H357" s="57">
        <f>ROUND(F357*AO357,2)</f>
      </c>
      <c r="I357" s="57">
        <f>ROUND(F357*AP357,2)</f>
      </c>
      <c r="J357" s="57">
        <f>ROUND(F357*G357,2)</f>
      </c>
      <c r="K357" s="59" t="s">
        <v>62</v>
      </c>
      <c r="Z357" s="57">
        <f>ROUND(IF(AQ357="5",BJ357,0),2)</f>
      </c>
      <c r="AB357" s="57">
        <f>ROUND(IF(AQ357="1",BH357,0),2)</f>
      </c>
      <c r="AC357" s="57">
        <f>ROUND(IF(AQ357="1",BI357,0),2)</f>
      </c>
      <c r="AD357" s="57">
        <f>ROUND(IF(AQ357="7",BH357,0),2)</f>
      </c>
      <c r="AE357" s="57">
        <f>ROUND(IF(AQ357="7",BI357,0),2)</f>
      </c>
      <c r="AF357" s="57">
        <f>ROUND(IF(AQ357="2",BH357,0),2)</f>
      </c>
      <c r="AG357" s="57">
        <f>ROUND(IF(AQ357="2",BI357,0),2)</f>
      </c>
      <c r="AH357" s="57">
        <f>ROUND(IF(AQ357="0",BJ357,0),2)</f>
      </c>
      <c r="AI357" s="33" t="s">
        <v>707</v>
      </c>
      <c r="AJ357" s="57">
        <f>IF(AN357=0,J357,0)</f>
      </c>
      <c r="AK357" s="57">
        <f>IF(AN357=12,J357,0)</f>
      </c>
      <c r="AL357" s="57">
        <f>IF(AN357=21,J357,0)</f>
      </c>
      <c r="AN357" s="57" t="n">
        <v>12</v>
      </c>
      <c r="AO357" s="57">
        <f>G357*1</f>
      </c>
      <c r="AP357" s="57">
        <f>G357*(1-1)</f>
      </c>
      <c r="AQ357" s="60" t="s">
        <v>89</v>
      </c>
      <c r="AV357" s="57">
        <f>ROUND(AW357+AX357,2)</f>
      </c>
      <c r="AW357" s="57">
        <f>ROUND(F357*AO357,2)</f>
      </c>
      <c r="AX357" s="57">
        <f>ROUND(F357*AP357,2)</f>
      </c>
      <c r="AY357" s="60" t="s">
        <v>367</v>
      </c>
      <c r="AZ357" s="60" t="s">
        <v>823</v>
      </c>
      <c r="BA357" s="33" t="s">
        <v>711</v>
      </c>
      <c r="BC357" s="57">
        <f>AW357+AX357</f>
      </c>
      <c r="BD357" s="57">
        <f>G357/(100-BE357)*100</f>
      </c>
      <c r="BE357" s="57" t="n">
        <v>0</v>
      </c>
      <c r="BF357" s="57">
        <f>357</f>
      </c>
      <c r="BH357" s="57">
        <f>F357*AO357</f>
      </c>
      <c r="BI357" s="57">
        <f>F357*AP357</f>
      </c>
      <c r="BJ357" s="57">
        <f>F357*G357</f>
      </c>
      <c r="BK357" s="60" t="s">
        <v>98</v>
      </c>
      <c r="BL357" s="57" t="n">
        <v>764</v>
      </c>
      <c r="BW357" s="57" t="n">
        <v>12</v>
      </c>
      <c r="BX357" s="16" t="s">
        <v>938</v>
      </c>
    </row>
    <row r="358">
      <c r="A358" s="10" t="s">
        <v>939</v>
      </c>
      <c r="B358" s="11" t="s">
        <v>940</v>
      </c>
      <c r="C358" s="16" t="s">
        <v>941</v>
      </c>
      <c r="D358" s="11"/>
      <c r="E358" s="11" t="s">
        <v>126</v>
      </c>
      <c r="F358" s="57" t="n">
        <v>107.4</v>
      </c>
      <c r="G358" s="58" t="n">
        <v>0</v>
      </c>
      <c r="H358" s="57">
        <f>ROUND(F358*AO358,2)</f>
      </c>
      <c r="I358" s="57">
        <f>ROUND(F358*AP358,2)</f>
      </c>
      <c r="J358" s="57">
        <f>ROUND(F358*G358,2)</f>
      </c>
      <c r="K358" s="59" t="s">
        <v>62</v>
      </c>
      <c r="Z358" s="57">
        <f>ROUND(IF(AQ358="5",BJ358,0),2)</f>
      </c>
      <c r="AB358" s="57">
        <f>ROUND(IF(AQ358="1",BH358,0),2)</f>
      </c>
      <c r="AC358" s="57">
        <f>ROUND(IF(AQ358="1",BI358,0),2)</f>
      </c>
      <c r="AD358" s="57">
        <f>ROUND(IF(AQ358="7",BH358,0),2)</f>
      </c>
      <c r="AE358" s="57">
        <f>ROUND(IF(AQ358="7",BI358,0),2)</f>
      </c>
      <c r="AF358" s="57">
        <f>ROUND(IF(AQ358="2",BH358,0),2)</f>
      </c>
      <c r="AG358" s="57">
        <f>ROUND(IF(AQ358="2",BI358,0),2)</f>
      </c>
      <c r="AH358" s="57">
        <f>ROUND(IF(AQ358="0",BJ358,0),2)</f>
      </c>
      <c r="AI358" s="33" t="s">
        <v>707</v>
      </c>
      <c r="AJ358" s="57">
        <f>IF(AN358=0,J358,0)</f>
      </c>
      <c r="AK358" s="57">
        <f>IF(AN358=12,J358,0)</f>
      </c>
      <c r="AL358" s="57">
        <f>IF(AN358=21,J358,0)</f>
      </c>
      <c r="AN358" s="57" t="n">
        <v>12</v>
      </c>
      <c r="AO358" s="57">
        <f>G358*0</f>
      </c>
      <c r="AP358" s="57">
        <f>G358*(1-0)</f>
      </c>
      <c r="AQ358" s="60" t="s">
        <v>89</v>
      </c>
      <c r="AV358" s="57">
        <f>ROUND(AW358+AX358,2)</f>
      </c>
      <c r="AW358" s="57">
        <f>ROUND(F358*AO358,2)</f>
      </c>
      <c r="AX358" s="57">
        <f>ROUND(F358*AP358,2)</f>
      </c>
      <c r="AY358" s="60" t="s">
        <v>367</v>
      </c>
      <c r="AZ358" s="60" t="s">
        <v>823</v>
      </c>
      <c r="BA358" s="33" t="s">
        <v>711</v>
      </c>
      <c r="BB358" s="61" t="n">
        <v>100108</v>
      </c>
      <c r="BC358" s="57">
        <f>AW358+AX358</f>
      </c>
      <c r="BD358" s="57">
        <f>G358/(100-BE358)*100</f>
      </c>
      <c r="BE358" s="57" t="n">
        <v>0</v>
      </c>
      <c r="BF358" s="57">
        <f>358</f>
      </c>
      <c r="BH358" s="57">
        <f>F358*AO358</f>
      </c>
      <c r="BI358" s="57">
        <f>F358*AP358</f>
      </c>
      <c r="BJ358" s="57">
        <f>F358*G358</f>
      </c>
      <c r="BK358" s="60" t="s">
        <v>66</v>
      </c>
      <c r="BL358" s="57" t="n">
        <v>764</v>
      </c>
      <c r="BW358" s="57" t="n">
        <v>12</v>
      </c>
      <c r="BX358" s="16" t="s">
        <v>941</v>
      </c>
    </row>
    <row r="359">
      <c r="A359" s="10" t="s">
        <v>942</v>
      </c>
      <c r="B359" s="11" t="s">
        <v>943</v>
      </c>
      <c r="C359" s="16" t="s">
        <v>944</v>
      </c>
      <c r="D359" s="11"/>
      <c r="E359" s="11" t="s">
        <v>174</v>
      </c>
      <c r="F359" s="57" t="n">
        <v>358</v>
      </c>
      <c r="G359" s="58" t="n">
        <v>0</v>
      </c>
      <c r="H359" s="57">
        <f>ROUND(F359*AO359,2)</f>
      </c>
      <c r="I359" s="57">
        <f>ROUND(F359*AP359,2)</f>
      </c>
      <c r="J359" s="57">
        <f>ROUND(F359*G359,2)</f>
      </c>
      <c r="K359" s="59" t="s">
        <v>62</v>
      </c>
      <c r="Z359" s="57">
        <f>ROUND(IF(AQ359="5",BJ359,0),2)</f>
      </c>
      <c r="AB359" s="57">
        <f>ROUND(IF(AQ359="1",BH359,0),2)</f>
      </c>
      <c r="AC359" s="57">
        <f>ROUND(IF(AQ359="1",BI359,0),2)</f>
      </c>
      <c r="AD359" s="57">
        <f>ROUND(IF(AQ359="7",BH359,0),2)</f>
      </c>
      <c r="AE359" s="57">
        <f>ROUND(IF(AQ359="7",BI359,0),2)</f>
      </c>
      <c r="AF359" s="57">
        <f>ROUND(IF(AQ359="2",BH359,0),2)</f>
      </c>
      <c r="AG359" s="57">
        <f>ROUND(IF(AQ359="2",BI359,0),2)</f>
      </c>
      <c r="AH359" s="57">
        <f>ROUND(IF(AQ359="0",BJ359,0),2)</f>
      </c>
      <c r="AI359" s="33" t="s">
        <v>707</v>
      </c>
      <c r="AJ359" s="57">
        <f>IF(AN359=0,J359,0)</f>
      </c>
      <c r="AK359" s="57">
        <f>IF(AN359=12,J359,0)</f>
      </c>
      <c r="AL359" s="57">
        <f>IF(AN359=21,J359,0)</f>
      </c>
      <c r="AN359" s="57" t="n">
        <v>12</v>
      </c>
      <c r="AO359" s="57">
        <f>G359*1</f>
      </c>
      <c r="AP359" s="57">
        <f>G359*(1-1)</f>
      </c>
      <c r="AQ359" s="60" t="s">
        <v>89</v>
      </c>
      <c r="AV359" s="57">
        <f>ROUND(AW359+AX359,2)</f>
      </c>
      <c r="AW359" s="57">
        <f>ROUND(F359*AO359,2)</f>
      </c>
      <c r="AX359" s="57">
        <f>ROUND(F359*AP359,2)</f>
      </c>
      <c r="AY359" s="60" t="s">
        <v>367</v>
      </c>
      <c r="AZ359" s="60" t="s">
        <v>823</v>
      </c>
      <c r="BA359" s="33" t="s">
        <v>711</v>
      </c>
      <c r="BC359" s="57">
        <f>AW359+AX359</f>
      </c>
      <c r="BD359" s="57">
        <f>G359/(100-BE359)*100</f>
      </c>
      <c r="BE359" s="57" t="n">
        <v>0</v>
      </c>
      <c r="BF359" s="57">
        <f>359</f>
      </c>
      <c r="BH359" s="57">
        <f>F359*AO359</f>
      </c>
      <c r="BI359" s="57">
        <f>F359*AP359</f>
      </c>
      <c r="BJ359" s="57">
        <f>F359*G359</f>
      </c>
      <c r="BK359" s="60" t="s">
        <v>98</v>
      </c>
      <c r="BL359" s="57" t="n">
        <v>764</v>
      </c>
      <c r="BW359" s="57" t="n">
        <v>12</v>
      </c>
      <c r="BX359" s="16" t="s">
        <v>944</v>
      </c>
    </row>
    <row r="360">
      <c r="A360" s="10" t="s">
        <v>945</v>
      </c>
      <c r="B360" s="11" t="s">
        <v>946</v>
      </c>
      <c r="C360" s="16" t="s">
        <v>947</v>
      </c>
      <c r="D360" s="11"/>
      <c r="E360" s="11" t="s">
        <v>174</v>
      </c>
      <c r="F360" s="57" t="n">
        <v>60.58461</v>
      </c>
      <c r="G360" s="58" t="n">
        <v>0</v>
      </c>
      <c r="H360" s="57">
        <f>ROUND(F360*AO360,2)</f>
      </c>
      <c r="I360" s="57">
        <f>ROUND(F360*AP360,2)</f>
      </c>
      <c r="J360" s="57">
        <f>ROUND(F360*G360,2)</f>
      </c>
      <c r="K360" s="59" t="s">
        <v>62</v>
      </c>
      <c r="Z360" s="57">
        <f>ROUND(IF(AQ360="5",BJ360,0),2)</f>
      </c>
      <c r="AB360" s="57">
        <f>ROUND(IF(AQ360="1",BH360,0),2)</f>
      </c>
      <c r="AC360" s="57">
        <f>ROUND(IF(AQ360="1",BI360,0),2)</f>
      </c>
      <c r="AD360" s="57">
        <f>ROUND(IF(AQ360="7",BH360,0),2)</f>
      </c>
      <c r="AE360" s="57">
        <f>ROUND(IF(AQ360="7",BI360,0),2)</f>
      </c>
      <c r="AF360" s="57">
        <f>ROUND(IF(AQ360="2",BH360,0),2)</f>
      </c>
      <c r="AG360" s="57">
        <f>ROUND(IF(AQ360="2",BI360,0),2)</f>
      </c>
      <c r="AH360" s="57">
        <f>ROUND(IF(AQ360="0",BJ360,0),2)</f>
      </c>
      <c r="AI360" s="33" t="s">
        <v>707</v>
      </c>
      <c r="AJ360" s="57">
        <f>IF(AN360=0,J360,0)</f>
      </c>
      <c r="AK360" s="57">
        <f>IF(AN360=12,J360,0)</f>
      </c>
      <c r="AL360" s="57">
        <f>IF(AN360=21,J360,0)</f>
      </c>
      <c r="AN360" s="57" t="n">
        <v>12</v>
      </c>
      <c r="AO360" s="57">
        <f>G360*1</f>
      </c>
      <c r="AP360" s="57">
        <f>G360*(1-1)</f>
      </c>
      <c r="AQ360" s="60" t="s">
        <v>89</v>
      </c>
      <c r="AV360" s="57">
        <f>ROUND(AW360+AX360,2)</f>
      </c>
      <c r="AW360" s="57">
        <f>ROUND(F360*AO360,2)</f>
      </c>
      <c r="AX360" s="57">
        <f>ROUND(F360*AP360,2)</f>
      </c>
      <c r="AY360" s="60" t="s">
        <v>367</v>
      </c>
      <c r="AZ360" s="60" t="s">
        <v>823</v>
      </c>
      <c r="BA360" s="33" t="s">
        <v>711</v>
      </c>
      <c r="BC360" s="57">
        <f>AW360+AX360</f>
      </c>
      <c r="BD360" s="57">
        <f>G360/(100-BE360)*100</f>
      </c>
      <c r="BE360" s="57" t="n">
        <v>0</v>
      </c>
      <c r="BF360" s="57">
        <f>360</f>
      </c>
      <c r="BH360" s="57">
        <f>F360*AO360</f>
      </c>
      <c r="BI360" s="57">
        <f>F360*AP360</f>
      </c>
      <c r="BJ360" s="57">
        <f>F360*G360</f>
      </c>
      <c r="BK360" s="60" t="s">
        <v>98</v>
      </c>
      <c r="BL360" s="57" t="n">
        <v>764</v>
      </c>
      <c r="BW360" s="57" t="n">
        <v>12</v>
      </c>
      <c r="BX360" s="16" t="s">
        <v>947</v>
      </c>
    </row>
    <row r="361">
      <c r="A361" s="10" t="s">
        <v>948</v>
      </c>
      <c r="B361" s="11" t="s">
        <v>138</v>
      </c>
      <c r="C361" s="16" t="s">
        <v>949</v>
      </c>
      <c r="D361" s="11"/>
      <c r="E361" s="11" t="s">
        <v>174</v>
      </c>
      <c r="F361" s="57" t="n">
        <v>23.628</v>
      </c>
      <c r="G361" s="58" t="n">
        <v>0</v>
      </c>
      <c r="H361" s="57">
        <f>ROUND(F361*AO361,2)</f>
      </c>
      <c r="I361" s="57">
        <f>ROUND(F361*AP361,2)</f>
      </c>
      <c r="J361" s="57">
        <f>ROUND(F361*G361,2)</f>
      </c>
      <c r="K361" s="59" t="s">
        <v>140</v>
      </c>
      <c r="Z361" s="57">
        <f>ROUND(IF(AQ361="5",BJ361,0),2)</f>
      </c>
      <c r="AB361" s="57">
        <f>ROUND(IF(AQ361="1",BH361,0),2)</f>
      </c>
      <c r="AC361" s="57">
        <f>ROUND(IF(AQ361="1",BI361,0),2)</f>
      </c>
      <c r="AD361" s="57">
        <f>ROUND(IF(AQ361="7",BH361,0),2)</f>
      </c>
      <c r="AE361" s="57">
        <f>ROUND(IF(AQ361="7",BI361,0),2)</f>
      </c>
      <c r="AF361" s="57">
        <f>ROUND(IF(AQ361="2",BH361,0),2)</f>
      </c>
      <c r="AG361" s="57">
        <f>ROUND(IF(AQ361="2",BI361,0),2)</f>
      </c>
      <c r="AH361" s="57">
        <f>ROUND(IF(AQ361="0",BJ361,0),2)</f>
      </c>
      <c r="AI361" s="33" t="s">
        <v>707</v>
      </c>
      <c r="AJ361" s="57">
        <f>IF(AN361=0,J361,0)</f>
      </c>
      <c r="AK361" s="57">
        <f>IF(AN361=12,J361,0)</f>
      </c>
      <c r="AL361" s="57">
        <f>IF(AN361=21,J361,0)</f>
      </c>
      <c r="AN361" s="57" t="n">
        <v>12</v>
      </c>
      <c r="AO361" s="57">
        <f>G361*1</f>
      </c>
      <c r="AP361" s="57">
        <f>G361*(1-1)</f>
      </c>
      <c r="AQ361" s="60" t="s">
        <v>89</v>
      </c>
      <c r="AV361" s="57">
        <f>ROUND(AW361+AX361,2)</f>
      </c>
      <c r="AW361" s="57">
        <f>ROUND(F361*AO361,2)</f>
      </c>
      <c r="AX361" s="57">
        <f>ROUND(F361*AP361,2)</f>
      </c>
      <c r="AY361" s="60" t="s">
        <v>367</v>
      </c>
      <c r="AZ361" s="60" t="s">
        <v>823</v>
      </c>
      <c r="BA361" s="33" t="s">
        <v>711</v>
      </c>
      <c r="BC361" s="57">
        <f>AW361+AX361</f>
      </c>
      <c r="BD361" s="57">
        <f>G361/(100-BE361)*100</f>
      </c>
      <c r="BE361" s="57" t="n">
        <v>0</v>
      </c>
      <c r="BF361" s="57">
        <f>361</f>
      </c>
      <c r="BH361" s="57">
        <f>F361*AO361</f>
      </c>
      <c r="BI361" s="57">
        <f>F361*AP361</f>
      </c>
      <c r="BJ361" s="57">
        <f>F361*G361</f>
      </c>
      <c r="BK361" s="60" t="s">
        <v>98</v>
      </c>
      <c r="BL361" s="57" t="n">
        <v>764</v>
      </c>
      <c r="BW361" s="57" t="n">
        <v>12</v>
      </c>
      <c r="BX361" s="16" t="s">
        <v>949</v>
      </c>
    </row>
    <row r="362">
      <c r="A362" s="10" t="s">
        <v>950</v>
      </c>
      <c r="B362" s="11" t="s">
        <v>951</v>
      </c>
      <c r="C362" s="16" t="s">
        <v>952</v>
      </c>
      <c r="D362" s="11"/>
      <c r="E362" s="11" t="s">
        <v>126</v>
      </c>
      <c r="F362" s="57" t="n">
        <v>54.5</v>
      </c>
      <c r="G362" s="58" t="n">
        <v>0</v>
      </c>
      <c r="H362" s="57">
        <f>ROUND(F362*AO362,2)</f>
      </c>
      <c r="I362" s="57">
        <f>ROUND(F362*AP362,2)</f>
      </c>
      <c r="J362" s="57">
        <f>ROUND(F362*G362,2)</f>
      </c>
      <c r="K362" s="59" t="s">
        <v>62</v>
      </c>
      <c r="Z362" s="57">
        <f>ROUND(IF(AQ362="5",BJ362,0),2)</f>
      </c>
      <c r="AB362" s="57">
        <f>ROUND(IF(AQ362="1",BH362,0),2)</f>
      </c>
      <c r="AC362" s="57">
        <f>ROUND(IF(AQ362="1",BI362,0),2)</f>
      </c>
      <c r="AD362" s="57">
        <f>ROUND(IF(AQ362="7",BH362,0),2)</f>
      </c>
      <c r="AE362" s="57">
        <f>ROUND(IF(AQ362="7",BI362,0),2)</f>
      </c>
      <c r="AF362" s="57">
        <f>ROUND(IF(AQ362="2",BH362,0),2)</f>
      </c>
      <c r="AG362" s="57">
        <f>ROUND(IF(AQ362="2",BI362,0),2)</f>
      </c>
      <c r="AH362" s="57">
        <f>ROUND(IF(AQ362="0",BJ362,0),2)</f>
      </c>
      <c r="AI362" s="33" t="s">
        <v>707</v>
      </c>
      <c r="AJ362" s="57">
        <f>IF(AN362=0,J362,0)</f>
      </c>
      <c r="AK362" s="57">
        <f>IF(AN362=12,J362,0)</f>
      </c>
      <c r="AL362" s="57">
        <f>IF(AN362=21,J362,0)</f>
      </c>
      <c r="AN362" s="57" t="n">
        <v>12</v>
      </c>
      <c r="AO362" s="57">
        <f>G362*0.022359033</f>
      </c>
      <c r="AP362" s="57">
        <f>G362*(1-0.022359033)</f>
      </c>
      <c r="AQ362" s="60" t="s">
        <v>89</v>
      </c>
      <c r="AV362" s="57">
        <f>ROUND(AW362+AX362,2)</f>
      </c>
      <c r="AW362" s="57">
        <f>ROUND(F362*AO362,2)</f>
      </c>
      <c r="AX362" s="57">
        <f>ROUND(F362*AP362,2)</f>
      </c>
      <c r="AY362" s="60" t="s">
        <v>367</v>
      </c>
      <c r="AZ362" s="60" t="s">
        <v>823</v>
      </c>
      <c r="BA362" s="33" t="s">
        <v>711</v>
      </c>
      <c r="BB362" s="61" t="n">
        <v>100108</v>
      </c>
      <c r="BC362" s="57">
        <f>AW362+AX362</f>
      </c>
      <c r="BD362" s="57">
        <f>G362/(100-BE362)*100</f>
      </c>
      <c r="BE362" s="57" t="n">
        <v>0</v>
      </c>
      <c r="BF362" s="57">
        <f>362</f>
      </c>
      <c r="BH362" s="57">
        <f>F362*AO362</f>
      </c>
      <c r="BI362" s="57">
        <f>F362*AP362</f>
      </c>
      <c r="BJ362" s="57">
        <f>F362*G362</f>
      </c>
      <c r="BK362" s="60" t="s">
        <v>66</v>
      </c>
      <c r="BL362" s="57" t="n">
        <v>764</v>
      </c>
      <c r="BW362" s="57" t="n">
        <v>12</v>
      </c>
      <c r="BX362" s="16" t="s">
        <v>952</v>
      </c>
    </row>
    <row r="363">
      <c r="A363" s="10" t="s">
        <v>953</v>
      </c>
      <c r="B363" s="11" t="s">
        <v>138</v>
      </c>
      <c r="C363" s="16" t="s">
        <v>954</v>
      </c>
      <c r="D363" s="11"/>
      <c r="E363" s="11" t="s">
        <v>61</v>
      </c>
      <c r="F363" s="57" t="n">
        <v>29.975</v>
      </c>
      <c r="G363" s="58" t="n">
        <v>0</v>
      </c>
      <c r="H363" s="57">
        <f>ROUND(F363*AO363,2)</f>
      </c>
      <c r="I363" s="57">
        <f>ROUND(F363*AP363,2)</f>
      </c>
      <c r="J363" s="57">
        <f>ROUND(F363*G363,2)</f>
      </c>
      <c r="K363" s="59" t="s">
        <v>140</v>
      </c>
      <c r="Z363" s="57">
        <f>ROUND(IF(AQ363="5",BJ363,0),2)</f>
      </c>
      <c r="AB363" s="57">
        <f>ROUND(IF(AQ363="1",BH363,0),2)</f>
      </c>
      <c r="AC363" s="57">
        <f>ROUND(IF(AQ363="1",BI363,0),2)</f>
      </c>
      <c r="AD363" s="57">
        <f>ROUND(IF(AQ363="7",BH363,0),2)</f>
      </c>
      <c r="AE363" s="57">
        <f>ROUND(IF(AQ363="7",BI363,0),2)</f>
      </c>
      <c r="AF363" s="57">
        <f>ROUND(IF(AQ363="2",BH363,0),2)</f>
      </c>
      <c r="AG363" s="57">
        <f>ROUND(IF(AQ363="2",BI363,0),2)</f>
      </c>
      <c r="AH363" s="57">
        <f>ROUND(IF(AQ363="0",BJ363,0),2)</f>
      </c>
      <c r="AI363" s="33" t="s">
        <v>707</v>
      </c>
      <c r="AJ363" s="57">
        <f>IF(AN363=0,J363,0)</f>
      </c>
      <c r="AK363" s="57">
        <f>IF(AN363=12,J363,0)</f>
      </c>
      <c r="AL363" s="57">
        <f>IF(AN363=21,J363,0)</f>
      </c>
      <c r="AN363" s="57" t="n">
        <v>12</v>
      </c>
      <c r="AO363" s="57">
        <f>G363*1</f>
      </c>
      <c r="AP363" s="57">
        <f>G363*(1-1)</f>
      </c>
      <c r="AQ363" s="60" t="s">
        <v>89</v>
      </c>
      <c r="AV363" s="57">
        <f>ROUND(AW363+AX363,2)</f>
      </c>
      <c r="AW363" s="57">
        <f>ROUND(F363*AO363,2)</f>
      </c>
      <c r="AX363" s="57">
        <f>ROUND(F363*AP363,2)</f>
      </c>
      <c r="AY363" s="60" t="s">
        <v>367</v>
      </c>
      <c r="AZ363" s="60" t="s">
        <v>823</v>
      </c>
      <c r="BA363" s="33" t="s">
        <v>711</v>
      </c>
      <c r="BC363" s="57">
        <f>AW363+AX363</f>
      </c>
      <c r="BD363" s="57">
        <f>G363/(100-BE363)*100</f>
      </c>
      <c r="BE363" s="57" t="n">
        <v>0</v>
      </c>
      <c r="BF363" s="57">
        <f>363</f>
      </c>
      <c r="BH363" s="57">
        <f>F363*AO363</f>
      </c>
      <c r="BI363" s="57">
        <f>F363*AP363</f>
      </c>
      <c r="BJ363" s="57">
        <f>F363*G363</f>
      </c>
      <c r="BK363" s="60" t="s">
        <v>98</v>
      </c>
      <c r="BL363" s="57" t="n">
        <v>764</v>
      </c>
      <c r="BW363" s="57" t="n">
        <v>12</v>
      </c>
      <c r="BX363" s="16" t="s">
        <v>954</v>
      </c>
    </row>
    <row r="364">
      <c r="A364" s="10" t="s">
        <v>955</v>
      </c>
      <c r="B364" s="11" t="s">
        <v>956</v>
      </c>
      <c r="C364" s="16" t="s">
        <v>957</v>
      </c>
      <c r="D364" s="11"/>
      <c r="E364" s="11" t="s">
        <v>126</v>
      </c>
      <c r="F364" s="57" t="n">
        <v>79.5</v>
      </c>
      <c r="G364" s="58" t="n">
        <v>0</v>
      </c>
      <c r="H364" s="57">
        <f>ROUND(F364*AO364,2)</f>
      </c>
      <c r="I364" s="57">
        <f>ROUND(F364*AP364,2)</f>
      </c>
      <c r="J364" s="57">
        <f>ROUND(F364*G364,2)</f>
      </c>
      <c r="K364" s="59" t="s">
        <v>62</v>
      </c>
      <c r="Z364" s="57">
        <f>ROUND(IF(AQ364="5",BJ364,0),2)</f>
      </c>
      <c r="AB364" s="57">
        <f>ROUND(IF(AQ364="1",BH364,0),2)</f>
      </c>
      <c r="AC364" s="57">
        <f>ROUND(IF(AQ364="1",BI364,0),2)</f>
      </c>
      <c r="AD364" s="57">
        <f>ROUND(IF(AQ364="7",BH364,0),2)</f>
      </c>
      <c r="AE364" s="57">
        <f>ROUND(IF(AQ364="7",BI364,0),2)</f>
      </c>
      <c r="AF364" s="57">
        <f>ROUND(IF(AQ364="2",BH364,0),2)</f>
      </c>
      <c r="AG364" s="57">
        <f>ROUND(IF(AQ364="2",BI364,0),2)</f>
      </c>
      <c r="AH364" s="57">
        <f>ROUND(IF(AQ364="0",BJ364,0),2)</f>
      </c>
      <c r="AI364" s="33" t="s">
        <v>707</v>
      </c>
      <c r="AJ364" s="57">
        <f>IF(AN364=0,J364,0)</f>
      </c>
      <c r="AK364" s="57">
        <f>IF(AN364=12,J364,0)</f>
      </c>
      <c r="AL364" s="57">
        <f>IF(AN364=21,J364,0)</f>
      </c>
      <c r="AN364" s="57" t="n">
        <v>12</v>
      </c>
      <c r="AO364" s="57">
        <f>G364*0.027057903</f>
      </c>
      <c r="AP364" s="57">
        <f>G364*(1-0.027057903)</f>
      </c>
      <c r="AQ364" s="60" t="s">
        <v>89</v>
      </c>
      <c r="AV364" s="57">
        <f>ROUND(AW364+AX364,2)</f>
      </c>
      <c r="AW364" s="57">
        <f>ROUND(F364*AO364,2)</f>
      </c>
      <c r="AX364" s="57">
        <f>ROUND(F364*AP364,2)</f>
      </c>
      <c r="AY364" s="60" t="s">
        <v>367</v>
      </c>
      <c r="AZ364" s="60" t="s">
        <v>823</v>
      </c>
      <c r="BA364" s="33" t="s">
        <v>711</v>
      </c>
      <c r="BB364" s="61" t="n">
        <v>100108</v>
      </c>
      <c r="BC364" s="57">
        <f>AW364+AX364</f>
      </c>
      <c r="BD364" s="57">
        <f>G364/(100-BE364)*100</f>
      </c>
      <c r="BE364" s="57" t="n">
        <v>0</v>
      </c>
      <c r="BF364" s="57">
        <f>364</f>
      </c>
      <c r="BH364" s="57">
        <f>F364*AO364</f>
      </c>
      <c r="BI364" s="57">
        <f>F364*AP364</f>
      </c>
      <c r="BJ364" s="57">
        <f>F364*G364</f>
      </c>
      <c r="BK364" s="60" t="s">
        <v>66</v>
      </c>
      <c r="BL364" s="57" t="n">
        <v>764</v>
      </c>
      <c r="BW364" s="57" t="n">
        <v>12</v>
      </c>
      <c r="BX364" s="16" t="s">
        <v>957</v>
      </c>
    </row>
    <row r="365">
      <c r="A365" s="10" t="s">
        <v>958</v>
      </c>
      <c r="B365" s="11" t="s">
        <v>959</v>
      </c>
      <c r="C365" s="16" t="s">
        <v>960</v>
      </c>
      <c r="D365" s="11"/>
      <c r="E365" s="11" t="s">
        <v>174</v>
      </c>
      <c r="F365" s="57" t="n">
        <v>44.84616</v>
      </c>
      <c r="G365" s="58" t="n">
        <v>0</v>
      </c>
      <c r="H365" s="57">
        <f>ROUND(F365*AO365,2)</f>
      </c>
      <c r="I365" s="57">
        <f>ROUND(F365*AP365,2)</f>
      </c>
      <c r="J365" s="57">
        <f>ROUND(F365*G365,2)</f>
      </c>
      <c r="K365" s="59" t="s">
        <v>62</v>
      </c>
      <c r="Z365" s="57">
        <f>ROUND(IF(AQ365="5",BJ365,0),2)</f>
      </c>
      <c r="AB365" s="57">
        <f>ROUND(IF(AQ365="1",BH365,0),2)</f>
      </c>
      <c r="AC365" s="57">
        <f>ROUND(IF(AQ365="1",BI365,0),2)</f>
      </c>
      <c r="AD365" s="57">
        <f>ROUND(IF(AQ365="7",BH365,0),2)</f>
      </c>
      <c r="AE365" s="57">
        <f>ROUND(IF(AQ365="7",BI365,0),2)</f>
      </c>
      <c r="AF365" s="57">
        <f>ROUND(IF(AQ365="2",BH365,0),2)</f>
      </c>
      <c r="AG365" s="57">
        <f>ROUND(IF(AQ365="2",BI365,0),2)</f>
      </c>
      <c r="AH365" s="57">
        <f>ROUND(IF(AQ365="0",BJ365,0),2)</f>
      </c>
      <c r="AI365" s="33" t="s">
        <v>707</v>
      </c>
      <c r="AJ365" s="57">
        <f>IF(AN365=0,J365,0)</f>
      </c>
      <c r="AK365" s="57">
        <f>IF(AN365=12,J365,0)</f>
      </c>
      <c r="AL365" s="57">
        <f>IF(AN365=21,J365,0)</f>
      </c>
      <c r="AN365" s="57" t="n">
        <v>12</v>
      </c>
      <c r="AO365" s="57">
        <f>G365*1</f>
      </c>
      <c r="AP365" s="57">
        <f>G365*(1-1)</f>
      </c>
      <c r="AQ365" s="60" t="s">
        <v>89</v>
      </c>
      <c r="AV365" s="57">
        <f>ROUND(AW365+AX365,2)</f>
      </c>
      <c r="AW365" s="57">
        <f>ROUND(F365*AO365,2)</f>
      </c>
      <c r="AX365" s="57">
        <f>ROUND(F365*AP365,2)</f>
      </c>
      <c r="AY365" s="60" t="s">
        <v>367</v>
      </c>
      <c r="AZ365" s="60" t="s">
        <v>823</v>
      </c>
      <c r="BA365" s="33" t="s">
        <v>711</v>
      </c>
      <c r="BC365" s="57">
        <f>AW365+AX365</f>
      </c>
      <c r="BD365" s="57">
        <f>G365/(100-BE365)*100</f>
      </c>
      <c r="BE365" s="57" t="n">
        <v>0</v>
      </c>
      <c r="BF365" s="57">
        <f>365</f>
      </c>
      <c r="BH365" s="57">
        <f>F365*AO365</f>
      </c>
      <c r="BI365" s="57">
        <f>F365*AP365</f>
      </c>
      <c r="BJ365" s="57">
        <f>F365*G365</f>
      </c>
      <c r="BK365" s="60" t="s">
        <v>98</v>
      </c>
      <c r="BL365" s="57" t="n">
        <v>764</v>
      </c>
      <c r="BW365" s="57" t="n">
        <v>12</v>
      </c>
      <c r="BX365" s="16" t="s">
        <v>960</v>
      </c>
    </row>
    <row r="366">
      <c r="A366" s="10" t="s">
        <v>961</v>
      </c>
      <c r="B366" s="11" t="s">
        <v>392</v>
      </c>
      <c r="C366" s="16" t="s">
        <v>393</v>
      </c>
      <c r="D366" s="11"/>
      <c r="E366" s="11" t="s">
        <v>314</v>
      </c>
      <c r="F366" s="57" t="n">
        <v>25.84353</v>
      </c>
      <c r="G366" s="58" t="n">
        <v>0</v>
      </c>
      <c r="H366" s="57">
        <f>ROUND(F366*AO366,2)</f>
      </c>
      <c r="I366" s="57">
        <f>ROUND(F366*AP366,2)</f>
      </c>
      <c r="J366" s="57">
        <f>ROUND(F366*G366,2)</f>
      </c>
      <c r="K366" s="59" t="s">
        <v>62</v>
      </c>
      <c r="Z366" s="57">
        <f>ROUND(IF(AQ366="5",BJ366,0),2)</f>
      </c>
      <c r="AB366" s="57">
        <f>ROUND(IF(AQ366="1",BH366,0),2)</f>
      </c>
      <c r="AC366" s="57">
        <f>ROUND(IF(AQ366="1",BI366,0),2)</f>
      </c>
      <c r="AD366" s="57">
        <f>ROUND(IF(AQ366="7",BH366,0),2)</f>
      </c>
      <c r="AE366" s="57">
        <f>ROUND(IF(AQ366="7",BI366,0),2)</f>
      </c>
      <c r="AF366" s="57">
        <f>ROUND(IF(AQ366="2",BH366,0),2)</f>
      </c>
      <c r="AG366" s="57">
        <f>ROUND(IF(AQ366="2",BI366,0),2)</f>
      </c>
      <c r="AH366" s="57">
        <f>ROUND(IF(AQ366="0",BJ366,0),2)</f>
      </c>
      <c r="AI366" s="33" t="s">
        <v>707</v>
      </c>
      <c r="AJ366" s="57">
        <f>IF(AN366=0,J366,0)</f>
      </c>
      <c r="AK366" s="57">
        <f>IF(AN366=12,J366,0)</f>
      </c>
      <c r="AL366" s="57">
        <f>IF(AN366=21,J366,0)</f>
      </c>
      <c r="AN366" s="57" t="n">
        <v>12</v>
      </c>
      <c r="AO366" s="57">
        <f>G366*0</f>
      </c>
      <c r="AP366" s="57">
        <f>G366*(1-0)</f>
      </c>
      <c r="AQ366" s="60" t="s">
        <v>76</v>
      </c>
      <c r="AV366" s="57">
        <f>ROUND(AW366+AX366,2)</f>
      </c>
      <c r="AW366" s="57">
        <f>ROUND(F366*AO366,2)</f>
      </c>
      <c r="AX366" s="57">
        <f>ROUND(F366*AP366,2)</f>
      </c>
      <c r="AY366" s="60" t="s">
        <v>367</v>
      </c>
      <c r="AZ366" s="60" t="s">
        <v>823</v>
      </c>
      <c r="BA366" s="33" t="s">
        <v>711</v>
      </c>
      <c r="BB366" s="61" t="n">
        <v>100108</v>
      </c>
      <c r="BC366" s="57">
        <f>AW366+AX366</f>
      </c>
      <c r="BD366" s="57">
        <f>G366/(100-BE366)*100</f>
      </c>
      <c r="BE366" s="57" t="n">
        <v>0</v>
      </c>
      <c r="BF366" s="57">
        <f>366</f>
      </c>
      <c r="BH366" s="57">
        <f>F366*AO366</f>
      </c>
      <c r="BI366" s="57">
        <f>F366*AP366</f>
      </c>
      <c r="BJ366" s="57">
        <f>F366*G366</f>
      </c>
      <c r="BK366" s="60" t="s">
        <v>66</v>
      </c>
      <c r="BL366" s="57" t="n">
        <v>764</v>
      </c>
      <c r="BW366" s="57" t="n">
        <v>12</v>
      </c>
      <c r="BX366" s="16" t="s">
        <v>393</v>
      </c>
    </row>
    <row r="367">
      <c r="A367" s="51" t="s">
        <v>53</v>
      </c>
      <c r="B367" s="52" t="s">
        <v>962</v>
      </c>
      <c r="C367" s="53" t="s">
        <v>963</v>
      </c>
      <c r="D367" s="52"/>
      <c r="E367" s="54" t="s">
        <v>4</v>
      </c>
      <c r="F367" s="54" t="s">
        <v>4</v>
      </c>
      <c r="G367" s="55" t="s">
        <v>4</v>
      </c>
      <c r="H367" s="2">
        <f>ROUND(SUM(H368:H371),2)</f>
      </c>
      <c r="I367" s="2">
        <f>ROUND(SUM(I368:I371),2)</f>
      </c>
      <c r="J367" s="2">
        <f>ROUND(SUM(J368:J371),2)</f>
      </c>
      <c r="K367" s="56" t="s">
        <v>53</v>
      </c>
      <c r="AI367" s="33" t="s">
        <v>707</v>
      </c>
      <c r="AS367" s="2">
        <f>SUM(AJ368:AJ371)</f>
      </c>
      <c r="AT367" s="2">
        <f>SUM(AK368:AK371)</f>
      </c>
      <c r="AU367" s="2">
        <f>SUM(AL368:AL371)</f>
      </c>
    </row>
    <row r="368">
      <c r="A368" s="10" t="s">
        <v>964</v>
      </c>
      <c r="B368" s="11" t="s">
        <v>965</v>
      </c>
      <c r="C368" s="16" t="s">
        <v>966</v>
      </c>
      <c r="D368" s="11"/>
      <c r="E368" s="11" t="s">
        <v>61</v>
      </c>
      <c r="F368" s="57" t="n">
        <v>1546.56071</v>
      </c>
      <c r="G368" s="58" t="n">
        <v>0</v>
      </c>
      <c r="H368" s="57">
        <f>ROUND(F368*AO368,2)</f>
      </c>
      <c r="I368" s="57">
        <f>ROUND(F368*AP368,2)</f>
      </c>
      <c r="J368" s="57">
        <f>ROUND(F368*G368,2)</f>
      </c>
      <c r="K368" s="59" t="s">
        <v>62</v>
      </c>
      <c r="Z368" s="57">
        <f>ROUND(IF(AQ368="5",BJ368,0),2)</f>
      </c>
      <c r="AB368" s="57">
        <f>ROUND(IF(AQ368="1",BH368,0),2)</f>
      </c>
      <c r="AC368" s="57">
        <f>ROUND(IF(AQ368="1",BI368,0),2)</f>
      </c>
      <c r="AD368" s="57">
        <f>ROUND(IF(AQ368="7",BH368,0),2)</f>
      </c>
      <c r="AE368" s="57">
        <f>ROUND(IF(AQ368="7",BI368,0),2)</f>
      </c>
      <c r="AF368" s="57">
        <f>ROUND(IF(AQ368="2",BH368,0),2)</f>
      </c>
      <c r="AG368" s="57">
        <f>ROUND(IF(AQ368="2",BI368,0),2)</f>
      </c>
      <c r="AH368" s="57">
        <f>ROUND(IF(AQ368="0",BJ368,0),2)</f>
      </c>
      <c r="AI368" s="33" t="s">
        <v>707</v>
      </c>
      <c r="AJ368" s="57">
        <f>IF(AN368=0,J368,0)</f>
      </c>
      <c r="AK368" s="57">
        <f>IF(AN368=12,J368,0)</f>
      </c>
      <c r="AL368" s="57">
        <f>IF(AN368=21,J368,0)</f>
      </c>
      <c r="AN368" s="57" t="n">
        <v>12</v>
      </c>
      <c r="AO368" s="57">
        <f>G368*0</f>
      </c>
      <c r="AP368" s="57">
        <f>G368*(1-0)</f>
      </c>
      <c r="AQ368" s="60" t="s">
        <v>89</v>
      </c>
      <c r="AV368" s="57">
        <f>ROUND(AW368+AX368,2)</f>
      </c>
      <c r="AW368" s="57">
        <f>ROUND(F368*AO368,2)</f>
      </c>
      <c r="AX368" s="57">
        <f>ROUND(F368*AP368,2)</f>
      </c>
      <c r="AY368" s="60" t="s">
        <v>967</v>
      </c>
      <c r="AZ368" s="60" t="s">
        <v>968</v>
      </c>
      <c r="BA368" s="33" t="s">
        <v>711</v>
      </c>
      <c r="BB368" s="61" t="n">
        <v>100109</v>
      </c>
      <c r="BC368" s="57">
        <f>AW368+AX368</f>
      </c>
      <c r="BD368" s="57">
        <f>G368/(100-BE368)*100</f>
      </c>
      <c r="BE368" s="57" t="n">
        <v>0</v>
      </c>
      <c r="BF368" s="57">
        <f>368</f>
      </c>
      <c r="BH368" s="57">
        <f>F368*AO368</f>
      </c>
      <c r="BI368" s="57">
        <f>F368*AP368</f>
      </c>
      <c r="BJ368" s="57">
        <f>F368*G368</f>
      </c>
      <c r="BK368" s="60" t="s">
        <v>66</v>
      </c>
      <c r="BL368" s="57" t="n">
        <v>765</v>
      </c>
      <c r="BW368" s="57" t="n">
        <v>12</v>
      </c>
      <c r="BX368" s="16" t="s">
        <v>966</v>
      </c>
    </row>
    <row r="369">
      <c r="A369" s="10" t="s">
        <v>969</v>
      </c>
      <c r="B369" s="11" t="s">
        <v>970</v>
      </c>
      <c r="C369" s="16" t="s">
        <v>971</v>
      </c>
      <c r="D369" s="11"/>
      <c r="E369" s="11" t="s">
        <v>61</v>
      </c>
      <c r="F369" s="57" t="n">
        <v>1546.56071</v>
      </c>
      <c r="G369" s="58" t="n">
        <v>0</v>
      </c>
      <c r="H369" s="57">
        <f>ROUND(F369*AO369,2)</f>
      </c>
      <c r="I369" s="57">
        <f>ROUND(F369*AP369,2)</f>
      </c>
      <c r="J369" s="57">
        <f>ROUND(F369*G369,2)</f>
      </c>
      <c r="K369" s="59" t="s">
        <v>62</v>
      </c>
      <c r="Z369" s="57">
        <f>ROUND(IF(AQ369="5",BJ369,0),2)</f>
      </c>
      <c r="AB369" s="57">
        <f>ROUND(IF(AQ369="1",BH369,0),2)</f>
      </c>
      <c r="AC369" s="57">
        <f>ROUND(IF(AQ369="1",BI369,0),2)</f>
      </c>
      <c r="AD369" s="57">
        <f>ROUND(IF(AQ369="7",BH369,0),2)</f>
      </c>
      <c r="AE369" s="57">
        <f>ROUND(IF(AQ369="7",BI369,0),2)</f>
      </c>
      <c r="AF369" s="57">
        <f>ROUND(IF(AQ369="2",BH369,0),2)</f>
      </c>
      <c r="AG369" s="57">
        <f>ROUND(IF(AQ369="2",BI369,0),2)</f>
      </c>
      <c r="AH369" s="57">
        <f>ROUND(IF(AQ369="0",BJ369,0),2)</f>
      </c>
      <c r="AI369" s="33" t="s">
        <v>707</v>
      </c>
      <c r="AJ369" s="57">
        <f>IF(AN369=0,J369,0)</f>
      </c>
      <c r="AK369" s="57">
        <f>IF(AN369=12,J369,0)</f>
      </c>
      <c r="AL369" s="57">
        <f>IF(AN369=21,J369,0)</f>
      </c>
      <c r="AN369" s="57" t="n">
        <v>12</v>
      </c>
      <c r="AO369" s="57">
        <f>G369*0.317134515</f>
      </c>
      <c r="AP369" s="57">
        <f>G369*(1-0.317134515)</f>
      </c>
      <c r="AQ369" s="60" t="s">
        <v>89</v>
      </c>
      <c r="AV369" s="57">
        <f>ROUND(AW369+AX369,2)</f>
      </c>
      <c r="AW369" s="57">
        <f>ROUND(F369*AO369,2)</f>
      </c>
      <c r="AX369" s="57">
        <f>ROUND(F369*AP369,2)</f>
      </c>
      <c r="AY369" s="60" t="s">
        <v>967</v>
      </c>
      <c r="AZ369" s="60" t="s">
        <v>968</v>
      </c>
      <c r="BA369" s="33" t="s">
        <v>711</v>
      </c>
      <c r="BB369" s="61" t="n">
        <v>100109</v>
      </c>
      <c r="BC369" s="57">
        <f>AW369+AX369</f>
      </c>
      <c r="BD369" s="57">
        <f>G369/(100-BE369)*100</f>
      </c>
      <c r="BE369" s="57" t="n">
        <v>0</v>
      </c>
      <c r="BF369" s="57">
        <f>369</f>
      </c>
      <c r="BH369" s="57">
        <f>F369*AO369</f>
      </c>
      <c r="BI369" s="57">
        <f>F369*AP369</f>
      </c>
      <c r="BJ369" s="57">
        <f>F369*G369</f>
      </c>
      <c r="BK369" s="60" t="s">
        <v>66</v>
      </c>
      <c r="BL369" s="57" t="n">
        <v>765</v>
      </c>
      <c r="BW369" s="57" t="n">
        <v>12</v>
      </c>
      <c r="BX369" s="16" t="s">
        <v>971</v>
      </c>
    </row>
    <row r="370" customHeight="true" ht="13.5">
      <c r="A370" s="62"/>
      <c r="B370" s="63" t="s">
        <v>106</v>
      </c>
      <c r="C370" s="64" t="s">
        <v>972</v>
      </c>
      <c r="D370" s="65"/>
      <c r="E370" s="65"/>
      <c r="F370" s="65"/>
      <c r="G370" s="66"/>
      <c r="H370" s="65"/>
      <c r="I370" s="65"/>
      <c r="J370" s="65"/>
      <c r="K370" s="67"/>
    </row>
    <row r="371">
      <c r="A371" s="10" t="s">
        <v>973</v>
      </c>
      <c r="B371" s="11" t="s">
        <v>974</v>
      </c>
      <c r="C371" s="16" t="s">
        <v>975</v>
      </c>
      <c r="D371" s="11"/>
      <c r="E371" s="11" t="s">
        <v>314</v>
      </c>
      <c r="F371" s="57" t="n">
        <v>0.58769</v>
      </c>
      <c r="G371" s="58" t="n">
        <v>0</v>
      </c>
      <c r="H371" s="57">
        <f>ROUND(F371*AO371,2)</f>
      </c>
      <c r="I371" s="57">
        <f>ROUND(F371*AP371,2)</f>
      </c>
      <c r="J371" s="57">
        <f>ROUND(F371*G371,2)</f>
      </c>
      <c r="K371" s="59" t="s">
        <v>62</v>
      </c>
      <c r="Z371" s="57">
        <f>ROUND(IF(AQ371="5",BJ371,0),2)</f>
      </c>
      <c r="AB371" s="57">
        <f>ROUND(IF(AQ371="1",BH371,0),2)</f>
      </c>
      <c r="AC371" s="57">
        <f>ROUND(IF(AQ371="1",BI371,0),2)</f>
      </c>
      <c r="AD371" s="57">
        <f>ROUND(IF(AQ371="7",BH371,0),2)</f>
      </c>
      <c r="AE371" s="57">
        <f>ROUND(IF(AQ371="7",BI371,0),2)</f>
      </c>
      <c r="AF371" s="57">
        <f>ROUND(IF(AQ371="2",BH371,0),2)</f>
      </c>
      <c r="AG371" s="57">
        <f>ROUND(IF(AQ371="2",BI371,0),2)</f>
      </c>
      <c r="AH371" s="57">
        <f>ROUND(IF(AQ371="0",BJ371,0),2)</f>
      </c>
      <c r="AI371" s="33" t="s">
        <v>707</v>
      </c>
      <c r="AJ371" s="57">
        <f>IF(AN371=0,J371,0)</f>
      </c>
      <c r="AK371" s="57">
        <f>IF(AN371=12,J371,0)</f>
      </c>
      <c r="AL371" s="57">
        <f>IF(AN371=21,J371,0)</f>
      </c>
      <c r="AN371" s="57" t="n">
        <v>12</v>
      </c>
      <c r="AO371" s="57">
        <f>G371*0</f>
      </c>
      <c r="AP371" s="57">
        <f>G371*(1-0)</f>
      </c>
      <c r="AQ371" s="60" t="s">
        <v>76</v>
      </c>
      <c r="AV371" s="57">
        <f>ROUND(AW371+AX371,2)</f>
      </c>
      <c r="AW371" s="57">
        <f>ROUND(F371*AO371,2)</f>
      </c>
      <c r="AX371" s="57">
        <f>ROUND(F371*AP371,2)</f>
      </c>
      <c r="AY371" s="60" t="s">
        <v>967</v>
      </c>
      <c r="AZ371" s="60" t="s">
        <v>968</v>
      </c>
      <c r="BA371" s="33" t="s">
        <v>711</v>
      </c>
      <c r="BB371" s="61" t="n">
        <v>100109</v>
      </c>
      <c r="BC371" s="57">
        <f>AW371+AX371</f>
      </c>
      <c r="BD371" s="57">
        <f>G371/(100-BE371)*100</f>
      </c>
      <c r="BE371" s="57" t="n">
        <v>0</v>
      </c>
      <c r="BF371" s="57">
        <f>371</f>
      </c>
      <c r="BH371" s="57">
        <f>F371*AO371</f>
      </c>
      <c r="BI371" s="57">
        <f>F371*AP371</f>
      </c>
      <c r="BJ371" s="57">
        <f>F371*G371</f>
      </c>
      <c r="BK371" s="60" t="s">
        <v>66</v>
      </c>
      <c r="BL371" s="57" t="n">
        <v>765</v>
      </c>
      <c r="BW371" s="57" t="n">
        <v>12</v>
      </c>
      <c r="BX371" s="16" t="s">
        <v>975</v>
      </c>
    </row>
    <row r="372">
      <c r="A372" s="51" t="s">
        <v>53</v>
      </c>
      <c r="B372" s="52" t="s">
        <v>394</v>
      </c>
      <c r="C372" s="53" t="s">
        <v>395</v>
      </c>
      <c r="D372" s="52"/>
      <c r="E372" s="54" t="s">
        <v>4</v>
      </c>
      <c r="F372" s="54" t="s">
        <v>4</v>
      </c>
      <c r="G372" s="55" t="s">
        <v>4</v>
      </c>
      <c r="H372" s="2">
        <f>ROUND(SUM(H373:H375),2)</f>
      </c>
      <c r="I372" s="2">
        <f>ROUND(SUM(I373:I375),2)</f>
      </c>
      <c r="J372" s="2">
        <f>ROUND(SUM(J373:J375),2)</f>
      </c>
      <c r="K372" s="56" t="s">
        <v>53</v>
      </c>
      <c r="AI372" s="33" t="s">
        <v>707</v>
      </c>
      <c r="AS372" s="2">
        <f>SUM(AJ373:AJ375)</f>
      </c>
      <c r="AT372" s="2">
        <f>SUM(AK373:AK375)</f>
      </c>
      <c r="AU372" s="2">
        <f>SUM(AL373:AL375)</f>
      </c>
    </row>
    <row r="373">
      <c r="A373" s="10" t="s">
        <v>976</v>
      </c>
      <c r="B373" s="11" t="s">
        <v>977</v>
      </c>
      <c r="C373" s="16" t="s">
        <v>978</v>
      </c>
      <c r="D373" s="11"/>
      <c r="E373" s="11" t="s">
        <v>61</v>
      </c>
      <c r="F373" s="57" t="n">
        <v>8.85</v>
      </c>
      <c r="G373" s="58" t="n">
        <v>0</v>
      </c>
      <c r="H373" s="57">
        <f>ROUND(F373*AO373,2)</f>
      </c>
      <c r="I373" s="57">
        <f>ROUND(F373*AP373,2)</f>
      </c>
      <c r="J373" s="57">
        <f>ROUND(F373*G373,2)</f>
      </c>
      <c r="K373" s="59" t="s">
        <v>62</v>
      </c>
      <c r="Z373" s="57">
        <f>ROUND(IF(AQ373="5",BJ373,0),2)</f>
      </c>
      <c r="AB373" s="57">
        <f>ROUND(IF(AQ373="1",BH373,0),2)</f>
      </c>
      <c r="AC373" s="57">
        <f>ROUND(IF(AQ373="1",BI373,0),2)</f>
      </c>
      <c r="AD373" s="57">
        <f>ROUND(IF(AQ373="7",BH373,0),2)</f>
      </c>
      <c r="AE373" s="57">
        <f>ROUND(IF(AQ373="7",BI373,0),2)</f>
      </c>
      <c r="AF373" s="57">
        <f>ROUND(IF(AQ373="2",BH373,0),2)</f>
      </c>
      <c r="AG373" s="57">
        <f>ROUND(IF(AQ373="2",BI373,0),2)</f>
      </c>
      <c r="AH373" s="57">
        <f>ROUND(IF(AQ373="0",BJ373,0),2)</f>
      </c>
      <c r="AI373" s="33" t="s">
        <v>707</v>
      </c>
      <c r="AJ373" s="57">
        <f>IF(AN373=0,J373,0)</f>
      </c>
      <c r="AK373" s="57">
        <f>IF(AN373=12,J373,0)</f>
      </c>
      <c r="AL373" s="57">
        <f>IF(AN373=21,J373,0)</f>
      </c>
      <c r="AN373" s="57" t="n">
        <v>12</v>
      </c>
      <c r="AO373" s="57">
        <f>G373*0.012375666</f>
      </c>
      <c r="AP373" s="57">
        <f>G373*(1-0.012375666)</f>
      </c>
      <c r="AQ373" s="60" t="s">
        <v>89</v>
      </c>
      <c r="AV373" s="57">
        <f>ROUND(AW373+AX373,2)</f>
      </c>
      <c r="AW373" s="57">
        <f>ROUND(F373*AO373,2)</f>
      </c>
      <c r="AX373" s="57">
        <f>ROUND(F373*AP373,2)</f>
      </c>
      <c r="AY373" s="60" t="s">
        <v>399</v>
      </c>
      <c r="AZ373" s="60" t="s">
        <v>979</v>
      </c>
      <c r="BA373" s="33" t="s">
        <v>711</v>
      </c>
      <c r="BB373" s="61" t="n">
        <v>100110</v>
      </c>
      <c r="BC373" s="57">
        <f>AW373+AX373</f>
      </c>
      <c r="BD373" s="57">
        <f>G373/(100-BE373)*100</f>
      </c>
      <c r="BE373" s="57" t="n">
        <v>0</v>
      </c>
      <c r="BF373" s="57">
        <f>373</f>
      </c>
      <c r="BH373" s="57">
        <f>F373*AO373</f>
      </c>
      <c r="BI373" s="57">
        <f>F373*AP373</f>
      </c>
      <c r="BJ373" s="57">
        <f>F373*G373</f>
      </c>
      <c r="BK373" s="60" t="s">
        <v>66</v>
      </c>
      <c r="BL373" s="57" t="n">
        <v>766</v>
      </c>
      <c r="BW373" s="57" t="n">
        <v>12</v>
      </c>
      <c r="BX373" s="16" t="s">
        <v>978</v>
      </c>
    </row>
    <row r="374">
      <c r="A374" s="10" t="s">
        <v>980</v>
      </c>
      <c r="B374" s="11" t="s">
        <v>138</v>
      </c>
      <c r="C374" s="16" t="s">
        <v>981</v>
      </c>
      <c r="D374" s="11"/>
      <c r="E374" s="11" t="s">
        <v>61</v>
      </c>
      <c r="F374" s="57" t="n">
        <v>9.735</v>
      </c>
      <c r="G374" s="58" t="n">
        <v>0</v>
      </c>
      <c r="H374" s="57">
        <f>ROUND(F374*AO374,2)</f>
      </c>
      <c r="I374" s="57">
        <f>ROUND(F374*AP374,2)</f>
      </c>
      <c r="J374" s="57">
        <f>ROUND(F374*G374,2)</f>
      </c>
      <c r="K374" s="59" t="s">
        <v>140</v>
      </c>
      <c r="Z374" s="57">
        <f>ROUND(IF(AQ374="5",BJ374,0),2)</f>
      </c>
      <c r="AB374" s="57">
        <f>ROUND(IF(AQ374="1",BH374,0),2)</f>
      </c>
      <c r="AC374" s="57">
        <f>ROUND(IF(AQ374="1",BI374,0),2)</f>
      </c>
      <c r="AD374" s="57">
        <f>ROUND(IF(AQ374="7",BH374,0),2)</f>
      </c>
      <c r="AE374" s="57">
        <f>ROUND(IF(AQ374="7",BI374,0),2)</f>
      </c>
      <c r="AF374" s="57">
        <f>ROUND(IF(AQ374="2",BH374,0),2)</f>
      </c>
      <c r="AG374" s="57">
        <f>ROUND(IF(AQ374="2",BI374,0),2)</f>
      </c>
      <c r="AH374" s="57">
        <f>ROUND(IF(AQ374="0",BJ374,0),2)</f>
      </c>
      <c r="AI374" s="33" t="s">
        <v>707</v>
      </c>
      <c r="AJ374" s="57">
        <f>IF(AN374=0,J374,0)</f>
      </c>
      <c r="AK374" s="57">
        <f>IF(AN374=12,J374,0)</f>
      </c>
      <c r="AL374" s="57">
        <f>IF(AN374=21,J374,0)</f>
      </c>
      <c r="AN374" s="57" t="n">
        <v>12</v>
      </c>
      <c r="AO374" s="57">
        <f>G374*1</f>
      </c>
      <c r="AP374" s="57">
        <f>G374*(1-1)</f>
      </c>
      <c r="AQ374" s="60" t="s">
        <v>89</v>
      </c>
      <c r="AV374" s="57">
        <f>ROUND(AW374+AX374,2)</f>
      </c>
      <c r="AW374" s="57">
        <f>ROUND(F374*AO374,2)</f>
      </c>
      <c r="AX374" s="57">
        <f>ROUND(F374*AP374,2)</f>
      </c>
      <c r="AY374" s="60" t="s">
        <v>399</v>
      </c>
      <c r="AZ374" s="60" t="s">
        <v>979</v>
      </c>
      <c r="BA374" s="33" t="s">
        <v>711</v>
      </c>
      <c r="BC374" s="57">
        <f>AW374+AX374</f>
      </c>
      <c r="BD374" s="57">
        <f>G374/(100-BE374)*100</f>
      </c>
      <c r="BE374" s="57" t="n">
        <v>0</v>
      </c>
      <c r="BF374" s="57">
        <f>374</f>
      </c>
      <c r="BH374" s="57">
        <f>F374*AO374</f>
      </c>
      <c r="BI374" s="57">
        <f>F374*AP374</f>
      </c>
      <c r="BJ374" s="57">
        <f>F374*G374</f>
      </c>
      <c r="BK374" s="60" t="s">
        <v>98</v>
      </c>
      <c r="BL374" s="57" t="n">
        <v>766</v>
      </c>
      <c r="BW374" s="57" t="n">
        <v>12</v>
      </c>
      <c r="BX374" s="16" t="s">
        <v>981</v>
      </c>
    </row>
    <row r="375">
      <c r="A375" s="10" t="s">
        <v>982</v>
      </c>
      <c r="B375" s="11" t="s">
        <v>421</v>
      </c>
      <c r="C375" s="16" t="s">
        <v>422</v>
      </c>
      <c r="D375" s="11"/>
      <c r="E375" s="11" t="s">
        <v>314</v>
      </c>
      <c r="F375" s="57" t="n">
        <v>0.17527</v>
      </c>
      <c r="G375" s="58" t="n">
        <v>0</v>
      </c>
      <c r="H375" s="57">
        <f>ROUND(F375*AO375,2)</f>
      </c>
      <c r="I375" s="57">
        <f>ROUND(F375*AP375,2)</f>
      </c>
      <c r="J375" s="57">
        <f>ROUND(F375*G375,2)</f>
      </c>
      <c r="K375" s="59" t="s">
        <v>62</v>
      </c>
      <c r="Z375" s="57">
        <f>ROUND(IF(AQ375="5",BJ375,0),2)</f>
      </c>
      <c r="AB375" s="57">
        <f>ROUND(IF(AQ375="1",BH375,0),2)</f>
      </c>
      <c r="AC375" s="57">
        <f>ROUND(IF(AQ375="1",BI375,0),2)</f>
      </c>
      <c r="AD375" s="57">
        <f>ROUND(IF(AQ375="7",BH375,0),2)</f>
      </c>
      <c r="AE375" s="57">
        <f>ROUND(IF(AQ375="7",BI375,0),2)</f>
      </c>
      <c r="AF375" s="57">
        <f>ROUND(IF(AQ375="2",BH375,0),2)</f>
      </c>
      <c r="AG375" s="57">
        <f>ROUND(IF(AQ375="2",BI375,0),2)</f>
      </c>
      <c r="AH375" s="57">
        <f>ROUND(IF(AQ375="0",BJ375,0),2)</f>
      </c>
      <c r="AI375" s="33" t="s">
        <v>707</v>
      </c>
      <c r="AJ375" s="57">
        <f>IF(AN375=0,J375,0)</f>
      </c>
      <c r="AK375" s="57">
        <f>IF(AN375=12,J375,0)</f>
      </c>
      <c r="AL375" s="57">
        <f>IF(AN375=21,J375,0)</f>
      </c>
      <c r="AN375" s="57" t="n">
        <v>12</v>
      </c>
      <c r="AO375" s="57">
        <f>G375*0</f>
      </c>
      <c r="AP375" s="57">
        <f>G375*(1-0)</f>
      </c>
      <c r="AQ375" s="60" t="s">
        <v>76</v>
      </c>
      <c r="AV375" s="57">
        <f>ROUND(AW375+AX375,2)</f>
      </c>
      <c r="AW375" s="57">
        <f>ROUND(F375*AO375,2)</f>
      </c>
      <c r="AX375" s="57">
        <f>ROUND(F375*AP375,2)</f>
      </c>
      <c r="AY375" s="60" t="s">
        <v>399</v>
      </c>
      <c r="AZ375" s="60" t="s">
        <v>979</v>
      </c>
      <c r="BA375" s="33" t="s">
        <v>711</v>
      </c>
      <c r="BB375" s="61" t="n">
        <v>100110</v>
      </c>
      <c r="BC375" s="57">
        <f>AW375+AX375</f>
      </c>
      <c r="BD375" s="57">
        <f>G375/(100-BE375)*100</f>
      </c>
      <c r="BE375" s="57" t="n">
        <v>0</v>
      </c>
      <c r="BF375" s="57">
        <f>375</f>
      </c>
      <c r="BH375" s="57">
        <f>F375*AO375</f>
      </c>
      <c r="BI375" s="57">
        <f>F375*AP375</f>
      </c>
      <c r="BJ375" s="57">
        <f>F375*G375</f>
      </c>
      <c r="BK375" s="60" t="s">
        <v>66</v>
      </c>
      <c r="BL375" s="57" t="n">
        <v>766</v>
      </c>
      <c r="BW375" s="57" t="n">
        <v>12</v>
      </c>
      <c r="BX375" s="16" t="s">
        <v>422</v>
      </c>
    </row>
    <row r="376">
      <c r="A376" s="51" t="s">
        <v>53</v>
      </c>
      <c r="B376" s="52" t="s">
        <v>423</v>
      </c>
      <c r="C376" s="53" t="s">
        <v>424</v>
      </c>
      <c r="D376" s="52"/>
      <c r="E376" s="54" t="s">
        <v>4</v>
      </c>
      <c r="F376" s="54" t="s">
        <v>4</v>
      </c>
      <c r="G376" s="55" t="s">
        <v>4</v>
      </c>
      <c r="H376" s="2">
        <f>ROUND(SUM(H377:H378),2)</f>
      </c>
      <c r="I376" s="2">
        <f>ROUND(SUM(I377:I378),2)</f>
      </c>
      <c r="J376" s="2">
        <f>ROUND(SUM(J377:J378),2)</f>
      </c>
      <c r="K376" s="56" t="s">
        <v>53</v>
      </c>
      <c r="AI376" s="33" t="s">
        <v>707</v>
      </c>
      <c r="AS376" s="2">
        <f>SUM(AJ377:AJ378)</f>
      </c>
      <c r="AT376" s="2">
        <f>SUM(AK377:AK378)</f>
      </c>
      <c r="AU376" s="2">
        <f>SUM(AL377:AL378)</f>
      </c>
    </row>
    <row r="377">
      <c r="A377" s="10" t="s">
        <v>983</v>
      </c>
      <c r="B377" s="11" t="s">
        <v>426</v>
      </c>
      <c r="C377" s="16" t="s">
        <v>427</v>
      </c>
      <c r="D377" s="11"/>
      <c r="E377" s="11" t="s">
        <v>97</v>
      </c>
      <c r="F377" s="57" t="n">
        <v>10</v>
      </c>
      <c r="G377" s="58" t="n">
        <v>0</v>
      </c>
      <c r="H377" s="57">
        <f>ROUND(F377*AO377,2)</f>
      </c>
      <c r="I377" s="57">
        <f>ROUND(F377*AP377,2)</f>
      </c>
      <c r="J377" s="57">
        <f>ROUND(F377*G377,2)</f>
      </c>
      <c r="K377" s="59" t="s">
        <v>62</v>
      </c>
      <c r="Z377" s="57">
        <f>ROUND(IF(AQ377="5",BJ377,0),2)</f>
      </c>
      <c r="AB377" s="57">
        <f>ROUND(IF(AQ377="1",BH377,0),2)</f>
      </c>
      <c r="AC377" s="57">
        <f>ROUND(IF(AQ377="1",BI377,0),2)</f>
      </c>
      <c r="AD377" s="57">
        <f>ROUND(IF(AQ377="7",BH377,0),2)</f>
      </c>
      <c r="AE377" s="57">
        <f>ROUND(IF(AQ377="7",BI377,0),2)</f>
      </c>
      <c r="AF377" s="57">
        <f>ROUND(IF(AQ377="2",BH377,0),2)</f>
      </c>
      <c r="AG377" s="57">
        <f>ROUND(IF(AQ377="2",BI377,0),2)</f>
      </c>
      <c r="AH377" s="57">
        <f>ROUND(IF(AQ377="0",BJ377,0),2)</f>
      </c>
      <c r="AI377" s="33" t="s">
        <v>707</v>
      </c>
      <c r="AJ377" s="57">
        <f>IF(AN377=0,J377,0)</f>
      </c>
      <c r="AK377" s="57">
        <f>IF(AN377=12,J377,0)</f>
      </c>
      <c r="AL377" s="57">
        <f>IF(AN377=21,J377,0)</f>
      </c>
      <c r="AN377" s="57" t="n">
        <v>12</v>
      </c>
      <c r="AO377" s="57">
        <f>G377*0.180539273</f>
      </c>
      <c r="AP377" s="57">
        <f>G377*(1-0.180539273)</f>
      </c>
      <c r="AQ377" s="60" t="s">
        <v>89</v>
      </c>
      <c r="AV377" s="57">
        <f>ROUND(AW377+AX377,2)</f>
      </c>
      <c r="AW377" s="57">
        <f>ROUND(F377*AO377,2)</f>
      </c>
      <c r="AX377" s="57">
        <f>ROUND(F377*AP377,2)</f>
      </c>
      <c r="AY377" s="60" t="s">
        <v>428</v>
      </c>
      <c r="AZ377" s="60" t="s">
        <v>984</v>
      </c>
      <c r="BA377" s="33" t="s">
        <v>711</v>
      </c>
      <c r="BB377" s="61" t="n">
        <v>100111</v>
      </c>
      <c r="BC377" s="57">
        <f>AW377+AX377</f>
      </c>
      <c r="BD377" s="57">
        <f>G377/(100-BE377)*100</f>
      </c>
      <c r="BE377" s="57" t="n">
        <v>0</v>
      </c>
      <c r="BF377" s="57">
        <f>377</f>
      </c>
      <c r="BH377" s="57">
        <f>F377*AO377</f>
      </c>
      <c r="BI377" s="57">
        <f>F377*AP377</f>
      </c>
      <c r="BJ377" s="57">
        <f>F377*G377</f>
      </c>
      <c r="BK377" s="60" t="s">
        <v>66</v>
      </c>
      <c r="BL377" s="57" t="n">
        <v>767</v>
      </c>
      <c r="BW377" s="57" t="n">
        <v>12</v>
      </c>
      <c r="BX377" s="16" t="s">
        <v>427</v>
      </c>
    </row>
    <row r="378">
      <c r="A378" s="10" t="s">
        <v>985</v>
      </c>
      <c r="B378" s="11" t="s">
        <v>436</v>
      </c>
      <c r="C378" s="16" t="s">
        <v>437</v>
      </c>
      <c r="D378" s="11"/>
      <c r="E378" s="11" t="s">
        <v>314</v>
      </c>
      <c r="F378" s="57" t="n">
        <v>0.0106</v>
      </c>
      <c r="G378" s="58" t="n">
        <v>0</v>
      </c>
      <c r="H378" s="57">
        <f>ROUND(F378*AO378,2)</f>
      </c>
      <c r="I378" s="57">
        <f>ROUND(F378*AP378,2)</f>
      </c>
      <c r="J378" s="57">
        <f>ROUND(F378*G378,2)</f>
      </c>
      <c r="K378" s="59" t="s">
        <v>62</v>
      </c>
      <c r="Z378" s="57">
        <f>ROUND(IF(AQ378="5",BJ378,0),2)</f>
      </c>
      <c r="AB378" s="57">
        <f>ROUND(IF(AQ378="1",BH378,0),2)</f>
      </c>
      <c r="AC378" s="57">
        <f>ROUND(IF(AQ378="1",BI378,0),2)</f>
      </c>
      <c r="AD378" s="57">
        <f>ROUND(IF(AQ378="7",BH378,0),2)</f>
      </c>
      <c r="AE378" s="57">
        <f>ROUND(IF(AQ378="7",BI378,0),2)</f>
      </c>
      <c r="AF378" s="57">
        <f>ROUND(IF(AQ378="2",BH378,0),2)</f>
      </c>
      <c r="AG378" s="57">
        <f>ROUND(IF(AQ378="2",BI378,0),2)</f>
      </c>
      <c r="AH378" s="57">
        <f>ROUND(IF(AQ378="0",BJ378,0),2)</f>
      </c>
      <c r="AI378" s="33" t="s">
        <v>707</v>
      </c>
      <c r="AJ378" s="57">
        <f>IF(AN378=0,J378,0)</f>
      </c>
      <c r="AK378" s="57">
        <f>IF(AN378=12,J378,0)</f>
      </c>
      <c r="AL378" s="57">
        <f>IF(AN378=21,J378,0)</f>
      </c>
      <c r="AN378" s="57" t="n">
        <v>12</v>
      </c>
      <c r="AO378" s="57">
        <f>G378*0</f>
      </c>
      <c r="AP378" s="57">
        <f>G378*(1-0)</f>
      </c>
      <c r="AQ378" s="60" t="s">
        <v>76</v>
      </c>
      <c r="AV378" s="57">
        <f>ROUND(AW378+AX378,2)</f>
      </c>
      <c r="AW378" s="57">
        <f>ROUND(F378*AO378,2)</f>
      </c>
      <c r="AX378" s="57">
        <f>ROUND(F378*AP378,2)</f>
      </c>
      <c r="AY378" s="60" t="s">
        <v>428</v>
      </c>
      <c r="AZ378" s="60" t="s">
        <v>984</v>
      </c>
      <c r="BA378" s="33" t="s">
        <v>711</v>
      </c>
      <c r="BB378" s="61" t="n">
        <v>100111</v>
      </c>
      <c r="BC378" s="57">
        <f>AW378+AX378</f>
      </c>
      <c r="BD378" s="57">
        <f>G378/(100-BE378)*100</f>
      </c>
      <c r="BE378" s="57" t="n">
        <v>0</v>
      </c>
      <c r="BF378" s="57">
        <f>378</f>
      </c>
      <c r="BH378" s="57">
        <f>F378*AO378</f>
      </c>
      <c r="BI378" s="57">
        <f>F378*AP378</f>
      </c>
      <c r="BJ378" s="57">
        <f>F378*G378</f>
      </c>
      <c r="BK378" s="60" t="s">
        <v>66</v>
      </c>
      <c r="BL378" s="57" t="n">
        <v>767</v>
      </c>
      <c r="BW378" s="57" t="n">
        <v>12</v>
      </c>
      <c r="BX378" s="16" t="s">
        <v>437</v>
      </c>
    </row>
    <row r="379">
      <c r="A379" s="51" t="s">
        <v>53</v>
      </c>
      <c r="B379" s="52" t="s">
        <v>438</v>
      </c>
      <c r="C379" s="53" t="s">
        <v>439</v>
      </c>
      <c r="D379" s="52"/>
      <c r="E379" s="54" t="s">
        <v>4</v>
      </c>
      <c r="F379" s="54" t="s">
        <v>4</v>
      </c>
      <c r="G379" s="55" t="s">
        <v>4</v>
      </c>
      <c r="H379" s="2">
        <f>ROUND(SUM(H380:H380),2)</f>
      </c>
      <c r="I379" s="2">
        <f>ROUND(SUM(I380:I380),2)</f>
      </c>
      <c r="J379" s="2">
        <f>ROUND(SUM(J380:J380),2)</f>
      </c>
      <c r="K379" s="56" t="s">
        <v>53</v>
      </c>
      <c r="AI379" s="33" t="s">
        <v>707</v>
      </c>
      <c r="AS379" s="2">
        <f>SUM(AJ380:AJ380)</f>
      </c>
      <c r="AT379" s="2">
        <f>SUM(AK380:AK380)</f>
      </c>
      <c r="AU379" s="2">
        <f>SUM(AL380:AL380)</f>
      </c>
    </row>
    <row r="380">
      <c r="A380" s="10" t="s">
        <v>986</v>
      </c>
      <c r="B380" s="11" t="s">
        <v>987</v>
      </c>
      <c r="C380" s="16" t="s">
        <v>988</v>
      </c>
      <c r="D380" s="11"/>
      <c r="E380" s="11" t="s">
        <v>61</v>
      </c>
      <c r="F380" s="57" t="n">
        <v>4376.4012</v>
      </c>
      <c r="G380" s="58" t="n">
        <v>0</v>
      </c>
      <c r="H380" s="57">
        <f>ROUND(F380*AO380,2)</f>
      </c>
      <c r="I380" s="57">
        <f>ROUND(F380*AP380,2)</f>
      </c>
      <c r="J380" s="57">
        <f>ROUND(F380*G380,2)</f>
      </c>
      <c r="K380" s="59" t="s">
        <v>62</v>
      </c>
      <c r="Z380" s="57">
        <f>ROUND(IF(AQ380="5",BJ380,0),2)</f>
      </c>
      <c r="AB380" s="57">
        <f>ROUND(IF(AQ380="1",BH380,0),2)</f>
      </c>
      <c r="AC380" s="57">
        <f>ROUND(IF(AQ380="1",BI380,0),2)</f>
      </c>
      <c r="AD380" s="57">
        <f>ROUND(IF(AQ380="7",BH380,0),2)</f>
      </c>
      <c r="AE380" s="57">
        <f>ROUND(IF(AQ380="7",BI380,0),2)</f>
      </c>
      <c r="AF380" s="57">
        <f>ROUND(IF(AQ380="2",BH380,0),2)</f>
      </c>
      <c r="AG380" s="57">
        <f>ROUND(IF(AQ380="2",BI380,0),2)</f>
      </c>
      <c r="AH380" s="57">
        <f>ROUND(IF(AQ380="0",BJ380,0),2)</f>
      </c>
      <c r="AI380" s="33" t="s">
        <v>707</v>
      </c>
      <c r="AJ380" s="57">
        <f>IF(AN380=0,J380,0)</f>
      </c>
      <c r="AK380" s="57">
        <f>IF(AN380=12,J380,0)</f>
      </c>
      <c r="AL380" s="57">
        <f>IF(AN380=21,J380,0)</f>
      </c>
      <c r="AN380" s="57" t="n">
        <v>12</v>
      </c>
      <c r="AO380" s="57">
        <f>G380*0.089882864</f>
      </c>
      <c r="AP380" s="57">
        <f>G380*(1-0.089882864)</f>
      </c>
      <c r="AQ380" s="60" t="s">
        <v>89</v>
      </c>
      <c r="AV380" s="57">
        <f>ROUND(AW380+AX380,2)</f>
      </c>
      <c r="AW380" s="57">
        <f>ROUND(F380*AO380,2)</f>
      </c>
      <c r="AX380" s="57">
        <f>ROUND(F380*AP380,2)</f>
      </c>
      <c r="AY380" s="60" t="s">
        <v>443</v>
      </c>
      <c r="AZ380" s="60" t="s">
        <v>989</v>
      </c>
      <c r="BA380" s="33" t="s">
        <v>711</v>
      </c>
      <c r="BB380" s="61" t="n">
        <v>100112</v>
      </c>
      <c r="BC380" s="57">
        <f>AW380+AX380</f>
      </c>
      <c r="BD380" s="57">
        <f>G380/(100-BE380)*100</f>
      </c>
      <c r="BE380" s="57" t="n">
        <v>0</v>
      </c>
      <c r="BF380" s="57">
        <f>380</f>
      </c>
      <c r="BH380" s="57">
        <f>F380*AO380</f>
      </c>
      <c r="BI380" s="57">
        <f>F380*AP380</f>
      </c>
      <c r="BJ380" s="57">
        <f>F380*G380</f>
      </c>
      <c r="BK380" s="60" t="s">
        <v>66</v>
      </c>
      <c r="BL380" s="57" t="n">
        <v>783</v>
      </c>
      <c r="BW380" s="57" t="n">
        <v>12</v>
      </c>
      <c r="BX380" s="16" t="s">
        <v>988</v>
      </c>
    </row>
    <row r="381" customHeight="true" ht="13.5">
      <c r="A381" s="62"/>
      <c r="B381" s="63" t="s">
        <v>106</v>
      </c>
      <c r="C381" s="64" t="s">
        <v>990</v>
      </c>
      <c r="D381" s="65"/>
      <c r="E381" s="65"/>
      <c r="F381" s="65"/>
      <c r="G381" s="66"/>
      <c r="H381" s="65"/>
      <c r="I381" s="65"/>
      <c r="J381" s="65"/>
      <c r="K381" s="67"/>
    </row>
    <row r="382">
      <c r="A382" s="51" t="s">
        <v>53</v>
      </c>
      <c r="B382" s="52" t="s">
        <v>373</v>
      </c>
      <c r="C382" s="53" t="s">
        <v>535</v>
      </c>
      <c r="D382" s="52"/>
      <c r="E382" s="54" t="s">
        <v>4</v>
      </c>
      <c r="F382" s="54" t="s">
        <v>4</v>
      </c>
      <c r="G382" s="55" t="s">
        <v>4</v>
      </c>
      <c r="H382" s="2">
        <f>ROUND(SUM(H383:H384),2)</f>
      </c>
      <c r="I382" s="2">
        <f>ROUND(SUM(I383:I384),2)</f>
      </c>
      <c r="J382" s="2">
        <f>ROUND(SUM(J383:J384),2)</f>
      </c>
      <c r="K382" s="56" t="s">
        <v>53</v>
      </c>
      <c r="AI382" s="33" t="s">
        <v>707</v>
      </c>
      <c r="AS382" s="2">
        <f>SUM(AJ383:AJ384)</f>
      </c>
      <c r="AT382" s="2">
        <f>SUM(AK383:AK384)</f>
      </c>
      <c r="AU382" s="2">
        <f>SUM(AL383:AL384)</f>
      </c>
    </row>
    <row r="383">
      <c r="A383" s="10" t="s">
        <v>991</v>
      </c>
      <c r="B383" s="11" t="s">
        <v>687</v>
      </c>
      <c r="C383" s="16" t="s">
        <v>688</v>
      </c>
      <c r="D383" s="11"/>
      <c r="E383" s="11" t="s">
        <v>61</v>
      </c>
      <c r="F383" s="57" t="n">
        <v>1069.26</v>
      </c>
      <c r="G383" s="58" t="n">
        <v>0</v>
      </c>
      <c r="H383" s="57">
        <f>ROUND(F383*AO383,2)</f>
      </c>
      <c r="I383" s="57">
        <f>ROUND(F383*AP383,2)</f>
      </c>
      <c r="J383" s="57">
        <f>ROUND(F383*G383,2)</f>
      </c>
      <c r="K383" s="59" t="s">
        <v>62</v>
      </c>
      <c r="Z383" s="57">
        <f>ROUND(IF(AQ383="5",BJ383,0),2)</f>
      </c>
      <c r="AB383" s="57">
        <f>ROUND(IF(AQ383="1",BH383,0),2)</f>
      </c>
      <c r="AC383" s="57">
        <f>ROUND(IF(AQ383="1",BI383,0),2)</f>
      </c>
      <c r="AD383" s="57">
        <f>ROUND(IF(AQ383="7",BH383,0),2)</f>
      </c>
      <c r="AE383" s="57">
        <f>ROUND(IF(AQ383="7",BI383,0),2)</f>
      </c>
      <c r="AF383" s="57">
        <f>ROUND(IF(AQ383="2",BH383,0),2)</f>
      </c>
      <c r="AG383" s="57">
        <f>ROUND(IF(AQ383="2",BI383,0),2)</f>
      </c>
      <c r="AH383" s="57">
        <f>ROUND(IF(AQ383="0",BJ383,0),2)</f>
      </c>
      <c r="AI383" s="33" t="s">
        <v>707</v>
      </c>
      <c r="AJ383" s="57">
        <f>IF(AN383=0,J383,0)</f>
      </c>
      <c r="AK383" s="57">
        <f>IF(AN383=12,J383,0)</f>
      </c>
      <c r="AL383" s="57">
        <f>IF(AN383=21,J383,0)</f>
      </c>
      <c r="AN383" s="57" t="n">
        <v>12</v>
      </c>
      <c r="AO383" s="57">
        <f>G383*0</f>
      </c>
      <c r="AP383" s="57">
        <f>G383*(1-0)</f>
      </c>
      <c r="AQ383" s="60" t="s">
        <v>58</v>
      </c>
      <c r="AV383" s="57">
        <f>ROUND(AW383+AX383,2)</f>
      </c>
      <c r="AW383" s="57">
        <f>ROUND(F383*AO383,2)</f>
      </c>
      <c r="AX383" s="57">
        <f>ROUND(F383*AP383,2)</f>
      </c>
      <c r="AY383" s="60" t="s">
        <v>539</v>
      </c>
      <c r="AZ383" s="60" t="s">
        <v>992</v>
      </c>
      <c r="BA383" s="33" t="s">
        <v>711</v>
      </c>
      <c r="BB383" s="61" t="n">
        <v>100113</v>
      </c>
      <c r="BC383" s="57">
        <f>AW383+AX383</f>
      </c>
      <c r="BD383" s="57">
        <f>G383/(100-BE383)*100</f>
      </c>
      <c r="BE383" s="57" t="n">
        <v>0</v>
      </c>
      <c r="BF383" s="57">
        <f>383</f>
      </c>
      <c r="BH383" s="57">
        <f>F383*AO383</f>
      </c>
      <c r="BI383" s="57">
        <f>F383*AP383</f>
      </c>
      <c r="BJ383" s="57">
        <f>F383*G383</f>
      </c>
      <c r="BK383" s="60" t="s">
        <v>66</v>
      </c>
      <c r="BL383" s="57" t="n">
        <v>95</v>
      </c>
      <c r="BW383" s="57" t="n">
        <v>12</v>
      </c>
      <c r="BX383" s="16" t="s">
        <v>688</v>
      </c>
    </row>
    <row r="384">
      <c r="A384" s="10" t="s">
        <v>993</v>
      </c>
      <c r="B384" s="11" t="s">
        <v>994</v>
      </c>
      <c r="C384" s="16" t="s">
        <v>995</v>
      </c>
      <c r="D384" s="11"/>
      <c r="E384" s="11" t="s">
        <v>61</v>
      </c>
      <c r="F384" s="57" t="n">
        <v>594</v>
      </c>
      <c r="G384" s="58" t="n">
        <v>0</v>
      </c>
      <c r="H384" s="57">
        <f>ROUND(F384*AO384,2)</f>
      </c>
      <c r="I384" s="57">
        <f>ROUND(F384*AP384,2)</f>
      </c>
      <c r="J384" s="57">
        <f>ROUND(F384*G384,2)</f>
      </c>
      <c r="K384" s="59" t="s">
        <v>62</v>
      </c>
      <c r="Z384" s="57">
        <f>ROUND(IF(AQ384="5",BJ384,0),2)</f>
      </c>
      <c r="AB384" s="57">
        <f>ROUND(IF(AQ384="1",BH384,0),2)</f>
      </c>
      <c r="AC384" s="57">
        <f>ROUND(IF(AQ384="1",BI384,0),2)</f>
      </c>
      <c r="AD384" s="57">
        <f>ROUND(IF(AQ384="7",BH384,0),2)</f>
      </c>
      <c r="AE384" s="57">
        <f>ROUND(IF(AQ384="7",BI384,0),2)</f>
      </c>
      <c r="AF384" s="57">
        <f>ROUND(IF(AQ384="2",BH384,0),2)</f>
      </c>
      <c r="AG384" s="57">
        <f>ROUND(IF(AQ384="2",BI384,0),2)</f>
      </c>
      <c r="AH384" s="57">
        <f>ROUND(IF(AQ384="0",BJ384,0),2)</f>
      </c>
      <c r="AI384" s="33" t="s">
        <v>707</v>
      </c>
      <c r="AJ384" s="57">
        <f>IF(AN384=0,J384,0)</f>
      </c>
      <c r="AK384" s="57">
        <f>IF(AN384=12,J384,0)</f>
      </c>
      <c r="AL384" s="57">
        <f>IF(AN384=21,J384,0)</f>
      </c>
      <c r="AN384" s="57" t="n">
        <v>12</v>
      </c>
      <c r="AO384" s="57">
        <f>G384*0.012633845</f>
      </c>
      <c r="AP384" s="57">
        <f>G384*(1-0.012633845)</f>
      </c>
      <c r="AQ384" s="60" t="s">
        <v>58</v>
      </c>
      <c r="AV384" s="57">
        <f>ROUND(AW384+AX384,2)</f>
      </c>
      <c r="AW384" s="57">
        <f>ROUND(F384*AO384,2)</f>
      </c>
      <c r="AX384" s="57">
        <f>ROUND(F384*AP384,2)</f>
      </c>
      <c r="AY384" s="60" t="s">
        <v>539</v>
      </c>
      <c r="AZ384" s="60" t="s">
        <v>992</v>
      </c>
      <c r="BA384" s="33" t="s">
        <v>711</v>
      </c>
      <c r="BB384" s="61" t="n">
        <v>100113</v>
      </c>
      <c r="BC384" s="57">
        <f>AW384+AX384</f>
      </c>
      <c r="BD384" s="57">
        <f>G384/(100-BE384)*100</f>
      </c>
      <c r="BE384" s="57" t="n">
        <v>0</v>
      </c>
      <c r="BF384" s="57">
        <f>384</f>
      </c>
      <c r="BH384" s="57">
        <f>F384*AO384</f>
      </c>
      <c r="BI384" s="57">
        <f>F384*AP384</f>
      </c>
      <c r="BJ384" s="57">
        <f>F384*G384</f>
      </c>
      <c r="BK384" s="60" t="s">
        <v>66</v>
      </c>
      <c r="BL384" s="57" t="n">
        <v>95</v>
      </c>
      <c r="BW384" s="57" t="n">
        <v>12</v>
      </c>
      <c r="BX384" s="16" t="s">
        <v>995</v>
      </c>
    </row>
    <row r="385">
      <c r="A385" s="51" t="s">
        <v>53</v>
      </c>
      <c r="B385" s="52" t="s">
        <v>376</v>
      </c>
      <c r="C385" s="53" t="s">
        <v>554</v>
      </c>
      <c r="D385" s="52"/>
      <c r="E385" s="54" t="s">
        <v>4</v>
      </c>
      <c r="F385" s="54" t="s">
        <v>4</v>
      </c>
      <c r="G385" s="55" t="s">
        <v>4</v>
      </c>
      <c r="H385" s="2">
        <f>ROUND(SUM(H386:H389),2)</f>
      </c>
      <c r="I385" s="2">
        <f>ROUND(SUM(I386:I389),2)</f>
      </c>
      <c r="J385" s="2">
        <f>ROUND(SUM(J386:J389),2)</f>
      </c>
      <c r="K385" s="56" t="s">
        <v>53</v>
      </c>
      <c r="AI385" s="33" t="s">
        <v>707</v>
      </c>
      <c r="AS385" s="2">
        <f>SUM(AJ386:AJ389)</f>
      </c>
      <c r="AT385" s="2">
        <f>SUM(AK386:AK389)</f>
      </c>
      <c r="AU385" s="2">
        <f>SUM(AL386:AL389)</f>
      </c>
    </row>
    <row r="386">
      <c r="A386" s="10" t="s">
        <v>996</v>
      </c>
      <c r="B386" s="11" t="s">
        <v>997</v>
      </c>
      <c r="C386" s="16" t="s">
        <v>998</v>
      </c>
      <c r="D386" s="11"/>
      <c r="E386" s="11" t="s">
        <v>84</v>
      </c>
      <c r="F386" s="57" t="n">
        <v>6.75171</v>
      </c>
      <c r="G386" s="58" t="n">
        <v>0</v>
      </c>
      <c r="H386" s="57">
        <f>ROUND(F386*AO386,2)</f>
      </c>
      <c r="I386" s="57">
        <f>ROUND(F386*AP386,2)</f>
      </c>
      <c r="J386" s="57">
        <f>ROUND(F386*G386,2)</f>
      </c>
      <c r="K386" s="59" t="s">
        <v>62</v>
      </c>
      <c r="Z386" s="57">
        <f>ROUND(IF(AQ386="5",BJ386,0),2)</f>
      </c>
      <c r="AB386" s="57">
        <f>ROUND(IF(AQ386="1",BH386,0),2)</f>
      </c>
      <c r="AC386" s="57">
        <f>ROUND(IF(AQ386="1",BI386,0),2)</f>
      </c>
      <c r="AD386" s="57">
        <f>ROUND(IF(AQ386="7",BH386,0),2)</f>
      </c>
      <c r="AE386" s="57">
        <f>ROUND(IF(AQ386="7",BI386,0),2)</f>
      </c>
      <c r="AF386" s="57">
        <f>ROUND(IF(AQ386="2",BH386,0),2)</f>
      </c>
      <c r="AG386" s="57">
        <f>ROUND(IF(AQ386="2",BI386,0),2)</f>
      </c>
      <c r="AH386" s="57">
        <f>ROUND(IF(AQ386="0",BJ386,0),2)</f>
      </c>
      <c r="AI386" s="33" t="s">
        <v>707</v>
      </c>
      <c r="AJ386" s="57">
        <f>IF(AN386=0,J386,0)</f>
      </c>
      <c r="AK386" s="57">
        <f>IF(AN386=12,J386,0)</f>
      </c>
      <c r="AL386" s="57">
        <f>IF(AN386=21,J386,0)</f>
      </c>
      <c r="AN386" s="57" t="n">
        <v>12</v>
      </c>
      <c r="AO386" s="57">
        <f>G386*0</f>
      </c>
      <c r="AP386" s="57">
        <f>G386*(1-0)</f>
      </c>
      <c r="AQ386" s="60" t="s">
        <v>58</v>
      </c>
      <c r="AV386" s="57">
        <f>ROUND(AW386+AX386,2)</f>
      </c>
      <c r="AW386" s="57">
        <f>ROUND(F386*AO386,2)</f>
      </c>
      <c r="AX386" s="57">
        <f>ROUND(F386*AP386,2)</f>
      </c>
      <c r="AY386" s="60" t="s">
        <v>558</v>
      </c>
      <c r="AZ386" s="60" t="s">
        <v>999</v>
      </c>
      <c r="BA386" s="33" t="s">
        <v>711</v>
      </c>
      <c r="BB386" s="61" t="n">
        <v>100114</v>
      </c>
      <c r="BC386" s="57">
        <f>AW386+AX386</f>
      </c>
      <c r="BD386" s="57">
        <f>G386/(100-BE386)*100</f>
      </c>
      <c r="BE386" s="57" t="n">
        <v>0</v>
      </c>
      <c r="BF386" s="57">
        <f>386</f>
      </c>
      <c r="BH386" s="57">
        <f>F386*AO386</f>
      </c>
      <c r="BI386" s="57">
        <f>F386*AP386</f>
      </c>
      <c r="BJ386" s="57">
        <f>F386*G386</f>
      </c>
      <c r="BK386" s="60" t="s">
        <v>66</v>
      </c>
      <c r="BL386" s="57" t="n">
        <v>96</v>
      </c>
      <c r="BW386" s="57" t="n">
        <v>12</v>
      </c>
      <c r="BX386" s="16" t="s">
        <v>998</v>
      </c>
    </row>
    <row r="387">
      <c r="A387" s="10" t="s">
        <v>1000</v>
      </c>
      <c r="B387" s="11" t="s">
        <v>1001</v>
      </c>
      <c r="C387" s="16" t="s">
        <v>1002</v>
      </c>
      <c r="D387" s="11"/>
      <c r="E387" s="11" t="s">
        <v>174</v>
      </c>
      <c r="F387" s="57" t="n">
        <v>1</v>
      </c>
      <c r="G387" s="58" t="n">
        <v>0</v>
      </c>
      <c r="H387" s="57">
        <f>ROUND(F387*AO387,2)</f>
      </c>
      <c r="I387" s="57">
        <f>ROUND(F387*AP387,2)</f>
      </c>
      <c r="J387" s="57">
        <f>ROUND(F387*G387,2)</f>
      </c>
      <c r="K387" s="59" t="s">
        <v>62</v>
      </c>
      <c r="Z387" s="57">
        <f>ROUND(IF(AQ387="5",BJ387,0),2)</f>
      </c>
      <c r="AB387" s="57">
        <f>ROUND(IF(AQ387="1",BH387,0),2)</f>
      </c>
      <c r="AC387" s="57">
        <f>ROUND(IF(AQ387="1",BI387,0),2)</f>
      </c>
      <c r="AD387" s="57">
        <f>ROUND(IF(AQ387="7",BH387,0),2)</f>
      </c>
      <c r="AE387" s="57">
        <f>ROUND(IF(AQ387="7",BI387,0),2)</f>
      </c>
      <c r="AF387" s="57">
        <f>ROUND(IF(AQ387="2",BH387,0),2)</f>
      </c>
      <c r="AG387" s="57">
        <f>ROUND(IF(AQ387="2",BI387,0),2)</f>
      </c>
      <c r="AH387" s="57">
        <f>ROUND(IF(AQ387="0",BJ387,0),2)</f>
      </c>
      <c r="AI387" s="33" t="s">
        <v>707</v>
      </c>
      <c r="AJ387" s="57">
        <f>IF(AN387=0,J387,0)</f>
      </c>
      <c r="AK387" s="57">
        <f>IF(AN387=12,J387,0)</f>
      </c>
      <c r="AL387" s="57">
        <f>IF(AN387=21,J387,0)</f>
      </c>
      <c r="AN387" s="57" t="n">
        <v>12</v>
      </c>
      <c r="AO387" s="57">
        <f>G387*0</f>
      </c>
      <c r="AP387" s="57">
        <f>G387*(1-0)</f>
      </c>
      <c r="AQ387" s="60" t="s">
        <v>58</v>
      </c>
      <c r="AV387" s="57">
        <f>ROUND(AW387+AX387,2)</f>
      </c>
      <c r="AW387" s="57">
        <f>ROUND(F387*AO387,2)</f>
      </c>
      <c r="AX387" s="57">
        <f>ROUND(F387*AP387,2)</f>
      </c>
      <c r="AY387" s="60" t="s">
        <v>558</v>
      </c>
      <c r="AZ387" s="60" t="s">
        <v>999</v>
      </c>
      <c r="BA387" s="33" t="s">
        <v>711</v>
      </c>
      <c r="BB387" s="61" t="n">
        <v>100114</v>
      </c>
      <c r="BC387" s="57">
        <f>AW387+AX387</f>
      </c>
      <c r="BD387" s="57">
        <f>G387/(100-BE387)*100</f>
      </c>
      <c r="BE387" s="57" t="n">
        <v>0</v>
      </c>
      <c r="BF387" s="57">
        <f>387</f>
      </c>
      <c r="BH387" s="57">
        <f>F387*AO387</f>
      </c>
      <c r="BI387" s="57">
        <f>F387*AP387</f>
      </c>
      <c r="BJ387" s="57">
        <f>F387*G387</f>
      </c>
      <c r="BK387" s="60" t="s">
        <v>66</v>
      </c>
      <c r="BL387" s="57" t="n">
        <v>96</v>
      </c>
      <c r="BW387" s="57" t="n">
        <v>12</v>
      </c>
      <c r="BX387" s="16" t="s">
        <v>1002</v>
      </c>
    </row>
    <row r="388">
      <c r="A388" s="10" t="s">
        <v>1003</v>
      </c>
      <c r="B388" s="11" t="s">
        <v>1004</v>
      </c>
      <c r="C388" s="16" t="s">
        <v>1005</v>
      </c>
      <c r="D388" s="11"/>
      <c r="E388" s="11" t="s">
        <v>174</v>
      </c>
      <c r="F388" s="57" t="n">
        <v>1</v>
      </c>
      <c r="G388" s="58" t="n">
        <v>0</v>
      </c>
      <c r="H388" s="57">
        <f>ROUND(F388*AO388,2)</f>
      </c>
      <c r="I388" s="57">
        <f>ROUND(F388*AP388,2)</f>
      </c>
      <c r="J388" s="57">
        <f>ROUND(F388*G388,2)</f>
      </c>
      <c r="K388" s="59" t="s">
        <v>62</v>
      </c>
      <c r="Z388" s="57">
        <f>ROUND(IF(AQ388="5",BJ388,0),2)</f>
      </c>
      <c r="AB388" s="57">
        <f>ROUND(IF(AQ388="1",BH388,0),2)</f>
      </c>
      <c r="AC388" s="57">
        <f>ROUND(IF(AQ388="1",BI388,0),2)</f>
      </c>
      <c r="AD388" s="57">
        <f>ROUND(IF(AQ388="7",BH388,0),2)</f>
      </c>
      <c r="AE388" s="57">
        <f>ROUND(IF(AQ388="7",BI388,0),2)</f>
      </c>
      <c r="AF388" s="57">
        <f>ROUND(IF(AQ388="2",BH388,0),2)</f>
      </c>
      <c r="AG388" s="57">
        <f>ROUND(IF(AQ388="2",BI388,0),2)</f>
      </c>
      <c r="AH388" s="57">
        <f>ROUND(IF(AQ388="0",BJ388,0),2)</f>
      </c>
      <c r="AI388" s="33" t="s">
        <v>707</v>
      </c>
      <c r="AJ388" s="57">
        <f>IF(AN388=0,J388,0)</f>
      </c>
      <c r="AK388" s="57">
        <f>IF(AN388=12,J388,0)</f>
      </c>
      <c r="AL388" s="57">
        <f>IF(AN388=21,J388,0)</f>
      </c>
      <c r="AN388" s="57" t="n">
        <v>12</v>
      </c>
      <c r="AO388" s="57">
        <f>G388*0</f>
      </c>
      <c r="AP388" s="57">
        <f>G388*(1-0)</f>
      </c>
      <c r="AQ388" s="60" t="s">
        <v>58</v>
      </c>
      <c r="AV388" s="57">
        <f>ROUND(AW388+AX388,2)</f>
      </c>
      <c r="AW388" s="57">
        <f>ROUND(F388*AO388,2)</f>
      </c>
      <c r="AX388" s="57">
        <f>ROUND(F388*AP388,2)</f>
      </c>
      <c r="AY388" s="60" t="s">
        <v>558</v>
      </c>
      <c r="AZ388" s="60" t="s">
        <v>999</v>
      </c>
      <c r="BA388" s="33" t="s">
        <v>711</v>
      </c>
      <c r="BB388" s="61" t="n">
        <v>100114</v>
      </c>
      <c r="BC388" s="57">
        <f>AW388+AX388</f>
      </c>
      <c r="BD388" s="57">
        <f>G388/(100-BE388)*100</f>
      </c>
      <c r="BE388" s="57" t="n">
        <v>0</v>
      </c>
      <c r="BF388" s="57">
        <f>388</f>
      </c>
      <c r="BH388" s="57">
        <f>F388*AO388</f>
      </c>
      <c r="BI388" s="57">
        <f>F388*AP388</f>
      </c>
      <c r="BJ388" s="57">
        <f>F388*G388</f>
      </c>
      <c r="BK388" s="60" t="s">
        <v>66</v>
      </c>
      <c r="BL388" s="57" t="n">
        <v>96</v>
      </c>
      <c r="BW388" s="57" t="n">
        <v>12</v>
      </c>
      <c r="BX388" s="16" t="s">
        <v>1005</v>
      </c>
    </row>
    <row r="389">
      <c r="A389" s="10" t="s">
        <v>1006</v>
      </c>
      <c r="B389" s="11" t="s">
        <v>1007</v>
      </c>
      <c r="C389" s="16" t="s">
        <v>1008</v>
      </c>
      <c r="D389" s="11"/>
      <c r="E389" s="11" t="s">
        <v>174</v>
      </c>
      <c r="F389" s="57" t="n">
        <v>15</v>
      </c>
      <c r="G389" s="58" t="n">
        <v>0</v>
      </c>
      <c r="H389" s="57">
        <f>ROUND(F389*AO389,2)</f>
      </c>
      <c r="I389" s="57">
        <f>ROUND(F389*AP389,2)</f>
      </c>
      <c r="J389" s="57">
        <f>ROUND(F389*G389,2)</f>
      </c>
      <c r="K389" s="59" t="s">
        <v>62</v>
      </c>
      <c r="Z389" s="57">
        <f>ROUND(IF(AQ389="5",BJ389,0),2)</f>
      </c>
      <c r="AB389" s="57">
        <f>ROUND(IF(AQ389="1",BH389,0),2)</f>
      </c>
      <c r="AC389" s="57">
        <f>ROUND(IF(AQ389="1",BI389,0),2)</f>
      </c>
      <c r="AD389" s="57">
        <f>ROUND(IF(AQ389="7",BH389,0),2)</f>
      </c>
      <c r="AE389" s="57">
        <f>ROUND(IF(AQ389="7",BI389,0),2)</f>
      </c>
      <c r="AF389" s="57">
        <f>ROUND(IF(AQ389="2",BH389,0),2)</f>
      </c>
      <c r="AG389" s="57">
        <f>ROUND(IF(AQ389="2",BI389,0),2)</f>
      </c>
      <c r="AH389" s="57">
        <f>ROUND(IF(AQ389="0",BJ389,0),2)</f>
      </c>
      <c r="AI389" s="33" t="s">
        <v>707</v>
      </c>
      <c r="AJ389" s="57">
        <f>IF(AN389=0,J389,0)</f>
      </c>
      <c r="AK389" s="57">
        <f>IF(AN389=12,J389,0)</f>
      </c>
      <c r="AL389" s="57">
        <f>IF(AN389=21,J389,0)</f>
      </c>
      <c r="AN389" s="57" t="n">
        <v>12</v>
      </c>
      <c r="AO389" s="57">
        <f>G389*0</f>
      </c>
      <c r="AP389" s="57">
        <f>G389*(1-0)</f>
      </c>
      <c r="AQ389" s="60" t="s">
        <v>58</v>
      </c>
      <c r="AV389" s="57">
        <f>ROUND(AW389+AX389,2)</f>
      </c>
      <c r="AW389" s="57">
        <f>ROUND(F389*AO389,2)</f>
      </c>
      <c r="AX389" s="57">
        <f>ROUND(F389*AP389,2)</f>
      </c>
      <c r="AY389" s="60" t="s">
        <v>558</v>
      </c>
      <c r="AZ389" s="60" t="s">
        <v>999</v>
      </c>
      <c r="BA389" s="33" t="s">
        <v>711</v>
      </c>
      <c r="BB389" s="61" t="n">
        <v>100114</v>
      </c>
      <c r="BC389" s="57">
        <f>AW389+AX389</f>
      </c>
      <c r="BD389" s="57">
        <f>G389/(100-BE389)*100</f>
      </c>
      <c r="BE389" s="57" t="n">
        <v>0</v>
      </c>
      <c r="BF389" s="57">
        <f>389</f>
      </c>
      <c r="BH389" s="57">
        <f>F389*AO389</f>
      </c>
      <c r="BI389" s="57">
        <f>F389*AP389</f>
      </c>
      <c r="BJ389" s="57">
        <f>F389*G389</f>
      </c>
      <c r="BK389" s="60" t="s">
        <v>66</v>
      </c>
      <c r="BL389" s="57" t="n">
        <v>96</v>
      </c>
      <c r="BW389" s="57" t="n">
        <v>12</v>
      </c>
      <c r="BX389" s="16" t="s">
        <v>1008</v>
      </c>
    </row>
    <row r="390">
      <c r="A390" s="51" t="s">
        <v>53</v>
      </c>
      <c r="B390" s="52" t="s">
        <v>581</v>
      </c>
      <c r="C390" s="53" t="s">
        <v>582</v>
      </c>
      <c r="D390" s="52"/>
      <c r="E390" s="54" t="s">
        <v>4</v>
      </c>
      <c r="F390" s="54" t="s">
        <v>4</v>
      </c>
      <c r="G390" s="55" t="s">
        <v>4</v>
      </c>
      <c r="H390" s="2">
        <f>ROUND(SUM(H391:H391),2)</f>
      </c>
      <c r="I390" s="2">
        <f>ROUND(SUM(I391:I391),2)</f>
      </c>
      <c r="J390" s="2">
        <f>ROUND(SUM(J391:J391),2)</f>
      </c>
      <c r="K390" s="56" t="s">
        <v>53</v>
      </c>
      <c r="AI390" s="33" t="s">
        <v>707</v>
      </c>
      <c r="AS390" s="2">
        <f>SUM(AJ391:AJ391)</f>
      </c>
      <c r="AT390" s="2">
        <f>SUM(AK391:AK391)</f>
      </c>
      <c r="AU390" s="2">
        <f>SUM(AL391:AL391)</f>
      </c>
    </row>
    <row r="391">
      <c r="A391" s="10" t="s">
        <v>1009</v>
      </c>
      <c r="B391" s="11" t="s">
        <v>584</v>
      </c>
      <c r="C391" s="16" t="s">
        <v>585</v>
      </c>
      <c r="D391" s="11"/>
      <c r="E391" s="11" t="s">
        <v>314</v>
      </c>
      <c r="F391" s="57" t="n">
        <v>26.28445</v>
      </c>
      <c r="G391" s="58" t="n">
        <v>0</v>
      </c>
      <c r="H391" s="57">
        <f>ROUND(F391*AO391,2)</f>
      </c>
      <c r="I391" s="57">
        <f>ROUND(F391*AP391,2)</f>
      </c>
      <c r="J391" s="57">
        <f>ROUND(F391*G391,2)</f>
      </c>
      <c r="K391" s="59" t="s">
        <v>62</v>
      </c>
      <c r="Z391" s="57">
        <f>ROUND(IF(AQ391="5",BJ391,0),2)</f>
      </c>
      <c r="AB391" s="57">
        <f>ROUND(IF(AQ391="1",BH391,0),2)</f>
      </c>
      <c r="AC391" s="57">
        <f>ROUND(IF(AQ391="1",BI391,0),2)</f>
      </c>
      <c r="AD391" s="57">
        <f>ROUND(IF(AQ391="7",BH391,0),2)</f>
      </c>
      <c r="AE391" s="57">
        <f>ROUND(IF(AQ391="7",BI391,0),2)</f>
      </c>
      <c r="AF391" s="57">
        <f>ROUND(IF(AQ391="2",BH391,0),2)</f>
      </c>
      <c r="AG391" s="57">
        <f>ROUND(IF(AQ391="2",BI391,0),2)</f>
      </c>
      <c r="AH391" s="57">
        <f>ROUND(IF(AQ391="0",BJ391,0),2)</f>
      </c>
      <c r="AI391" s="33" t="s">
        <v>707</v>
      </c>
      <c r="AJ391" s="57">
        <f>IF(AN391=0,J391,0)</f>
      </c>
      <c r="AK391" s="57">
        <f>IF(AN391=12,J391,0)</f>
      </c>
      <c r="AL391" s="57">
        <f>IF(AN391=21,J391,0)</f>
      </c>
      <c r="AN391" s="57" t="n">
        <v>12</v>
      </c>
      <c r="AO391" s="57">
        <f>G391*0</f>
      </c>
      <c r="AP391" s="57">
        <f>G391*(1-0)</f>
      </c>
      <c r="AQ391" s="60" t="s">
        <v>76</v>
      </c>
      <c r="AV391" s="57">
        <f>ROUND(AW391+AX391,2)</f>
      </c>
      <c r="AW391" s="57">
        <f>ROUND(F391*AO391,2)</f>
      </c>
      <c r="AX391" s="57">
        <f>ROUND(F391*AP391,2)</f>
      </c>
      <c r="AY391" s="60" t="s">
        <v>586</v>
      </c>
      <c r="AZ391" s="60" t="s">
        <v>1010</v>
      </c>
      <c r="BA391" s="33" t="s">
        <v>711</v>
      </c>
      <c r="BB391" s="61" t="n">
        <v>100115</v>
      </c>
      <c r="BC391" s="57">
        <f>AW391+AX391</f>
      </c>
      <c r="BD391" s="57">
        <f>G391/(100-BE391)*100</f>
      </c>
      <c r="BE391" s="57" t="n">
        <v>0</v>
      </c>
      <c r="BF391" s="57">
        <f>391</f>
      </c>
      <c r="BH391" s="57">
        <f>F391*AO391</f>
      </c>
      <c r="BI391" s="57">
        <f>F391*AP391</f>
      </c>
      <c r="BJ391" s="57">
        <f>F391*G391</f>
      </c>
      <c r="BK391" s="60" t="s">
        <v>66</v>
      </c>
      <c r="BL391" s="57"/>
      <c r="BW391" s="57" t="n">
        <v>12</v>
      </c>
      <c r="BX391" s="16" t="s">
        <v>585</v>
      </c>
    </row>
    <row r="392">
      <c r="A392" s="51" t="s">
        <v>53</v>
      </c>
      <c r="B392" s="52" t="s">
        <v>616</v>
      </c>
      <c r="C392" s="53" t="s">
        <v>617</v>
      </c>
      <c r="D392" s="52"/>
      <c r="E392" s="54" t="s">
        <v>4</v>
      </c>
      <c r="F392" s="54" t="s">
        <v>4</v>
      </c>
      <c r="G392" s="55" t="s">
        <v>4</v>
      </c>
      <c r="H392" s="2">
        <f>ROUND(SUM(H393:H401),2)</f>
      </c>
      <c r="I392" s="2">
        <f>ROUND(SUM(I393:I401),2)</f>
      </c>
      <c r="J392" s="2">
        <f>ROUND(SUM(J393:J401),2)</f>
      </c>
      <c r="K392" s="56" t="s">
        <v>53</v>
      </c>
      <c r="AI392" s="33" t="s">
        <v>707</v>
      </c>
      <c r="AS392" s="2">
        <f>SUM(AJ393:AJ401)</f>
      </c>
      <c r="AT392" s="2">
        <f>SUM(AK393:AK401)</f>
      </c>
      <c r="AU392" s="2">
        <f>SUM(AL393:AL401)</f>
      </c>
    </row>
    <row r="393">
      <c r="A393" s="10" t="s">
        <v>1011</v>
      </c>
      <c r="B393" s="11" t="s">
        <v>642</v>
      </c>
      <c r="C393" s="16" t="s">
        <v>643</v>
      </c>
      <c r="D393" s="11"/>
      <c r="E393" s="11" t="s">
        <v>314</v>
      </c>
      <c r="F393" s="57" t="n">
        <v>64.42052</v>
      </c>
      <c r="G393" s="58" t="n">
        <v>0</v>
      </c>
      <c r="H393" s="57">
        <f>ROUND(F393*AO393,2)</f>
      </c>
      <c r="I393" s="57">
        <f>ROUND(F393*AP393,2)</f>
      </c>
      <c r="J393" s="57">
        <f>ROUND(F393*G393,2)</f>
      </c>
      <c r="K393" s="59" t="s">
        <v>62</v>
      </c>
      <c r="Z393" s="57">
        <f>ROUND(IF(AQ393="5",BJ393,0),2)</f>
      </c>
      <c r="AB393" s="57">
        <f>ROUND(IF(AQ393="1",BH393,0),2)</f>
      </c>
      <c r="AC393" s="57">
        <f>ROUND(IF(AQ393="1",BI393,0),2)</f>
      </c>
      <c r="AD393" s="57">
        <f>ROUND(IF(AQ393="7",BH393,0),2)</f>
      </c>
      <c r="AE393" s="57">
        <f>ROUND(IF(AQ393="7",BI393,0),2)</f>
      </c>
      <c r="AF393" s="57">
        <f>ROUND(IF(AQ393="2",BH393,0),2)</f>
      </c>
      <c r="AG393" s="57">
        <f>ROUND(IF(AQ393="2",BI393,0),2)</f>
      </c>
      <c r="AH393" s="57">
        <f>ROUND(IF(AQ393="0",BJ393,0),2)</f>
      </c>
      <c r="AI393" s="33" t="s">
        <v>707</v>
      </c>
      <c r="AJ393" s="57">
        <f>IF(AN393=0,J393,0)</f>
      </c>
      <c r="AK393" s="57">
        <f>IF(AN393=12,J393,0)</f>
      </c>
      <c r="AL393" s="57">
        <f>IF(AN393=21,J393,0)</f>
      </c>
      <c r="AN393" s="57" t="n">
        <v>12</v>
      </c>
      <c r="AO393" s="57">
        <f>G393*0</f>
      </c>
      <c r="AP393" s="57">
        <f>G393*(1-0)</f>
      </c>
      <c r="AQ393" s="60" t="s">
        <v>76</v>
      </c>
      <c r="AV393" s="57">
        <f>ROUND(AW393+AX393,2)</f>
      </c>
      <c r="AW393" s="57">
        <f>ROUND(F393*AO393,2)</f>
      </c>
      <c r="AX393" s="57">
        <f>ROUND(F393*AP393,2)</f>
      </c>
      <c r="AY393" s="60" t="s">
        <v>621</v>
      </c>
      <c r="AZ393" s="60" t="s">
        <v>1012</v>
      </c>
      <c r="BA393" s="33" t="s">
        <v>711</v>
      </c>
      <c r="BB393" s="61" t="n">
        <v>100116</v>
      </c>
      <c r="BC393" s="57">
        <f>AW393+AX393</f>
      </c>
      <c r="BD393" s="57">
        <f>G393/(100-BE393)*100</f>
      </c>
      <c r="BE393" s="57" t="n">
        <v>0</v>
      </c>
      <c r="BF393" s="57">
        <f>393</f>
      </c>
      <c r="BH393" s="57">
        <f>F393*AO393</f>
      </c>
      <c r="BI393" s="57">
        <f>F393*AP393</f>
      </c>
      <c r="BJ393" s="57">
        <f>F393*G393</f>
      </c>
      <c r="BK393" s="60" t="s">
        <v>66</v>
      </c>
      <c r="BL393" s="57"/>
      <c r="BW393" s="57" t="n">
        <v>12</v>
      </c>
      <c r="BX393" s="16" t="s">
        <v>643</v>
      </c>
    </row>
    <row r="394">
      <c r="A394" s="10" t="s">
        <v>1013</v>
      </c>
      <c r="B394" s="11" t="s">
        <v>645</v>
      </c>
      <c r="C394" s="16" t="s">
        <v>646</v>
      </c>
      <c r="D394" s="11"/>
      <c r="E394" s="11" t="s">
        <v>314</v>
      </c>
      <c r="F394" s="57" t="n">
        <v>644.2052</v>
      </c>
      <c r="G394" s="58" t="n">
        <v>0</v>
      </c>
      <c r="H394" s="57">
        <f>ROUND(F394*AO394,2)</f>
      </c>
      <c r="I394" s="57">
        <f>ROUND(F394*AP394,2)</f>
      </c>
      <c r="J394" s="57">
        <f>ROUND(F394*G394,2)</f>
      </c>
      <c r="K394" s="59" t="s">
        <v>62</v>
      </c>
      <c r="Z394" s="57">
        <f>ROUND(IF(AQ394="5",BJ394,0),2)</f>
      </c>
      <c r="AB394" s="57">
        <f>ROUND(IF(AQ394="1",BH394,0),2)</f>
      </c>
      <c r="AC394" s="57">
        <f>ROUND(IF(AQ394="1",BI394,0),2)</f>
      </c>
      <c r="AD394" s="57">
        <f>ROUND(IF(AQ394="7",BH394,0),2)</f>
      </c>
      <c r="AE394" s="57">
        <f>ROUND(IF(AQ394="7",BI394,0),2)</f>
      </c>
      <c r="AF394" s="57">
        <f>ROUND(IF(AQ394="2",BH394,0),2)</f>
      </c>
      <c r="AG394" s="57">
        <f>ROUND(IF(AQ394="2",BI394,0),2)</f>
      </c>
      <c r="AH394" s="57">
        <f>ROUND(IF(AQ394="0",BJ394,0),2)</f>
      </c>
      <c r="AI394" s="33" t="s">
        <v>707</v>
      </c>
      <c r="AJ394" s="57">
        <f>IF(AN394=0,J394,0)</f>
      </c>
      <c r="AK394" s="57">
        <f>IF(AN394=12,J394,0)</f>
      </c>
      <c r="AL394" s="57">
        <f>IF(AN394=21,J394,0)</f>
      </c>
      <c r="AN394" s="57" t="n">
        <v>12</v>
      </c>
      <c r="AO394" s="57">
        <f>G394*0</f>
      </c>
      <c r="AP394" s="57">
        <f>G394*(1-0)</f>
      </c>
      <c r="AQ394" s="60" t="s">
        <v>76</v>
      </c>
      <c r="AV394" s="57">
        <f>ROUND(AW394+AX394,2)</f>
      </c>
      <c r="AW394" s="57">
        <f>ROUND(F394*AO394,2)</f>
      </c>
      <c r="AX394" s="57">
        <f>ROUND(F394*AP394,2)</f>
      </c>
      <c r="AY394" s="60" t="s">
        <v>621</v>
      </c>
      <c r="AZ394" s="60" t="s">
        <v>1012</v>
      </c>
      <c r="BA394" s="33" t="s">
        <v>711</v>
      </c>
      <c r="BB394" s="61" t="n">
        <v>100116</v>
      </c>
      <c r="BC394" s="57">
        <f>AW394+AX394</f>
      </c>
      <c r="BD394" s="57">
        <f>G394/(100-BE394)*100</f>
      </c>
      <c r="BE394" s="57" t="n">
        <v>0</v>
      </c>
      <c r="BF394" s="57">
        <f>394</f>
      </c>
      <c r="BH394" s="57">
        <f>F394*AO394</f>
      </c>
      <c r="BI394" s="57">
        <f>F394*AP394</f>
      </c>
      <c r="BJ394" s="57">
        <f>F394*G394</f>
      </c>
      <c r="BK394" s="60" t="s">
        <v>66</v>
      </c>
      <c r="BL394" s="57"/>
      <c r="BW394" s="57" t="n">
        <v>12</v>
      </c>
      <c r="BX394" s="16" t="s">
        <v>646</v>
      </c>
    </row>
    <row r="395">
      <c r="A395" s="10" t="s">
        <v>1014</v>
      </c>
      <c r="B395" s="11" t="s">
        <v>698</v>
      </c>
      <c r="C395" s="16" t="s">
        <v>699</v>
      </c>
      <c r="D395" s="11"/>
      <c r="E395" s="11" t="s">
        <v>314</v>
      </c>
      <c r="F395" s="57" t="n">
        <v>64.42052</v>
      </c>
      <c r="G395" s="58" t="n">
        <v>0</v>
      </c>
      <c r="H395" s="57">
        <f>ROUND(F395*AO395,2)</f>
      </c>
      <c r="I395" s="57">
        <f>ROUND(F395*AP395,2)</f>
      </c>
      <c r="J395" s="57">
        <f>ROUND(F395*G395,2)</f>
      </c>
      <c r="K395" s="59" t="s">
        <v>62</v>
      </c>
      <c r="Z395" s="57">
        <f>ROUND(IF(AQ395="5",BJ395,0),2)</f>
      </c>
      <c r="AB395" s="57">
        <f>ROUND(IF(AQ395="1",BH395,0),2)</f>
      </c>
      <c r="AC395" s="57">
        <f>ROUND(IF(AQ395="1",BI395,0),2)</f>
      </c>
      <c r="AD395" s="57">
        <f>ROUND(IF(AQ395="7",BH395,0),2)</f>
      </c>
      <c r="AE395" s="57">
        <f>ROUND(IF(AQ395="7",BI395,0),2)</f>
      </c>
      <c r="AF395" s="57">
        <f>ROUND(IF(AQ395="2",BH395,0),2)</f>
      </c>
      <c r="AG395" s="57">
        <f>ROUND(IF(AQ395="2",BI395,0),2)</f>
      </c>
      <c r="AH395" s="57">
        <f>ROUND(IF(AQ395="0",BJ395,0),2)</f>
      </c>
      <c r="AI395" s="33" t="s">
        <v>707</v>
      </c>
      <c r="AJ395" s="57">
        <f>IF(AN395=0,J395,0)</f>
      </c>
      <c r="AK395" s="57">
        <f>IF(AN395=12,J395,0)</f>
      </c>
      <c r="AL395" s="57">
        <f>IF(AN395=21,J395,0)</f>
      </c>
      <c r="AN395" s="57" t="n">
        <v>12</v>
      </c>
      <c r="AO395" s="57">
        <f>G395*0</f>
      </c>
      <c r="AP395" s="57">
        <f>G395*(1-0)</f>
      </c>
      <c r="AQ395" s="60" t="s">
        <v>76</v>
      </c>
      <c r="AV395" s="57">
        <f>ROUND(AW395+AX395,2)</f>
      </c>
      <c r="AW395" s="57">
        <f>ROUND(F395*AO395,2)</f>
      </c>
      <c r="AX395" s="57">
        <f>ROUND(F395*AP395,2)</f>
      </c>
      <c r="AY395" s="60" t="s">
        <v>621</v>
      </c>
      <c r="AZ395" s="60" t="s">
        <v>1012</v>
      </c>
      <c r="BA395" s="33" t="s">
        <v>711</v>
      </c>
      <c r="BB395" s="61" t="n">
        <v>100116</v>
      </c>
      <c r="BC395" s="57">
        <f>AW395+AX395</f>
      </c>
      <c r="BD395" s="57">
        <f>G395/(100-BE395)*100</f>
      </c>
      <c r="BE395" s="57" t="n">
        <v>0</v>
      </c>
      <c r="BF395" s="57">
        <f>395</f>
      </c>
      <c r="BH395" s="57">
        <f>F395*AO395</f>
      </c>
      <c r="BI395" s="57">
        <f>F395*AP395</f>
      </c>
      <c r="BJ395" s="57">
        <f>F395*G395</f>
      </c>
      <c r="BK395" s="60" t="s">
        <v>66</v>
      </c>
      <c r="BL395" s="57"/>
      <c r="BW395" s="57" t="n">
        <v>12</v>
      </c>
      <c r="BX395" s="16" t="s">
        <v>699</v>
      </c>
    </row>
    <row r="396">
      <c r="A396" s="10" t="s">
        <v>1015</v>
      </c>
      <c r="B396" s="11" t="s">
        <v>701</v>
      </c>
      <c r="C396" s="16" t="s">
        <v>702</v>
      </c>
      <c r="D396" s="11"/>
      <c r="E396" s="11" t="s">
        <v>314</v>
      </c>
      <c r="F396" s="57" t="n">
        <v>386.52312</v>
      </c>
      <c r="G396" s="58" t="n">
        <v>0</v>
      </c>
      <c r="H396" s="57">
        <f>ROUND(F396*AO396,2)</f>
      </c>
      <c r="I396" s="57">
        <f>ROUND(F396*AP396,2)</f>
      </c>
      <c r="J396" s="57">
        <f>ROUND(F396*G396,2)</f>
      </c>
      <c r="K396" s="59" t="s">
        <v>62</v>
      </c>
      <c r="Z396" s="57">
        <f>ROUND(IF(AQ396="5",BJ396,0),2)</f>
      </c>
      <c r="AB396" s="57">
        <f>ROUND(IF(AQ396="1",BH396,0),2)</f>
      </c>
      <c r="AC396" s="57">
        <f>ROUND(IF(AQ396="1",BI396,0),2)</f>
      </c>
      <c r="AD396" s="57">
        <f>ROUND(IF(AQ396="7",BH396,0),2)</f>
      </c>
      <c r="AE396" s="57">
        <f>ROUND(IF(AQ396="7",BI396,0),2)</f>
      </c>
      <c r="AF396" s="57">
        <f>ROUND(IF(AQ396="2",BH396,0),2)</f>
      </c>
      <c r="AG396" s="57">
        <f>ROUND(IF(AQ396="2",BI396,0),2)</f>
      </c>
      <c r="AH396" s="57">
        <f>ROUND(IF(AQ396="0",BJ396,0),2)</f>
      </c>
      <c r="AI396" s="33" t="s">
        <v>707</v>
      </c>
      <c r="AJ396" s="57">
        <f>IF(AN396=0,J396,0)</f>
      </c>
      <c r="AK396" s="57">
        <f>IF(AN396=12,J396,0)</f>
      </c>
      <c r="AL396" s="57">
        <f>IF(AN396=21,J396,0)</f>
      </c>
      <c r="AN396" s="57" t="n">
        <v>12</v>
      </c>
      <c r="AO396" s="57">
        <f>G396*0</f>
      </c>
      <c r="AP396" s="57">
        <f>G396*(1-0)</f>
      </c>
      <c r="AQ396" s="60" t="s">
        <v>76</v>
      </c>
      <c r="AV396" s="57">
        <f>ROUND(AW396+AX396,2)</f>
      </c>
      <c r="AW396" s="57">
        <f>ROUND(F396*AO396,2)</f>
      </c>
      <c r="AX396" s="57">
        <f>ROUND(F396*AP396,2)</f>
      </c>
      <c r="AY396" s="60" t="s">
        <v>621</v>
      </c>
      <c r="AZ396" s="60" t="s">
        <v>1012</v>
      </c>
      <c r="BA396" s="33" t="s">
        <v>711</v>
      </c>
      <c r="BB396" s="61" t="n">
        <v>100116</v>
      </c>
      <c r="BC396" s="57">
        <f>AW396+AX396</f>
      </c>
      <c r="BD396" s="57">
        <f>G396/(100-BE396)*100</f>
      </c>
      <c r="BE396" s="57" t="n">
        <v>0</v>
      </c>
      <c r="BF396" s="57">
        <f>396</f>
      </c>
      <c r="BH396" s="57">
        <f>F396*AO396</f>
      </c>
      <c r="BI396" s="57">
        <f>F396*AP396</f>
      </c>
      <c r="BJ396" s="57">
        <f>F396*G396</f>
      </c>
      <c r="BK396" s="60" t="s">
        <v>66</v>
      </c>
      <c r="BL396" s="57"/>
      <c r="BW396" s="57" t="n">
        <v>12</v>
      </c>
      <c r="BX396" s="16" t="s">
        <v>702</v>
      </c>
    </row>
    <row r="397">
      <c r="A397" s="10" t="s">
        <v>1016</v>
      </c>
      <c r="B397" s="11" t="s">
        <v>1017</v>
      </c>
      <c r="C397" s="16" t="s">
        <v>1018</v>
      </c>
      <c r="D397" s="11"/>
      <c r="E397" s="11" t="s">
        <v>314</v>
      </c>
      <c r="F397" s="57" t="n">
        <v>0.27838</v>
      </c>
      <c r="G397" s="58" t="n">
        <v>0</v>
      </c>
      <c r="H397" s="57">
        <f>ROUND(F397*AO397,2)</f>
      </c>
      <c r="I397" s="57">
        <f>ROUND(F397*AP397,2)</f>
      </c>
      <c r="J397" s="57">
        <f>ROUND(F397*G397,2)</f>
      </c>
      <c r="K397" s="59" t="s">
        <v>62</v>
      </c>
      <c r="Z397" s="57">
        <f>ROUND(IF(AQ397="5",BJ397,0),2)</f>
      </c>
      <c r="AB397" s="57">
        <f>ROUND(IF(AQ397="1",BH397,0),2)</f>
      </c>
      <c r="AC397" s="57">
        <f>ROUND(IF(AQ397="1",BI397,0),2)</f>
      </c>
      <c r="AD397" s="57">
        <f>ROUND(IF(AQ397="7",BH397,0),2)</f>
      </c>
      <c r="AE397" s="57">
        <f>ROUND(IF(AQ397="7",BI397,0),2)</f>
      </c>
      <c r="AF397" s="57">
        <f>ROUND(IF(AQ397="2",BH397,0),2)</f>
      </c>
      <c r="AG397" s="57">
        <f>ROUND(IF(AQ397="2",BI397,0),2)</f>
      </c>
      <c r="AH397" s="57">
        <f>ROUND(IF(AQ397="0",BJ397,0),2)</f>
      </c>
      <c r="AI397" s="33" t="s">
        <v>707</v>
      </c>
      <c r="AJ397" s="57">
        <f>IF(AN397=0,J397,0)</f>
      </c>
      <c r="AK397" s="57">
        <f>IF(AN397=12,J397,0)</f>
      </c>
      <c r="AL397" s="57">
        <f>IF(AN397=21,J397,0)</f>
      </c>
      <c r="AN397" s="57" t="n">
        <v>12</v>
      </c>
      <c r="AO397" s="57">
        <f>G397*0</f>
      </c>
      <c r="AP397" s="57">
        <f>G397*(1-0)</f>
      </c>
      <c r="AQ397" s="60" t="s">
        <v>76</v>
      </c>
      <c r="AV397" s="57">
        <f>ROUND(AW397+AX397,2)</f>
      </c>
      <c r="AW397" s="57">
        <f>ROUND(F397*AO397,2)</f>
      </c>
      <c r="AX397" s="57">
        <f>ROUND(F397*AP397,2)</f>
      </c>
      <c r="AY397" s="60" t="s">
        <v>621</v>
      </c>
      <c r="AZ397" s="60" t="s">
        <v>1012</v>
      </c>
      <c r="BA397" s="33" t="s">
        <v>711</v>
      </c>
      <c r="BB397" s="61" t="n">
        <v>100116</v>
      </c>
      <c r="BC397" s="57">
        <f>AW397+AX397</f>
      </c>
      <c r="BD397" s="57">
        <f>G397/(100-BE397)*100</f>
      </c>
      <c r="BE397" s="57" t="n">
        <v>0</v>
      </c>
      <c r="BF397" s="57">
        <f>397</f>
      </c>
      <c r="BH397" s="57">
        <f>F397*AO397</f>
      </c>
      <c r="BI397" s="57">
        <f>F397*AP397</f>
      </c>
      <c r="BJ397" s="57">
        <f>F397*G397</f>
      </c>
      <c r="BK397" s="60" t="s">
        <v>66</v>
      </c>
      <c r="BL397" s="57"/>
      <c r="BW397" s="57" t="n">
        <v>12</v>
      </c>
      <c r="BX397" s="16" t="s">
        <v>1018</v>
      </c>
    </row>
    <row r="398">
      <c r="A398" s="10" t="s">
        <v>1019</v>
      </c>
      <c r="B398" s="11" t="s">
        <v>1020</v>
      </c>
      <c r="C398" s="16" t="s">
        <v>1021</v>
      </c>
      <c r="D398" s="11"/>
      <c r="E398" s="11" t="s">
        <v>314</v>
      </c>
      <c r="F398" s="57" t="n">
        <v>30.76361</v>
      </c>
      <c r="G398" s="58" t="n">
        <v>0</v>
      </c>
      <c r="H398" s="57">
        <f>ROUND(F398*AO398,2)</f>
      </c>
      <c r="I398" s="57">
        <f>ROUND(F398*AP398,2)</f>
      </c>
      <c r="J398" s="57">
        <f>ROUND(F398*G398,2)</f>
      </c>
      <c r="K398" s="59" t="s">
        <v>62</v>
      </c>
      <c r="Z398" s="57">
        <f>ROUND(IF(AQ398="5",BJ398,0),2)</f>
      </c>
      <c r="AB398" s="57">
        <f>ROUND(IF(AQ398="1",BH398,0),2)</f>
      </c>
      <c r="AC398" s="57">
        <f>ROUND(IF(AQ398="1",BI398,0),2)</f>
      </c>
      <c r="AD398" s="57">
        <f>ROUND(IF(AQ398="7",BH398,0),2)</f>
      </c>
      <c r="AE398" s="57">
        <f>ROUND(IF(AQ398="7",BI398,0),2)</f>
      </c>
      <c r="AF398" s="57">
        <f>ROUND(IF(AQ398="2",BH398,0),2)</f>
      </c>
      <c r="AG398" s="57">
        <f>ROUND(IF(AQ398="2",BI398,0),2)</f>
      </c>
      <c r="AH398" s="57">
        <f>ROUND(IF(AQ398="0",BJ398,0),2)</f>
      </c>
      <c r="AI398" s="33" t="s">
        <v>707</v>
      </c>
      <c r="AJ398" s="57">
        <f>IF(AN398=0,J398,0)</f>
      </c>
      <c r="AK398" s="57">
        <f>IF(AN398=12,J398,0)</f>
      </c>
      <c r="AL398" s="57">
        <f>IF(AN398=21,J398,0)</f>
      </c>
      <c r="AN398" s="57" t="n">
        <v>12</v>
      </c>
      <c r="AO398" s="57">
        <f>G398*0</f>
      </c>
      <c r="AP398" s="57">
        <f>G398*(1-0)</f>
      </c>
      <c r="AQ398" s="60" t="s">
        <v>76</v>
      </c>
      <c r="AV398" s="57">
        <f>ROUND(AW398+AX398,2)</f>
      </c>
      <c r="AW398" s="57">
        <f>ROUND(F398*AO398,2)</f>
      </c>
      <c r="AX398" s="57">
        <f>ROUND(F398*AP398,2)</f>
      </c>
      <c r="AY398" s="60" t="s">
        <v>621</v>
      </c>
      <c r="AZ398" s="60" t="s">
        <v>1012</v>
      </c>
      <c r="BA398" s="33" t="s">
        <v>711</v>
      </c>
      <c r="BB398" s="61" t="n">
        <v>100117</v>
      </c>
      <c r="BC398" s="57">
        <f>AW398+AX398</f>
      </c>
      <c r="BD398" s="57">
        <f>G398/(100-BE398)*100</f>
      </c>
      <c r="BE398" s="57" t="n">
        <v>0</v>
      </c>
      <c r="BF398" s="57">
        <f>398</f>
      </c>
      <c r="BH398" s="57">
        <f>F398*AO398</f>
      </c>
      <c r="BI398" s="57">
        <f>F398*AP398</f>
      </c>
      <c r="BJ398" s="57">
        <f>F398*G398</f>
      </c>
      <c r="BK398" s="60" t="s">
        <v>66</v>
      </c>
      <c r="BL398" s="57"/>
      <c r="BW398" s="57" t="n">
        <v>12</v>
      </c>
      <c r="BX398" s="16" t="s">
        <v>1021</v>
      </c>
    </row>
    <row r="399">
      <c r="A399" s="10" t="s">
        <v>1022</v>
      </c>
      <c r="B399" s="11" t="s">
        <v>1023</v>
      </c>
      <c r="C399" s="16" t="s">
        <v>1024</v>
      </c>
      <c r="D399" s="11"/>
      <c r="E399" s="11" t="s">
        <v>314</v>
      </c>
      <c r="F399" s="57" t="n">
        <v>0.1</v>
      </c>
      <c r="G399" s="58" t="n">
        <v>0</v>
      </c>
      <c r="H399" s="57">
        <f>ROUND(F399*AO399,2)</f>
      </c>
      <c r="I399" s="57">
        <f>ROUND(F399*AP399,2)</f>
      </c>
      <c r="J399" s="57">
        <f>ROUND(F399*G399,2)</f>
      </c>
      <c r="K399" s="59" t="s">
        <v>62</v>
      </c>
      <c r="Z399" s="57">
        <f>ROUND(IF(AQ399="5",BJ399,0),2)</f>
      </c>
      <c r="AB399" s="57">
        <f>ROUND(IF(AQ399="1",BH399,0),2)</f>
      </c>
      <c r="AC399" s="57">
        <f>ROUND(IF(AQ399="1",BI399,0),2)</f>
      </c>
      <c r="AD399" s="57">
        <f>ROUND(IF(AQ399="7",BH399,0),2)</f>
      </c>
      <c r="AE399" s="57">
        <f>ROUND(IF(AQ399="7",BI399,0),2)</f>
      </c>
      <c r="AF399" s="57">
        <f>ROUND(IF(AQ399="2",BH399,0),2)</f>
      </c>
      <c r="AG399" s="57">
        <f>ROUND(IF(AQ399="2",BI399,0),2)</f>
      </c>
      <c r="AH399" s="57">
        <f>ROUND(IF(AQ399="0",BJ399,0),2)</f>
      </c>
      <c r="AI399" s="33" t="s">
        <v>707</v>
      </c>
      <c r="AJ399" s="57">
        <f>IF(AN399=0,J399,0)</f>
      </c>
      <c r="AK399" s="57">
        <f>IF(AN399=12,J399,0)</f>
      </c>
      <c r="AL399" s="57">
        <f>IF(AN399=21,J399,0)</f>
      </c>
      <c r="AN399" s="57" t="n">
        <v>12</v>
      </c>
      <c r="AO399" s="57">
        <f>G399*0</f>
      </c>
      <c r="AP399" s="57">
        <f>G399*(1-0)</f>
      </c>
      <c r="AQ399" s="60" t="s">
        <v>76</v>
      </c>
      <c r="AV399" s="57">
        <f>ROUND(AW399+AX399,2)</f>
      </c>
      <c r="AW399" s="57">
        <f>ROUND(F399*AO399,2)</f>
      </c>
      <c r="AX399" s="57">
        <f>ROUND(F399*AP399,2)</f>
      </c>
      <c r="AY399" s="60" t="s">
        <v>621</v>
      </c>
      <c r="AZ399" s="60" t="s">
        <v>1012</v>
      </c>
      <c r="BA399" s="33" t="s">
        <v>711</v>
      </c>
      <c r="BB399" s="61" t="n">
        <v>100117</v>
      </c>
      <c r="BC399" s="57">
        <f>AW399+AX399</f>
      </c>
      <c r="BD399" s="57">
        <f>G399/(100-BE399)*100</f>
      </c>
      <c r="BE399" s="57" t="n">
        <v>0</v>
      </c>
      <c r="BF399" s="57">
        <f>399</f>
      </c>
      <c r="BH399" s="57">
        <f>F399*AO399</f>
      </c>
      <c r="BI399" s="57">
        <f>F399*AP399</f>
      </c>
      <c r="BJ399" s="57">
        <f>F399*G399</f>
      </c>
      <c r="BK399" s="60" t="s">
        <v>66</v>
      </c>
      <c r="BL399" s="57"/>
      <c r="BW399" s="57" t="n">
        <v>12</v>
      </c>
      <c r="BX399" s="16" t="s">
        <v>1024</v>
      </c>
    </row>
    <row r="400">
      <c r="A400" s="10" t="s">
        <v>1025</v>
      </c>
      <c r="B400" s="11" t="s">
        <v>1026</v>
      </c>
      <c r="C400" s="16" t="s">
        <v>1027</v>
      </c>
      <c r="D400" s="11"/>
      <c r="E400" s="11" t="s">
        <v>314</v>
      </c>
      <c r="F400" s="57" t="n">
        <v>0.04092</v>
      </c>
      <c r="G400" s="58" t="n">
        <v>0</v>
      </c>
      <c r="H400" s="57">
        <f>ROUND(F400*AO400,2)</f>
      </c>
      <c r="I400" s="57">
        <f>ROUND(F400*AP400,2)</f>
      </c>
      <c r="J400" s="57">
        <f>ROUND(F400*G400,2)</f>
      </c>
      <c r="K400" s="59" t="s">
        <v>62</v>
      </c>
      <c r="Z400" s="57">
        <f>ROUND(IF(AQ400="5",BJ400,0),2)</f>
      </c>
      <c r="AB400" s="57">
        <f>ROUND(IF(AQ400="1",BH400,0),2)</f>
      </c>
      <c r="AC400" s="57">
        <f>ROUND(IF(AQ400="1",BI400,0),2)</f>
      </c>
      <c r="AD400" s="57">
        <f>ROUND(IF(AQ400="7",BH400,0),2)</f>
      </c>
      <c r="AE400" s="57">
        <f>ROUND(IF(AQ400="7",BI400,0),2)</f>
      </c>
      <c r="AF400" s="57">
        <f>ROUND(IF(AQ400="2",BH400,0),2)</f>
      </c>
      <c r="AG400" s="57">
        <f>ROUND(IF(AQ400="2",BI400,0),2)</f>
      </c>
      <c r="AH400" s="57">
        <f>ROUND(IF(AQ400="0",BJ400,0),2)</f>
      </c>
      <c r="AI400" s="33" t="s">
        <v>707</v>
      </c>
      <c r="AJ400" s="57">
        <f>IF(AN400=0,J400,0)</f>
      </c>
      <c r="AK400" s="57">
        <f>IF(AN400=12,J400,0)</f>
      </c>
      <c r="AL400" s="57">
        <f>IF(AN400=21,J400,0)</f>
      </c>
      <c r="AN400" s="57" t="n">
        <v>12</v>
      </c>
      <c r="AO400" s="57">
        <f>G400*0</f>
      </c>
      <c r="AP400" s="57">
        <f>G400*(1-0)</f>
      </c>
      <c r="AQ400" s="60" t="s">
        <v>76</v>
      </c>
      <c r="AV400" s="57">
        <f>ROUND(AW400+AX400,2)</f>
      </c>
      <c r="AW400" s="57">
        <f>ROUND(F400*AO400,2)</f>
      </c>
      <c r="AX400" s="57">
        <f>ROUND(F400*AP400,2)</f>
      </c>
      <c r="AY400" s="60" t="s">
        <v>621</v>
      </c>
      <c r="AZ400" s="60" t="s">
        <v>1012</v>
      </c>
      <c r="BA400" s="33" t="s">
        <v>711</v>
      </c>
      <c r="BB400" s="61" t="n">
        <v>100116</v>
      </c>
      <c r="BC400" s="57">
        <f>AW400+AX400</f>
      </c>
      <c r="BD400" s="57">
        <f>G400/(100-BE400)*100</f>
      </c>
      <c r="BE400" s="57" t="n">
        <v>0</v>
      </c>
      <c r="BF400" s="57">
        <f>400</f>
      </c>
      <c r="BH400" s="57">
        <f>F400*AO400</f>
      </c>
      <c r="BI400" s="57">
        <f>F400*AP400</f>
      </c>
      <c r="BJ400" s="57">
        <f>F400*G400</f>
      </c>
      <c r="BK400" s="60" t="s">
        <v>66</v>
      </c>
      <c r="BL400" s="57"/>
      <c r="BW400" s="57" t="n">
        <v>12</v>
      </c>
      <c r="BX400" s="16" t="s">
        <v>1027</v>
      </c>
    </row>
    <row r="401" ht="24.75">
      <c r="A401" s="10" t="s">
        <v>1028</v>
      </c>
      <c r="B401" s="11" t="s">
        <v>627</v>
      </c>
      <c r="C401" s="16" t="s">
        <v>628</v>
      </c>
      <c r="D401" s="11"/>
      <c r="E401" s="11" t="s">
        <v>314</v>
      </c>
      <c r="F401" s="57" t="n">
        <v>18.62211</v>
      </c>
      <c r="G401" s="58" t="n">
        <v>0</v>
      </c>
      <c r="H401" s="57">
        <f>ROUND(F401*AO401,2)</f>
      </c>
      <c r="I401" s="57">
        <f>ROUND(F401*AP401,2)</f>
      </c>
      <c r="J401" s="57">
        <f>ROUND(F401*G401,2)</f>
      </c>
      <c r="K401" s="59" t="s">
        <v>62</v>
      </c>
      <c r="Z401" s="57">
        <f>ROUND(IF(AQ401="5",BJ401,0),2)</f>
      </c>
      <c r="AB401" s="57">
        <f>ROUND(IF(AQ401="1",BH401,0),2)</f>
      </c>
      <c r="AC401" s="57">
        <f>ROUND(IF(AQ401="1",BI401,0),2)</f>
      </c>
      <c r="AD401" s="57">
        <f>ROUND(IF(AQ401="7",BH401,0),2)</f>
      </c>
      <c r="AE401" s="57">
        <f>ROUND(IF(AQ401="7",BI401,0),2)</f>
      </c>
      <c r="AF401" s="57">
        <f>ROUND(IF(AQ401="2",BH401,0),2)</f>
      </c>
      <c r="AG401" s="57">
        <f>ROUND(IF(AQ401="2",BI401,0),2)</f>
      </c>
      <c r="AH401" s="57">
        <f>ROUND(IF(AQ401="0",BJ401,0),2)</f>
      </c>
      <c r="AI401" s="33" t="s">
        <v>707</v>
      </c>
      <c r="AJ401" s="57">
        <f>IF(AN401=0,J401,0)</f>
      </c>
      <c r="AK401" s="57">
        <f>IF(AN401=12,J401,0)</f>
      </c>
      <c r="AL401" s="57">
        <f>IF(AN401=21,J401,0)</f>
      </c>
      <c r="AN401" s="57" t="n">
        <v>12</v>
      </c>
      <c r="AO401" s="57">
        <f>G401*0</f>
      </c>
      <c r="AP401" s="57">
        <f>G401*(1-0)</f>
      </c>
      <c r="AQ401" s="60" t="s">
        <v>76</v>
      </c>
      <c r="AV401" s="57">
        <f>ROUND(AW401+AX401,2)</f>
      </c>
      <c r="AW401" s="57">
        <f>ROUND(F401*AO401,2)</f>
      </c>
      <c r="AX401" s="57">
        <f>ROUND(F401*AP401,2)</f>
      </c>
      <c r="AY401" s="60" t="s">
        <v>621</v>
      </c>
      <c r="AZ401" s="60" t="s">
        <v>1012</v>
      </c>
      <c r="BA401" s="33" t="s">
        <v>711</v>
      </c>
      <c r="BB401" s="61" t="n">
        <v>100116</v>
      </c>
      <c r="BC401" s="57">
        <f>AW401+AX401</f>
      </c>
      <c r="BD401" s="57">
        <f>G401/(100-BE401)*100</f>
      </c>
      <c r="BE401" s="57" t="n">
        <v>0</v>
      </c>
      <c r="BF401" s="57">
        <f>401</f>
      </c>
      <c r="BH401" s="57">
        <f>F401*AO401</f>
      </c>
      <c r="BI401" s="57">
        <f>F401*AP401</f>
      </c>
      <c r="BJ401" s="57">
        <f>F401*G401</f>
      </c>
      <c r="BK401" s="60" t="s">
        <v>66</v>
      </c>
      <c r="BL401" s="57"/>
      <c r="BW401" s="57" t="n">
        <v>12</v>
      </c>
      <c r="BX401" s="16" t="s">
        <v>628</v>
      </c>
    </row>
    <row r="402">
      <c r="A402" s="51" t="s">
        <v>53</v>
      </c>
      <c r="B402" s="52" t="s">
        <v>53</v>
      </c>
      <c r="C402" s="53" t="s">
        <v>1029</v>
      </c>
      <c r="D402" s="52"/>
      <c r="E402" s="54" t="s">
        <v>4</v>
      </c>
      <c r="F402" s="54" t="s">
        <v>4</v>
      </c>
      <c r="G402" s="55" t="s">
        <v>4</v>
      </c>
      <c r="H402" s="2">
        <f>ROUND(SUM(H403,H410,H432),2)</f>
      </c>
      <c r="I402" s="2">
        <f>ROUND(SUM(I403,I410,I432),2)</f>
      </c>
      <c r="J402" s="2">
        <f>ROUND(SUM(J403,J410,J432),2)</f>
      </c>
      <c r="K402" s="56" t="s">
        <v>53</v>
      </c>
    </row>
    <row r="403">
      <c r="A403" s="51" t="s">
        <v>53</v>
      </c>
      <c r="B403" s="52" t="s">
        <v>356</v>
      </c>
      <c r="C403" s="53" t="s">
        <v>451</v>
      </c>
      <c r="D403" s="52"/>
      <c r="E403" s="54" t="s">
        <v>4</v>
      </c>
      <c r="F403" s="54" t="s">
        <v>4</v>
      </c>
      <c r="G403" s="55" t="s">
        <v>4</v>
      </c>
      <c r="H403" s="2">
        <f>ROUND(SUM(H404:H408),2)</f>
      </c>
      <c r="I403" s="2">
        <f>ROUND(SUM(I404:I408),2)</f>
      </c>
      <c r="J403" s="2">
        <f>ROUND(SUM(J404:J408),2)</f>
      </c>
      <c r="K403" s="56" t="s">
        <v>53</v>
      </c>
      <c r="AI403" s="33" t="s">
        <v>1030</v>
      </c>
      <c r="AS403" s="2">
        <f>SUM(AJ404:AJ408)</f>
      </c>
      <c r="AT403" s="2">
        <f>SUM(AK404:AK408)</f>
      </c>
      <c r="AU403" s="2">
        <f>SUM(AL404:AL408)</f>
      </c>
    </row>
    <row r="404">
      <c r="A404" s="10" t="s">
        <v>1031</v>
      </c>
      <c r="B404" s="11" t="s">
        <v>1032</v>
      </c>
      <c r="C404" s="16" t="s">
        <v>1033</v>
      </c>
      <c r="D404" s="11"/>
      <c r="E404" s="11" t="s">
        <v>455</v>
      </c>
      <c r="F404" s="57" t="n">
        <v>8</v>
      </c>
      <c r="G404" s="58" t="n">
        <v>0</v>
      </c>
      <c r="H404" s="57">
        <f>ROUND(F404*AO404,2)</f>
      </c>
      <c r="I404" s="57">
        <f>ROUND(F404*AP404,2)</f>
      </c>
      <c r="J404" s="57">
        <f>ROUND(F404*G404,2)</f>
      </c>
      <c r="K404" s="59" t="s">
        <v>62</v>
      </c>
      <c r="Z404" s="57">
        <f>ROUND(IF(AQ404="5",BJ404,0),2)</f>
      </c>
      <c r="AB404" s="57">
        <f>ROUND(IF(AQ404="1",BH404,0),2)</f>
      </c>
      <c r="AC404" s="57">
        <f>ROUND(IF(AQ404="1",BI404,0),2)</f>
      </c>
      <c r="AD404" s="57">
        <f>ROUND(IF(AQ404="7",BH404,0),2)</f>
      </c>
      <c r="AE404" s="57">
        <f>ROUND(IF(AQ404="7",BI404,0),2)</f>
      </c>
      <c r="AF404" s="57">
        <f>ROUND(IF(AQ404="2",BH404,0),2)</f>
      </c>
      <c r="AG404" s="57">
        <f>ROUND(IF(AQ404="2",BI404,0),2)</f>
      </c>
      <c r="AH404" s="57">
        <f>ROUND(IF(AQ404="0",BJ404,0),2)</f>
      </c>
      <c r="AI404" s="33" t="s">
        <v>1030</v>
      </c>
      <c r="AJ404" s="57">
        <f>IF(AN404=0,J404,0)</f>
      </c>
      <c r="AK404" s="57">
        <f>IF(AN404=12,J404,0)</f>
      </c>
      <c r="AL404" s="57">
        <f>IF(AN404=21,J404,0)</f>
      </c>
      <c r="AN404" s="57" t="n">
        <v>12</v>
      </c>
      <c r="AO404" s="57">
        <f>G404*0</f>
      </c>
      <c r="AP404" s="57">
        <f>G404*(1-0)</f>
      </c>
      <c r="AQ404" s="60" t="s">
        <v>58</v>
      </c>
      <c r="AV404" s="57">
        <f>ROUND(AW404+AX404,2)</f>
      </c>
      <c r="AW404" s="57">
        <f>ROUND(F404*AO404,2)</f>
      </c>
      <c r="AX404" s="57">
        <f>ROUND(F404*AP404,2)</f>
      </c>
      <c r="AY404" s="60" t="s">
        <v>456</v>
      </c>
      <c r="AZ404" s="60" t="s">
        <v>1034</v>
      </c>
      <c r="BA404" s="33" t="s">
        <v>1035</v>
      </c>
      <c r="BB404" s="61" t="n">
        <v>100118</v>
      </c>
      <c r="BC404" s="57">
        <f>AW404+AX404</f>
      </c>
      <c r="BD404" s="57">
        <f>G404/(100-BE404)*100</f>
      </c>
      <c r="BE404" s="57" t="n">
        <v>0</v>
      </c>
      <c r="BF404" s="57">
        <f>404</f>
      </c>
      <c r="BH404" s="57">
        <f>F404*AO404</f>
      </c>
      <c r="BI404" s="57">
        <f>F404*AP404</f>
      </c>
      <c r="BJ404" s="57">
        <f>F404*G404</f>
      </c>
      <c r="BK404" s="60" t="s">
        <v>66</v>
      </c>
      <c r="BL404" s="57" t="n">
        <v>90</v>
      </c>
      <c r="BW404" s="57" t="n">
        <v>12</v>
      </c>
      <c r="BX404" s="16" t="s">
        <v>1033</v>
      </c>
    </row>
    <row r="405" customHeight="true" ht="13.5">
      <c r="A405" s="62"/>
      <c r="B405" s="63" t="s">
        <v>106</v>
      </c>
      <c r="C405" s="64" t="s">
        <v>1036</v>
      </c>
      <c r="D405" s="65"/>
      <c r="E405" s="65"/>
      <c r="F405" s="65"/>
      <c r="G405" s="66"/>
      <c r="H405" s="65"/>
      <c r="I405" s="65"/>
      <c r="J405" s="65"/>
      <c r="K405" s="67"/>
    </row>
    <row r="406">
      <c r="A406" s="10" t="s">
        <v>1037</v>
      </c>
      <c r="B406" s="11" t="s">
        <v>1038</v>
      </c>
      <c r="C406" s="16" t="s">
        <v>1039</v>
      </c>
      <c r="D406" s="11"/>
      <c r="E406" s="11" t="s">
        <v>455</v>
      </c>
      <c r="F406" s="57" t="n">
        <v>45</v>
      </c>
      <c r="G406" s="58" t="n">
        <v>0</v>
      </c>
      <c r="H406" s="57">
        <f>ROUND(F406*AO406,2)</f>
      </c>
      <c r="I406" s="57">
        <f>ROUND(F406*AP406,2)</f>
      </c>
      <c r="J406" s="57">
        <f>ROUND(F406*G406,2)</f>
      </c>
      <c r="K406" s="59" t="s">
        <v>62</v>
      </c>
      <c r="Z406" s="57">
        <f>ROUND(IF(AQ406="5",BJ406,0),2)</f>
      </c>
      <c r="AB406" s="57">
        <f>ROUND(IF(AQ406="1",BH406,0),2)</f>
      </c>
      <c r="AC406" s="57">
        <f>ROUND(IF(AQ406="1",BI406,0),2)</f>
      </c>
      <c r="AD406" s="57">
        <f>ROUND(IF(AQ406="7",BH406,0),2)</f>
      </c>
      <c r="AE406" s="57">
        <f>ROUND(IF(AQ406="7",BI406,0),2)</f>
      </c>
      <c r="AF406" s="57">
        <f>ROUND(IF(AQ406="2",BH406,0),2)</f>
      </c>
      <c r="AG406" s="57">
        <f>ROUND(IF(AQ406="2",BI406,0),2)</f>
      </c>
      <c r="AH406" s="57">
        <f>ROUND(IF(AQ406="0",BJ406,0),2)</f>
      </c>
      <c r="AI406" s="33" t="s">
        <v>1030</v>
      </c>
      <c r="AJ406" s="57">
        <f>IF(AN406=0,J406,0)</f>
      </c>
      <c r="AK406" s="57">
        <f>IF(AN406=12,J406,0)</f>
      </c>
      <c r="AL406" s="57">
        <f>IF(AN406=21,J406,0)</f>
      </c>
      <c r="AN406" s="57" t="n">
        <v>12</v>
      </c>
      <c r="AO406" s="57">
        <f>G406*0</f>
      </c>
      <c r="AP406" s="57">
        <f>G406*(1-0)</f>
      </c>
      <c r="AQ406" s="60" t="s">
        <v>58</v>
      </c>
      <c r="AV406" s="57">
        <f>ROUND(AW406+AX406,2)</f>
      </c>
      <c r="AW406" s="57">
        <f>ROUND(F406*AO406,2)</f>
      </c>
      <c r="AX406" s="57">
        <f>ROUND(F406*AP406,2)</f>
      </c>
      <c r="AY406" s="60" t="s">
        <v>456</v>
      </c>
      <c r="AZ406" s="60" t="s">
        <v>1034</v>
      </c>
      <c r="BA406" s="33" t="s">
        <v>1035</v>
      </c>
      <c r="BB406" s="61" t="n">
        <v>100118</v>
      </c>
      <c r="BC406" s="57">
        <f>AW406+AX406</f>
      </c>
      <c r="BD406" s="57">
        <f>G406/(100-BE406)*100</f>
      </c>
      <c r="BE406" s="57" t="n">
        <v>0</v>
      </c>
      <c r="BF406" s="57">
        <f>406</f>
      </c>
      <c r="BH406" s="57">
        <f>F406*AO406</f>
      </c>
      <c r="BI406" s="57">
        <f>F406*AP406</f>
      </c>
      <c r="BJ406" s="57">
        <f>F406*G406</f>
      </c>
      <c r="BK406" s="60" t="s">
        <v>66</v>
      </c>
      <c r="BL406" s="57" t="n">
        <v>90</v>
      </c>
      <c r="BW406" s="57" t="n">
        <v>12</v>
      </c>
      <c r="BX406" s="16" t="s">
        <v>1039</v>
      </c>
    </row>
    <row r="407" customHeight="true" ht="13.5">
      <c r="A407" s="62"/>
      <c r="B407" s="63" t="s">
        <v>106</v>
      </c>
      <c r="C407" s="64" t="s">
        <v>1040</v>
      </c>
      <c r="D407" s="65"/>
      <c r="E407" s="65"/>
      <c r="F407" s="65"/>
      <c r="G407" s="66"/>
      <c r="H407" s="65"/>
      <c r="I407" s="65"/>
      <c r="J407" s="65"/>
      <c r="K407" s="67"/>
    </row>
    <row r="408">
      <c r="A408" s="10" t="s">
        <v>1041</v>
      </c>
      <c r="B408" s="11" t="s">
        <v>1038</v>
      </c>
      <c r="C408" s="16" t="s">
        <v>1042</v>
      </c>
      <c r="D408" s="11"/>
      <c r="E408" s="11" t="s">
        <v>455</v>
      </c>
      <c r="F408" s="57" t="n">
        <v>8</v>
      </c>
      <c r="G408" s="58" t="n">
        <v>0</v>
      </c>
      <c r="H408" s="57">
        <f>ROUND(F408*AO408,2)</f>
      </c>
      <c r="I408" s="57">
        <f>ROUND(F408*AP408,2)</f>
      </c>
      <c r="J408" s="57">
        <f>ROUND(F408*G408,2)</f>
      </c>
      <c r="K408" s="59" t="s">
        <v>62</v>
      </c>
      <c r="Z408" s="57">
        <f>ROUND(IF(AQ408="5",BJ408,0),2)</f>
      </c>
      <c r="AB408" s="57">
        <f>ROUND(IF(AQ408="1",BH408,0),2)</f>
      </c>
      <c r="AC408" s="57">
        <f>ROUND(IF(AQ408="1",BI408,0),2)</f>
      </c>
      <c r="AD408" s="57">
        <f>ROUND(IF(AQ408="7",BH408,0),2)</f>
      </c>
      <c r="AE408" s="57">
        <f>ROUND(IF(AQ408="7",BI408,0),2)</f>
      </c>
      <c r="AF408" s="57">
        <f>ROUND(IF(AQ408="2",BH408,0),2)</f>
      </c>
      <c r="AG408" s="57">
        <f>ROUND(IF(AQ408="2",BI408,0),2)</f>
      </c>
      <c r="AH408" s="57">
        <f>ROUND(IF(AQ408="0",BJ408,0),2)</f>
      </c>
      <c r="AI408" s="33" t="s">
        <v>1030</v>
      </c>
      <c r="AJ408" s="57">
        <f>IF(AN408=0,J408,0)</f>
      </c>
      <c r="AK408" s="57">
        <f>IF(AN408=12,J408,0)</f>
      </c>
      <c r="AL408" s="57">
        <f>IF(AN408=21,J408,0)</f>
      </c>
      <c r="AN408" s="57" t="n">
        <v>12</v>
      </c>
      <c r="AO408" s="57">
        <f>G408*0</f>
      </c>
      <c r="AP408" s="57">
        <f>G408*(1-0)</f>
      </c>
      <c r="AQ408" s="60" t="s">
        <v>58</v>
      </c>
      <c r="AV408" s="57">
        <f>ROUND(AW408+AX408,2)</f>
      </c>
      <c r="AW408" s="57">
        <f>ROUND(F408*AO408,2)</f>
      </c>
      <c r="AX408" s="57">
        <f>ROUND(F408*AP408,2)</f>
      </c>
      <c r="AY408" s="60" t="s">
        <v>456</v>
      </c>
      <c r="AZ408" s="60" t="s">
        <v>1034</v>
      </c>
      <c r="BA408" s="33" t="s">
        <v>1035</v>
      </c>
      <c r="BB408" s="61" t="n">
        <v>100118</v>
      </c>
      <c r="BC408" s="57">
        <f>AW408+AX408</f>
      </c>
      <c r="BD408" s="57">
        <f>G408/(100-BE408)*100</f>
      </c>
      <c r="BE408" s="57" t="n">
        <v>0</v>
      </c>
      <c r="BF408" s="57">
        <f>408</f>
      </c>
      <c r="BH408" s="57">
        <f>F408*AO408</f>
      </c>
      <c r="BI408" s="57">
        <f>F408*AP408</f>
      </c>
      <c r="BJ408" s="57">
        <f>F408*G408</f>
      </c>
      <c r="BK408" s="60" t="s">
        <v>66</v>
      </c>
      <c r="BL408" s="57" t="n">
        <v>90</v>
      </c>
      <c r="BW408" s="57" t="n">
        <v>12</v>
      </c>
      <c r="BX408" s="16" t="s">
        <v>1042</v>
      </c>
    </row>
    <row r="409" customHeight="true" ht="13.5">
      <c r="A409" s="62"/>
      <c r="B409" s="63" t="s">
        <v>106</v>
      </c>
      <c r="C409" s="64" t="s">
        <v>1040</v>
      </c>
      <c r="D409" s="65"/>
      <c r="E409" s="65"/>
      <c r="F409" s="65"/>
      <c r="G409" s="66"/>
      <c r="H409" s="65"/>
      <c r="I409" s="65"/>
      <c r="J409" s="65"/>
      <c r="K409" s="67"/>
    </row>
    <row r="410">
      <c r="A410" s="51" t="s">
        <v>53</v>
      </c>
      <c r="B410" s="52" t="s">
        <v>1043</v>
      </c>
      <c r="C410" s="53" t="s">
        <v>1044</v>
      </c>
      <c r="D410" s="52"/>
      <c r="E410" s="54" t="s">
        <v>4</v>
      </c>
      <c r="F410" s="54" t="s">
        <v>4</v>
      </c>
      <c r="G410" s="55" t="s">
        <v>4</v>
      </c>
      <c r="H410" s="2">
        <f>ROUND(SUM(H411:H431),2)</f>
      </c>
      <c r="I410" s="2">
        <f>ROUND(SUM(I411:I431),2)</f>
      </c>
      <c r="J410" s="2">
        <f>ROUND(SUM(J411:J431),2)</f>
      </c>
      <c r="K410" s="56" t="s">
        <v>53</v>
      </c>
      <c r="AI410" s="33" t="s">
        <v>1030</v>
      </c>
      <c r="AS410" s="2">
        <f>SUM(AJ411:AJ431)</f>
      </c>
      <c r="AT410" s="2">
        <f>SUM(AK411:AK431)</f>
      </c>
      <c r="AU410" s="2">
        <f>SUM(AL411:AL431)</f>
      </c>
    </row>
    <row r="411">
      <c r="A411" s="10" t="s">
        <v>1045</v>
      </c>
      <c r="B411" s="11" t="s">
        <v>1046</v>
      </c>
      <c r="C411" s="16" t="s">
        <v>1047</v>
      </c>
      <c r="D411" s="11"/>
      <c r="E411" s="11" t="s">
        <v>126</v>
      </c>
      <c r="F411" s="57" t="n">
        <v>150</v>
      </c>
      <c r="G411" s="58" t="n">
        <v>0</v>
      </c>
      <c r="H411" s="57">
        <f>ROUND(F411*AO411,2)</f>
      </c>
      <c r="I411" s="57">
        <f>ROUND(F411*AP411,2)</f>
      </c>
      <c r="J411" s="57">
        <f>ROUND(F411*G411,2)</f>
      </c>
      <c r="K411" s="59" t="s">
        <v>62</v>
      </c>
      <c r="Z411" s="57">
        <f>ROUND(IF(AQ411="5",BJ411,0),2)</f>
      </c>
      <c r="AB411" s="57">
        <f>ROUND(IF(AQ411="1",BH411,0),2)</f>
      </c>
      <c r="AC411" s="57">
        <f>ROUND(IF(AQ411="1",BI411,0),2)</f>
      </c>
      <c r="AD411" s="57">
        <f>ROUND(IF(AQ411="7",BH411,0),2)</f>
      </c>
      <c r="AE411" s="57">
        <f>ROUND(IF(AQ411="7",BI411,0),2)</f>
      </c>
      <c r="AF411" s="57">
        <f>ROUND(IF(AQ411="2",BH411,0),2)</f>
      </c>
      <c r="AG411" s="57">
        <f>ROUND(IF(AQ411="2",BI411,0),2)</f>
      </c>
      <c r="AH411" s="57">
        <f>ROUND(IF(AQ411="0",BJ411,0),2)</f>
      </c>
      <c r="AI411" s="33" t="s">
        <v>1030</v>
      </c>
      <c r="AJ411" s="57">
        <f>IF(AN411=0,J411,0)</f>
      </c>
      <c r="AK411" s="57">
        <f>IF(AN411=12,J411,0)</f>
      </c>
      <c r="AL411" s="57">
        <f>IF(AN411=21,J411,0)</f>
      </c>
      <c r="AN411" s="57" t="n">
        <v>12</v>
      </c>
      <c r="AO411" s="57">
        <f>G411*0</f>
      </c>
      <c r="AP411" s="57">
        <f>G411*(1-0)</f>
      </c>
      <c r="AQ411" s="60" t="s">
        <v>67</v>
      </c>
      <c r="AV411" s="57">
        <f>ROUND(AW411+AX411,2)</f>
      </c>
      <c r="AW411" s="57">
        <f>ROUND(F411*AO411,2)</f>
      </c>
      <c r="AX411" s="57">
        <f>ROUND(F411*AP411,2)</f>
      </c>
      <c r="AY411" s="60" t="s">
        <v>1048</v>
      </c>
      <c r="AZ411" s="60" t="s">
        <v>1049</v>
      </c>
      <c r="BA411" s="33" t="s">
        <v>1035</v>
      </c>
      <c r="BB411" s="61" t="n">
        <v>100119</v>
      </c>
      <c r="BC411" s="57">
        <f>AW411+AX411</f>
      </c>
      <c r="BD411" s="57">
        <f>G411/(100-BE411)*100</f>
      </c>
      <c r="BE411" s="57" t="n">
        <v>0</v>
      </c>
      <c r="BF411" s="57">
        <f>411</f>
      </c>
      <c r="BH411" s="57">
        <f>F411*AO411</f>
      </c>
      <c r="BI411" s="57">
        <f>F411*AP411</f>
      </c>
      <c r="BJ411" s="57">
        <f>F411*G411</f>
      </c>
      <c r="BK411" s="60" t="s">
        <v>66</v>
      </c>
      <c r="BL411" s="57"/>
      <c r="BW411" s="57" t="n">
        <v>12</v>
      </c>
      <c r="BX411" s="16" t="s">
        <v>1047</v>
      </c>
    </row>
    <row r="412">
      <c r="A412" s="10" t="s">
        <v>1050</v>
      </c>
      <c r="B412" s="11" t="s">
        <v>1051</v>
      </c>
      <c r="C412" s="16" t="s">
        <v>1052</v>
      </c>
      <c r="D412" s="11"/>
      <c r="E412" s="11" t="s">
        <v>126</v>
      </c>
      <c r="F412" s="57" t="n">
        <v>165</v>
      </c>
      <c r="G412" s="58" t="n">
        <v>0</v>
      </c>
      <c r="H412" s="57">
        <f>ROUND(F412*AO412,2)</f>
      </c>
      <c r="I412" s="57">
        <f>ROUND(F412*AP412,2)</f>
      </c>
      <c r="J412" s="57">
        <f>ROUND(F412*G412,2)</f>
      </c>
      <c r="K412" s="59" t="s">
        <v>62</v>
      </c>
      <c r="Z412" s="57">
        <f>ROUND(IF(AQ412="5",BJ412,0),2)</f>
      </c>
      <c r="AB412" s="57">
        <f>ROUND(IF(AQ412="1",BH412,0),2)</f>
      </c>
      <c r="AC412" s="57">
        <f>ROUND(IF(AQ412="1",BI412,0),2)</f>
      </c>
      <c r="AD412" s="57">
        <f>ROUND(IF(AQ412="7",BH412,0),2)</f>
      </c>
      <c r="AE412" s="57">
        <f>ROUND(IF(AQ412="7",BI412,0),2)</f>
      </c>
      <c r="AF412" s="57">
        <f>ROUND(IF(AQ412="2",BH412,0),2)</f>
      </c>
      <c r="AG412" s="57">
        <f>ROUND(IF(AQ412="2",BI412,0),2)</f>
      </c>
      <c r="AH412" s="57">
        <f>ROUND(IF(AQ412="0",BJ412,0),2)</f>
      </c>
      <c r="AI412" s="33" t="s">
        <v>1030</v>
      </c>
      <c r="AJ412" s="57">
        <f>IF(AN412=0,J412,0)</f>
      </c>
      <c r="AK412" s="57">
        <f>IF(AN412=12,J412,0)</f>
      </c>
      <c r="AL412" s="57">
        <f>IF(AN412=21,J412,0)</f>
      </c>
      <c r="AN412" s="57" t="n">
        <v>12</v>
      </c>
      <c r="AO412" s="57">
        <f>G412*1</f>
      </c>
      <c r="AP412" s="57">
        <f>G412*(1-1)</f>
      </c>
      <c r="AQ412" s="60" t="s">
        <v>67</v>
      </c>
      <c r="AV412" s="57">
        <f>ROUND(AW412+AX412,2)</f>
      </c>
      <c r="AW412" s="57">
        <f>ROUND(F412*AO412,2)</f>
      </c>
      <c r="AX412" s="57">
        <f>ROUND(F412*AP412,2)</f>
      </c>
      <c r="AY412" s="60" t="s">
        <v>1048</v>
      </c>
      <c r="AZ412" s="60" t="s">
        <v>1049</v>
      </c>
      <c r="BA412" s="33" t="s">
        <v>1035</v>
      </c>
      <c r="BC412" s="57">
        <f>AW412+AX412</f>
      </c>
      <c r="BD412" s="57">
        <f>G412/(100-BE412)*100</f>
      </c>
      <c r="BE412" s="57" t="n">
        <v>0</v>
      </c>
      <c r="BF412" s="57">
        <f>412</f>
      </c>
      <c r="BH412" s="57">
        <f>F412*AO412</f>
      </c>
      <c r="BI412" s="57">
        <f>F412*AP412</f>
      </c>
      <c r="BJ412" s="57">
        <f>F412*G412</f>
      </c>
      <c r="BK412" s="60" t="s">
        <v>98</v>
      </c>
      <c r="BL412" s="57"/>
      <c r="BW412" s="57" t="n">
        <v>12</v>
      </c>
      <c r="BX412" s="16" t="s">
        <v>1052</v>
      </c>
    </row>
    <row r="413">
      <c r="A413" s="10" t="s">
        <v>1053</v>
      </c>
      <c r="B413" s="11" t="s">
        <v>1054</v>
      </c>
      <c r="C413" s="16" t="s">
        <v>1055</v>
      </c>
      <c r="D413" s="11"/>
      <c r="E413" s="11" t="s">
        <v>126</v>
      </c>
      <c r="F413" s="57" t="n">
        <v>119</v>
      </c>
      <c r="G413" s="58" t="n">
        <v>0</v>
      </c>
      <c r="H413" s="57">
        <f>ROUND(F413*AO413,2)</f>
      </c>
      <c r="I413" s="57">
        <f>ROUND(F413*AP413,2)</f>
      </c>
      <c r="J413" s="57">
        <f>ROUND(F413*G413,2)</f>
      </c>
      <c r="K413" s="59" t="s">
        <v>62</v>
      </c>
      <c r="Z413" s="57">
        <f>ROUND(IF(AQ413="5",BJ413,0),2)</f>
      </c>
      <c r="AB413" s="57">
        <f>ROUND(IF(AQ413="1",BH413,0),2)</f>
      </c>
      <c r="AC413" s="57">
        <f>ROUND(IF(AQ413="1",BI413,0),2)</f>
      </c>
      <c r="AD413" s="57">
        <f>ROUND(IF(AQ413="7",BH413,0),2)</f>
      </c>
      <c r="AE413" s="57">
        <f>ROUND(IF(AQ413="7",BI413,0),2)</f>
      </c>
      <c r="AF413" s="57">
        <f>ROUND(IF(AQ413="2",BH413,0),2)</f>
      </c>
      <c r="AG413" s="57">
        <f>ROUND(IF(AQ413="2",BI413,0),2)</f>
      </c>
      <c r="AH413" s="57">
        <f>ROUND(IF(AQ413="0",BJ413,0),2)</f>
      </c>
      <c r="AI413" s="33" t="s">
        <v>1030</v>
      </c>
      <c r="AJ413" s="57">
        <f>IF(AN413=0,J413,0)</f>
      </c>
      <c r="AK413" s="57">
        <f>IF(AN413=12,J413,0)</f>
      </c>
      <c r="AL413" s="57">
        <f>IF(AN413=21,J413,0)</f>
      </c>
      <c r="AN413" s="57" t="n">
        <v>12</v>
      </c>
      <c r="AO413" s="57">
        <f>G413*0.056535859</f>
      </c>
      <c r="AP413" s="57">
        <f>G413*(1-0.056535859)</f>
      </c>
      <c r="AQ413" s="60" t="s">
        <v>67</v>
      </c>
      <c r="AV413" s="57">
        <f>ROUND(AW413+AX413,2)</f>
      </c>
      <c r="AW413" s="57">
        <f>ROUND(F413*AO413,2)</f>
      </c>
      <c r="AX413" s="57">
        <f>ROUND(F413*AP413,2)</f>
      </c>
      <c r="AY413" s="60" t="s">
        <v>1048</v>
      </c>
      <c r="AZ413" s="60" t="s">
        <v>1049</v>
      </c>
      <c r="BA413" s="33" t="s">
        <v>1035</v>
      </c>
      <c r="BB413" s="61" t="n">
        <v>100119</v>
      </c>
      <c r="BC413" s="57">
        <f>AW413+AX413</f>
      </c>
      <c r="BD413" s="57">
        <f>G413/(100-BE413)*100</f>
      </c>
      <c r="BE413" s="57" t="n">
        <v>0</v>
      </c>
      <c r="BF413" s="57">
        <f>413</f>
      </c>
      <c r="BH413" s="57">
        <f>F413*AO413</f>
      </c>
      <c r="BI413" s="57">
        <f>F413*AP413</f>
      </c>
      <c r="BJ413" s="57">
        <f>F413*G413</f>
      </c>
      <c r="BK413" s="60" t="s">
        <v>66</v>
      </c>
      <c r="BL413" s="57"/>
      <c r="BW413" s="57" t="n">
        <v>12</v>
      </c>
      <c r="BX413" s="16" t="s">
        <v>1055</v>
      </c>
    </row>
    <row r="414" customHeight="true" ht="13.5">
      <c r="A414" s="62"/>
      <c r="B414" s="63" t="s">
        <v>106</v>
      </c>
      <c r="C414" s="64" t="s">
        <v>1056</v>
      </c>
      <c r="D414" s="65"/>
      <c r="E414" s="65"/>
      <c r="F414" s="65"/>
      <c r="G414" s="66"/>
      <c r="H414" s="65"/>
      <c r="I414" s="65"/>
      <c r="J414" s="65"/>
      <c r="K414" s="67"/>
    </row>
    <row r="415">
      <c r="A415" s="10" t="s">
        <v>1057</v>
      </c>
      <c r="B415" s="11" t="s">
        <v>1058</v>
      </c>
      <c r="C415" s="16" t="s">
        <v>1059</v>
      </c>
      <c r="D415" s="11"/>
      <c r="E415" s="11" t="s">
        <v>174</v>
      </c>
      <c r="F415" s="57" t="n">
        <v>5</v>
      </c>
      <c r="G415" s="58" t="n">
        <v>0</v>
      </c>
      <c r="H415" s="57">
        <f>ROUND(F415*AO415,2)</f>
      </c>
      <c r="I415" s="57">
        <f>ROUND(F415*AP415,2)</f>
      </c>
      <c r="J415" s="57">
        <f>ROUND(F415*G415,2)</f>
      </c>
      <c r="K415" s="59" t="s">
        <v>62</v>
      </c>
      <c r="Z415" s="57">
        <f>ROUND(IF(AQ415="5",BJ415,0),2)</f>
      </c>
      <c r="AB415" s="57">
        <f>ROUND(IF(AQ415="1",BH415,0),2)</f>
      </c>
      <c r="AC415" s="57">
        <f>ROUND(IF(AQ415="1",BI415,0),2)</f>
      </c>
      <c r="AD415" s="57">
        <f>ROUND(IF(AQ415="7",BH415,0),2)</f>
      </c>
      <c r="AE415" s="57">
        <f>ROUND(IF(AQ415="7",BI415,0),2)</f>
      </c>
      <c r="AF415" s="57">
        <f>ROUND(IF(AQ415="2",BH415,0),2)</f>
      </c>
      <c r="AG415" s="57">
        <f>ROUND(IF(AQ415="2",BI415,0),2)</f>
      </c>
      <c r="AH415" s="57">
        <f>ROUND(IF(AQ415="0",BJ415,0),2)</f>
      </c>
      <c r="AI415" s="33" t="s">
        <v>1030</v>
      </c>
      <c r="AJ415" s="57">
        <f>IF(AN415=0,J415,0)</f>
      </c>
      <c r="AK415" s="57">
        <f>IF(AN415=12,J415,0)</f>
      </c>
      <c r="AL415" s="57">
        <f>IF(AN415=21,J415,0)</f>
      </c>
      <c r="AN415" s="57" t="n">
        <v>12</v>
      </c>
      <c r="AO415" s="57">
        <f>G415*0.571192575</f>
      </c>
      <c r="AP415" s="57">
        <f>G415*(1-0.571192575)</f>
      </c>
      <c r="AQ415" s="60" t="s">
        <v>67</v>
      </c>
      <c r="AV415" s="57">
        <f>ROUND(AW415+AX415,2)</f>
      </c>
      <c r="AW415" s="57">
        <f>ROUND(F415*AO415,2)</f>
      </c>
      <c r="AX415" s="57">
        <f>ROUND(F415*AP415,2)</f>
      </c>
      <c r="AY415" s="60" t="s">
        <v>1048</v>
      </c>
      <c r="AZ415" s="60" t="s">
        <v>1049</v>
      </c>
      <c r="BA415" s="33" t="s">
        <v>1035</v>
      </c>
      <c r="BB415" s="61" t="n">
        <v>100119</v>
      </c>
      <c r="BC415" s="57">
        <f>AW415+AX415</f>
      </c>
      <c r="BD415" s="57">
        <f>G415/(100-BE415)*100</f>
      </c>
      <c r="BE415" s="57" t="n">
        <v>0</v>
      </c>
      <c r="BF415" s="57">
        <f>415</f>
      </c>
      <c r="BH415" s="57">
        <f>F415*AO415</f>
      </c>
      <c r="BI415" s="57">
        <f>F415*AP415</f>
      </c>
      <c r="BJ415" s="57">
        <f>F415*G415</f>
      </c>
      <c r="BK415" s="60" t="s">
        <v>66</v>
      </c>
      <c r="BL415" s="57"/>
      <c r="BW415" s="57" t="n">
        <v>12</v>
      </c>
      <c r="BX415" s="16" t="s">
        <v>1059</v>
      </c>
    </row>
    <row r="416" customHeight="true" ht="13.5">
      <c r="A416" s="62"/>
      <c r="B416" s="63" t="s">
        <v>106</v>
      </c>
      <c r="C416" s="64" t="s">
        <v>1060</v>
      </c>
      <c r="D416" s="65"/>
      <c r="E416" s="65"/>
      <c r="F416" s="65"/>
      <c r="G416" s="66"/>
      <c r="H416" s="65"/>
      <c r="I416" s="65"/>
      <c r="J416" s="65"/>
      <c r="K416" s="67"/>
    </row>
    <row r="417">
      <c r="A417" s="10" t="s">
        <v>1061</v>
      </c>
      <c r="B417" s="11" t="s">
        <v>1062</v>
      </c>
      <c r="C417" s="16" t="s">
        <v>1063</v>
      </c>
      <c r="D417" s="11"/>
      <c r="E417" s="11" t="s">
        <v>174</v>
      </c>
      <c r="F417" s="57" t="n">
        <v>7</v>
      </c>
      <c r="G417" s="58" t="n">
        <v>0</v>
      </c>
      <c r="H417" s="57">
        <f>ROUND(F417*AO417,2)</f>
      </c>
      <c r="I417" s="57">
        <f>ROUND(F417*AP417,2)</f>
      </c>
      <c r="J417" s="57">
        <f>ROUND(F417*G417,2)</f>
      </c>
      <c r="K417" s="59" t="s">
        <v>62</v>
      </c>
      <c r="Z417" s="57">
        <f>ROUND(IF(AQ417="5",BJ417,0),2)</f>
      </c>
      <c r="AB417" s="57">
        <f>ROUND(IF(AQ417="1",BH417,0),2)</f>
      </c>
      <c r="AC417" s="57">
        <f>ROUND(IF(AQ417="1",BI417,0),2)</f>
      </c>
      <c r="AD417" s="57">
        <f>ROUND(IF(AQ417="7",BH417,0),2)</f>
      </c>
      <c r="AE417" s="57">
        <f>ROUND(IF(AQ417="7",BI417,0),2)</f>
      </c>
      <c r="AF417" s="57">
        <f>ROUND(IF(AQ417="2",BH417,0),2)</f>
      </c>
      <c r="AG417" s="57">
        <f>ROUND(IF(AQ417="2",BI417,0),2)</f>
      </c>
      <c r="AH417" s="57">
        <f>ROUND(IF(AQ417="0",BJ417,0),2)</f>
      </c>
      <c r="AI417" s="33" t="s">
        <v>1030</v>
      </c>
      <c r="AJ417" s="57">
        <f>IF(AN417=0,J417,0)</f>
      </c>
      <c r="AK417" s="57">
        <f>IF(AN417=12,J417,0)</f>
      </c>
      <c r="AL417" s="57">
        <f>IF(AN417=21,J417,0)</f>
      </c>
      <c r="AN417" s="57" t="n">
        <v>12</v>
      </c>
      <c r="AO417" s="57">
        <f>G417*0.226862302</f>
      </c>
      <c r="AP417" s="57">
        <f>G417*(1-0.226862302)</f>
      </c>
      <c r="AQ417" s="60" t="s">
        <v>67</v>
      </c>
      <c r="AV417" s="57">
        <f>ROUND(AW417+AX417,2)</f>
      </c>
      <c r="AW417" s="57">
        <f>ROUND(F417*AO417,2)</f>
      </c>
      <c r="AX417" s="57">
        <f>ROUND(F417*AP417,2)</f>
      </c>
      <c r="AY417" s="60" t="s">
        <v>1048</v>
      </c>
      <c r="AZ417" s="60" t="s">
        <v>1049</v>
      </c>
      <c r="BA417" s="33" t="s">
        <v>1035</v>
      </c>
      <c r="BB417" s="61" t="n">
        <v>100119</v>
      </c>
      <c r="BC417" s="57">
        <f>AW417+AX417</f>
      </c>
      <c r="BD417" s="57">
        <f>G417/(100-BE417)*100</f>
      </c>
      <c r="BE417" s="57" t="n">
        <v>0</v>
      </c>
      <c r="BF417" s="57">
        <f>417</f>
      </c>
      <c r="BH417" s="57">
        <f>F417*AO417</f>
      </c>
      <c r="BI417" s="57">
        <f>F417*AP417</f>
      </c>
      <c r="BJ417" s="57">
        <f>F417*G417</f>
      </c>
      <c r="BK417" s="60" t="s">
        <v>66</v>
      </c>
      <c r="BL417" s="57"/>
      <c r="BW417" s="57" t="n">
        <v>12</v>
      </c>
      <c r="BX417" s="16" t="s">
        <v>1063</v>
      </c>
    </row>
    <row r="418" customHeight="true" ht="13.5">
      <c r="A418" s="62"/>
      <c r="B418" s="63" t="s">
        <v>106</v>
      </c>
      <c r="C418" s="64" t="s">
        <v>1064</v>
      </c>
      <c r="D418" s="65"/>
      <c r="E418" s="65"/>
      <c r="F418" s="65"/>
      <c r="G418" s="66"/>
      <c r="H418" s="65"/>
      <c r="I418" s="65"/>
      <c r="J418" s="65"/>
      <c r="K418" s="67"/>
    </row>
    <row r="419">
      <c r="A419" s="10" t="s">
        <v>1065</v>
      </c>
      <c r="B419" s="11" t="s">
        <v>1066</v>
      </c>
      <c r="C419" s="16" t="s">
        <v>1063</v>
      </c>
      <c r="D419" s="11"/>
      <c r="E419" s="11" t="s">
        <v>174</v>
      </c>
      <c r="F419" s="57" t="n">
        <v>30</v>
      </c>
      <c r="G419" s="58" t="n">
        <v>0</v>
      </c>
      <c r="H419" s="57">
        <f>ROUND(F419*AO419,2)</f>
      </c>
      <c r="I419" s="57">
        <f>ROUND(F419*AP419,2)</f>
      </c>
      <c r="J419" s="57">
        <f>ROUND(F419*G419,2)</f>
      </c>
      <c r="K419" s="59" t="s">
        <v>62</v>
      </c>
      <c r="Z419" s="57">
        <f>ROUND(IF(AQ419="5",BJ419,0),2)</f>
      </c>
      <c r="AB419" s="57">
        <f>ROUND(IF(AQ419="1",BH419,0),2)</f>
      </c>
      <c r="AC419" s="57">
        <f>ROUND(IF(AQ419="1",BI419,0),2)</f>
      </c>
      <c r="AD419" s="57">
        <f>ROUND(IF(AQ419="7",BH419,0),2)</f>
      </c>
      <c r="AE419" s="57">
        <f>ROUND(IF(AQ419="7",BI419,0),2)</f>
      </c>
      <c r="AF419" s="57">
        <f>ROUND(IF(AQ419="2",BH419,0),2)</f>
      </c>
      <c r="AG419" s="57">
        <f>ROUND(IF(AQ419="2",BI419,0),2)</f>
      </c>
      <c r="AH419" s="57">
        <f>ROUND(IF(AQ419="0",BJ419,0),2)</f>
      </c>
      <c r="AI419" s="33" t="s">
        <v>1030</v>
      </c>
      <c r="AJ419" s="57">
        <f>IF(AN419=0,J419,0)</f>
      </c>
      <c r="AK419" s="57">
        <f>IF(AN419=12,J419,0)</f>
      </c>
      <c r="AL419" s="57">
        <f>IF(AN419=21,J419,0)</f>
      </c>
      <c r="AN419" s="57" t="n">
        <v>12</v>
      </c>
      <c r="AO419" s="57">
        <f>G419*0.093068783</f>
      </c>
      <c r="AP419" s="57">
        <f>G419*(1-0.093068783)</f>
      </c>
      <c r="AQ419" s="60" t="s">
        <v>67</v>
      </c>
      <c r="AV419" s="57">
        <f>ROUND(AW419+AX419,2)</f>
      </c>
      <c r="AW419" s="57">
        <f>ROUND(F419*AO419,2)</f>
      </c>
      <c r="AX419" s="57">
        <f>ROUND(F419*AP419,2)</f>
      </c>
      <c r="AY419" s="60" t="s">
        <v>1048</v>
      </c>
      <c r="AZ419" s="60" t="s">
        <v>1049</v>
      </c>
      <c r="BA419" s="33" t="s">
        <v>1035</v>
      </c>
      <c r="BB419" s="61" t="n">
        <v>100119</v>
      </c>
      <c r="BC419" s="57">
        <f>AW419+AX419</f>
      </c>
      <c r="BD419" s="57">
        <f>G419/(100-BE419)*100</f>
      </c>
      <c r="BE419" s="57" t="n">
        <v>0</v>
      </c>
      <c r="BF419" s="57">
        <f>419</f>
      </c>
      <c r="BH419" s="57">
        <f>F419*AO419</f>
      </c>
      <c r="BI419" s="57">
        <f>F419*AP419</f>
      </c>
      <c r="BJ419" s="57">
        <f>F419*G419</f>
      </c>
      <c r="BK419" s="60" t="s">
        <v>66</v>
      </c>
      <c r="BL419" s="57"/>
      <c r="BW419" s="57" t="n">
        <v>12</v>
      </c>
      <c r="BX419" s="16" t="s">
        <v>1063</v>
      </c>
    </row>
    <row r="420" customHeight="true" ht="13.5">
      <c r="A420" s="62"/>
      <c r="B420" s="63" t="s">
        <v>106</v>
      </c>
      <c r="C420" s="64" t="s">
        <v>1067</v>
      </c>
      <c r="D420" s="65"/>
      <c r="E420" s="65"/>
      <c r="F420" s="65"/>
      <c r="G420" s="66"/>
      <c r="H420" s="65"/>
      <c r="I420" s="65"/>
      <c r="J420" s="65"/>
      <c r="K420" s="67"/>
    </row>
    <row r="421">
      <c r="A421" s="10" t="s">
        <v>1068</v>
      </c>
      <c r="B421" s="11" t="s">
        <v>1069</v>
      </c>
      <c r="C421" s="16" t="s">
        <v>1063</v>
      </c>
      <c r="D421" s="11"/>
      <c r="E421" s="11" t="s">
        <v>174</v>
      </c>
      <c r="F421" s="57" t="n">
        <v>7</v>
      </c>
      <c r="G421" s="58" t="n">
        <v>0</v>
      </c>
      <c r="H421" s="57">
        <f>ROUND(F421*AO421,2)</f>
      </c>
      <c r="I421" s="57">
        <f>ROUND(F421*AP421,2)</f>
      </c>
      <c r="J421" s="57">
        <f>ROUND(F421*G421,2)</f>
      </c>
      <c r="K421" s="59" t="s">
        <v>62</v>
      </c>
      <c r="Z421" s="57">
        <f>ROUND(IF(AQ421="5",BJ421,0),2)</f>
      </c>
      <c r="AB421" s="57">
        <f>ROUND(IF(AQ421="1",BH421,0),2)</f>
      </c>
      <c r="AC421" s="57">
        <f>ROUND(IF(AQ421="1",BI421,0),2)</f>
      </c>
      <c r="AD421" s="57">
        <f>ROUND(IF(AQ421="7",BH421,0),2)</f>
      </c>
      <c r="AE421" s="57">
        <f>ROUND(IF(AQ421="7",BI421,0),2)</f>
      </c>
      <c r="AF421" s="57">
        <f>ROUND(IF(AQ421="2",BH421,0),2)</f>
      </c>
      <c r="AG421" s="57">
        <f>ROUND(IF(AQ421="2",BI421,0),2)</f>
      </c>
      <c r="AH421" s="57">
        <f>ROUND(IF(AQ421="0",BJ421,0),2)</f>
      </c>
      <c r="AI421" s="33" t="s">
        <v>1030</v>
      </c>
      <c r="AJ421" s="57">
        <f>IF(AN421=0,J421,0)</f>
      </c>
      <c r="AK421" s="57">
        <f>IF(AN421=12,J421,0)</f>
      </c>
      <c r="AL421" s="57">
        <f>IF(AN421=21,J421,0)</f>
      </c>
      <c r="AN421" s="57" t="n">
        <v>12</v>
      </c>
      <c r="AO421" s="57">
        <f>G421*0.256789588</f>
      </c>
      <c r="AP421" s="57">
        <f>G421*(1-0.256789588)</f>
      </c>
      <c r="AQ421" s="60" t="s">
        <v>67</v>
      </c>
      <c r="AV421" s="57">
        <f>ROUND(AW421+AX421,2)</f>
      </c>
      <c r="AW421" s="57">
        <f>ROUND(F421*AO421,2)</f>
      </c>
      <c r="AX421" s="57">
        <f>ROUND(F421*AP421,2)</f>
      </c>
      <c r="AY421" s="60" t="s">
        <v>1048</v>
      </c>
      <c r="AZ421" s="60" t="s">
        <v>1049</v>
      </c>
      <c r="BA421" s="33" t="s">
        <v>1035</v>
      </c>
      <c r="BB421" s="61" t="n">
        <v>100119</v>
      </c>
      <c r="BC421" s="57">
        <f>AW421+AX421</f>
      </c>
      <c r="BD421" s="57">
        <f>G421/(100-BE421)*100</f>
      </c>
      <c r="BE421" s="57" t="n">
        <v>0</v>
      </c>
      <c r="BF421" s="57">
        <f>421</f>
      </c>
      <c r="BH421" s="57">
        <f>F421*AO421</f>
      </c>
      <c r="BI421" s="57">
        <f>F421*AP421</f>
      </c>
      <c r="BJ421" s="57">
        <f>F421*G421</f>
      </c>
      <c r="BK421" s="60" t="s">
        <v>66</v>
      </c>
      <c r="BL421" s="57"/>
      <c r="BW421" s="57" t="n">
        <v>12</v>
      </c>
      <c r="BX421" s="16" t="s">
        <v>1063</v>
      </c>
    </row>
    <row r="422" customHeight="true" ht="13.5">
      <c r="A422" s="62"/>
      <c r="B422" s="63" t="s">
        <v>106</v>
      </c>
      <c r="C422" s="64" t="s">
        <v>1070</v>
      </c>
      <c r="D422" s="65"/>
      <c r="E422" s="65"/>
      <c r="F422" s="65"/>
      <c r="G422" s="66"/>
      <c r="H422" s="65"/>
      <c r="I422" s="65"/>
      <c r="J422" s="65"/>
      <c r="K422" s="67"/>
    </row>
    <row r="423">
      <c r="A423" s="10" t="s">
        <v>1071</v>
      </c>
      <c r="B423" s="11" t="s">
        <v>1072</v>
      </c>
      <c r="C423" s="16" t="s">
        <v>1073</v>
      </c>
      <c r="D423" s="11"/>
      <c r="E423" s="11" t="s">
        <v>174</v>
      </c>
      <c r="F423" s="57" t="n">
        <v>7</v>
      </c>
      <c r="G423" s="58" t="n">
        <v>0</v>
      </c>
      <c r="H423" s="57">
        <f>ROUND(F423*AO423,2)</f>
      </c>
      <c r="I423" s="57">
        <f>ROUND(F423*AP423,2)</f>
      </c>
      <c r="J423" s="57">
        <f>ROUND(F423*G423,2)</f>
      </c>
      <c r="K423" s="59" t="s">
        <v>62</v>
      </c>
      <c r="Z423" s="57">
        <f>ROUND(IF(AQ423="5",BJ423,0),2)</f>
      </c>
      <c r="AB423" s="57">
        <f>ROUND(IF(AQ423="1",BH423,0),2)</f>
      </c>
      <c r="AC423" s="57">
        <f>ROUND(IF(AQ423="1",BI423,0),2)</f>
      </c>
      <c r="AD423" s="57">
        <f>ROUND(IF(AQ423="7",BH423,0),2)</f>
      </c>
      <c r="AE423" s="57">
        <f>ROUND(IF(AQ423="7",BI423,0),2)</f>
      </c>
      <c r="AF423" s="57">
        <f>ROUND(IF(AQ423="2",BH423,0),2)</f>
      </c>
      <c r="AG423" s="57">
        <f>ROUND(IF(AQ423="2",BI423,0),2)</f>
      </c>
      <c r="AH423" s="57">
        <f>ROUND(IF(AQ423="0",BJ423,0),2)</f>
      </c>
      <c r="AI423" s="33" t="s">
        <v>1030</v>
      </c>
      <c r="AJ423" s="57">
        <f>IF(AN423=0,J423,0)</f>
      </c>
      <c r="AK423" s="57">
        <f>IF(AN423=12,J423,0)</f>
      </c>
      <c r="AL423" s="57">
        <f>IF(AN423=21,J423,0)</f>
      </c>
      <c r="AN423" s="57" t="n">
        <v>12</v>
      </c>
      <c r="AO423" s="57">
        <f>G423*0.188092105</f>
      </c>
      <c r="AP423" s="57">
        <f>G423*(1-0.188092105)</f>
      </c>
      <c r="AQ423" s="60" t="s">
        <v>67</v>
      </c>
      <c r="AV423" s="57">
        <f>ROUND(AW423+AX423,2)</f>
      </c>
      <c r="AW423" s="57">
        <f>ROUND(F423*AO423,2)</f>
      </c>
      <c r="AX423" s="57">
        <f>ROUND(F423*AP423,2)</f>
      </c>
      <c r="AY423" s="60" t="s">
        <v>1048</v>
      </c>
      <c r="AZ423" s="60" t="s">
        <v>1049</v>
      </c>
      <c r="BA423" s="33" t="s">
        <v>1035</v>
      </c>
      <c r="BB423" s="61" t="n">
        <v>100119</v>
      </c>
      <c r="BC423" s="57">
        <f>AW423+AX423</f>
      </c>
      <c r="BD423" s="57">
        <f>G423/(100-BE423)*100</f>
      </c>
      <c r="BE423" s="57" t="n">
        <v>0</v>
      </c>
      <c r="BF423" s="57">
        <f>423</f>
      </c>
      <c r="BH423" s="57">
        <f>F423*AO423</f>
      </c>
      <c r="BI423" s="57">
        <f>F423*AP423</f>
      </c>
      <c r="BJ423" s="57">
        <f>F423*G423</f>
      </c>
      <c r="BK423" s="60" t="s">
        <v>66</v>
      </c>
      <c r="BL423" s="57"/>
      <c r="BW423" s="57" t="n">
        <v>12</v>
      </c>
      <c r="BX423" s="16" t="s">
        <v>1073</v>
      </c>
    </row>
    <row r="424" customHeight="true" ht="13.5">
      <c r="A424" s="62"/>
      <c r="B424" s="63" t="s">
        <v>106</v>
      </c>
      <c r="C424" s="64" t="s">
        <v>1074</v>
      </c>
      <c r="D424" s="65"/>
      <c r="E424" s="65"/>
      <c r="F424" s="65"/>
      <c r="G424" s="66"/>
      <c r="H424" s="65"/>
      <c r="I424" s="65"/>
      <c r="J424" s="65"/>
      <c r="K424" s="67"/>
    </row>
    <row r="425">
      <c r="A425" s="10" t="s">
        <v>1075</v>
      </c>
      <c r="B425" s="11" t="s">
        <v>1076</v>
      </c>
      <c r="C425" s="16" t="s">
        <v>1077</v>
      </c>
      <c r="D425" s="11"/>
      <c r="E425" s="11" t="s">
        <v>174</v>
      </c>
      <c r="F425" s="57" t="n">
        <v>7</v>
      </c>
      <c r="G425" s="58" t="n">
        <v>0</v>
      </c>
      <c r="H425" s="57">
        <f>ROUND(F425*AO425,2)</f>
      </c>
      <c r="I425" s="57">
        <f>ROUND(F425*AP425,2)</f>
      </c>
      <c r="J425" s="57">
        <f>ROUND(F425*G425,2)</f>
      </c>
      <c r="K425" s="59" t="s">
        <v>62</v>
      </c>
      <c r="Z425" s="57">
        <f>ROUND(IF(AQ425="5",BJ425,0),2)</f>
      </c>
      <c r="AB425" s="57">
        <f>ROUND(IF(AQ425="1",BH425,0),2)</f>
      </c>
      <c r="AC425" s="57">
        <f>ROUND(IF(AQ425="1",BI425,0),2)</f>
      </c>
      <c r="AD425" s="57">
        <f>ROUND(IF(AQ425="7",BH425,0),2)</f>
      </c>
      <c r="AE425" s="57">
        <f>ROUND(IF(AQ425="7",BI425,0),2)</f>
      </c>
      <c r="AF425" s="57">
        <f>ROUND(IF(AQ425="2",BH425,0),2)</f>
      </c>
      <c r="AG425" s="57">
        <f>ROUND(IF(AQ425="2",BI425,0),2)</f>
      </c>
      <c r="AH425" s="57">
        <f>ROUND(IF(AQ425="0",BJ425,0),2)</f>
      </c>
      <c r="AI425" s="33" t="s">
        <v>1030</v>
      </c>
      <c r="AJ425" s="57">
        <f>IF(AN425=0,J425,0)</f>
      </c>
      <c r="AK425" s="57">
        <f>IF(AN425=12,J425,0)</f>
      </c>
      <c r="AL425" s="57">
        <f>IF(AN425=21,J425,0)</f>
      </c>
      <c r="AN425" s="57" t="n">
        <v>12</v>
      </c>
      <c r="AO425" s="57">
        <f>G425*0.433465444</f>
      </c>
      <c r="AP425" s="57">
        <f>G425*(1-0.433465444)</f>
      </c>
      <c r="AQ425" s="60" t="s">
        <v>67</v>
      </c>
      <c r="AV425" s="57">
        <f>ROUND(AW425+AX425,2)</f>
      </c>
      <c r="AW425" s="57">
        <f>ROUND(F425*AO425,2)</f>
      </c>
      <c r="AX425" s="57">
        <f>ROUND(F425*AP425,2)</f>
      </c>
      <c r="AY425" s="60" t="s">
        <v>1048</v>
      </c>
      <c r="AZ425" s="60" t="s">
        <v>1049</v>
      </c>
      <c r="BA425" s="33" t="s">
        <v>1035</v>
      </c>
      <c r="BB425" s="61" t="n">
        <v>100119</v>
      </c>
      <c r="BC425" s="57">
        <f>AW425+AX425</f>
      </c>
      <c r="BD425" s="57">
        <f>G425/(100-BE425)*100</f>
      </c>
      <c r="BE425" s="57" t="n">
        <v>0</v>
      </c>
      <c r="BF425" s="57">
        <f>425</f>
      </c>
      <c r="BH425" s="57">
        <f>F425*AO425</f>
      </c>
      <c r="BI425" s="57">
        <f>F425*AP425</f>
      </c>
      <c r="BJ425" s="57">
        <f>F425*G425</f>
      </c>
      <c r="BK425" s="60" t="s">
        <v>66</v>
      </c>
      <c r="BL425" s="57"/>
      <c r="BW425" s="57" t="n">
        <v>12</v>
      </c>
      <c r="BX425" s="16" t="s">
        <v>1077</v>
      </c>
    </row>
    <row r="426" customHeight="true" ht="13.5">
      <c r="A426" s="62"/>
      <c r="B426" s="63" t="s">
        <v>106</v>
      </c>
      <c r="C426" s="64" t="s">
        <v>1078</v>
      </c>
      <c r="D426" s="65"/>
      <c r="E426" s="65"/>
      <c r="F426" s="65"/>
      <c r="G426" s="66"/>
      <c r="H426" s="65"/>
      <c r="I426" s="65"/>
      <c r="J426" s="65"/>
      <c r="K426" s="67"/>
    </row>
    <row r="427">
      <c r="A427" s="10" t="s">
        <v>1079</v>
      </c>
      <c r="B427" s="11" t="s">
        <v>1080</v>
      </c>
      <c r="C427" s="16" t="s">
        <v>1081</v>
      </c>
      <c r="D427" s="11"/>
      <c r="E427" s="11" t="s">
        <v>174</v>
      </c>
      <c r="F427" s="57" t="n">
        <v>7</v>
      </c>
      <c r="G427" s="58" t="n">
        <v>0</v>
      </c>
      <c r="H427" s="57">
        <f>ROUND(F427*AO427,2)</f>
      </c>
      <c r="I427" s="57">
        <f>ROUND(F427*AP427,2)</f>
      </c>
      <c r="J427" s="57">
        <f>ROUND(F427*G427,2)</f>
      </c>
      <c r="K427" s="59" t="s">
        <v>62</v>
      </c>
      <c r="Z427" s="57">
        <f>ROUND(IF(AQ427="5",BJ427,0),2)</f>
      </c>
      <c r="AB427" s="57">
        <f>ROUND(IF(AQ427="1",BH427,0),2)</f>
      </c>
      <c r="AC427" s="57">
        <f>ROUND(IF(AQ427="1",BI427,0),2)</f>
      </c>
      <c r="AD427" s="57">
        <f>ROUND(IF(AQ427="7",BH427,0),2)</f>
      </c>
      <c r="AE427" s="57">
        <f>ROUND(IF(AQ427="7",BI427,0),2)</f>
      </c>
      <c r="AF427" s="57">
        <f>ROUND(IF(AQ427="2",BH427,0),2)</f>
      </c>
      <c r="AG427" s="57">
        <f>ROUND(IF(AQ427="2",BI427,0),2)</f>
      </c>
      <c r="AH427" s="57">
        <f>ROUND(IF(AQ427="0",BJ427,0),2)</f>
      </c>
      <c r="AI427" s="33" t="s">
        <v>1030</v>
      </c>
      <c r="AJ427" s="57">
        <f>IF(AN427=0,J427,0)</f>
      </c>
      <c r="AK427" s="57">
        <f>IF(AN427=12,J427,0)</f>
      </c>
      <c r="AL427" s="57">
        <f>IF(AN427=21,J427,0)</f>
      </c>
      <c r="AN427" s="57" t="n">
        <v>12</v>
      </c>
      <c r="AO427" s="57">
        <f>G427*0.400530452</f>
      </c>
      <c r="AP427" s="57">
        <f>G427*(1-0.400530452)</f>
      </c>
      <c r="AQ427" s="60" t="s">
        <v>67</v>
      </c>
      <c r="AV427" s="57">
        <f>ROUND(AW427+AX427,2)</f>
      </c>
      <c r="AW427" s="57">
        <f>ROUND(F427*AO427,2)</f>
      </c>
      <c r="AX427" s="57">
        <f>ROUND(F427*AP427,2)</f>
      </c>
      <c r="AY427" s="60" t="s">
        <v>1048</v>
      </c>
      <c r="AZ427" s="60" t="s">
        <v>1049</v>
      </c>
      <c r="BA427" s="33" t="s">
        <v>1035</v>
      </c>
      <c r="BB427" s="61" t="n">
        <v>100119</v>
      </c>
      <c r="BC427" s="57">
        <f>AW427+AX427</f>
      </c>
      <c r="BD427" s="57">
        <f>G427/(100-BE427)*100</f>
      </c>
      <c r="BE427" s="57" t="n">
        <v>0</v>
      </c>
      <c r="BF427" s="57">
        <f>427</f>
      </c>
      <c r="BH427" s="57">
        <f>F427*AO427</f>
      </c>
      <c r="BI427" s="57">
        <f>F427*AP427</f>
      </c>
      <c r="BJ427" s="57">
        <f>F427*G427</f>
      </c>
      <c r="BK427" s="60" t="s">
        <v>66</v>
      </c>
      <c r="BL427" s="57"/>
      <c r="BW427" s="57" t="n">
        <v>12</v>
      </c>
      <c r="BX427" s="16" t="s">
        <v>1081</v>
      </c>
    </row>
    <row r="428" customHeight="true" ht="13.5">
      <c r="A428" s="62"/>
      <c r="B428" s="63" t="s">
        <v>106</v>
      </c>
      <c r="C428" s="64" t="s">
        <v>1082</v>
      </c>
      <c r="D428" s="65"/>
      <c r="E428" s="65"/>
      <c r="F428" s="65"/>
      <c r="G428" s="66"/>
      <c r="H428" s="65"/>
      <c r="I428" s="65"/>
      <c r="J428" s="65"/>
      <c r="K428" s="67"/>
    </row>
    <row r="429">
      <c r="A429" s="10" t="s">
        <v>1083</v>
      </c>
      <c r="B429" s="11" t="s">
        <v>1084</v>
      </c>
      <c r="C429" s="16" t="s">
        <v>1085</v>
      </c>
      <c r="D429" s="11"/>
      <c r="E429" s="11" t="s">
        <v>174</v>
      </c>
      <c r="F429" s="57" t="n">
        <v>7</v>
      </c>
      <c r="G429" s="58" t="n">
        <v>0</v>
      </c>
      <c r="H429" s="57">
        <f>ROUND(F429*AO429,2)</f>
      </c>
      <c r="I429" s="57">
        <f>ROUND(F429*AP429,2)</f>
      </c>
      <c r="J429" s="57">
        <f>ROUND(F429*G429,2)</f>
      </c>
      <c r="K429" s="59" t="s">
        <v>62</v>
      </c>
      <c r="Z429" s="57">
        <f>ROUND(IF(AQ429="5",BJ429,0),2)</f>
      </c>
      <c r="AB429" s="57">
        <f>ROUND(IF(AQ429="1",BH429,0),2)</f>
      </c>
      <c r="AC429" s="57">
        <f>ROUND(IF(AQ429="1",BI429,0),2)</f>
      </c>
      <c r="AD429" s="57">
        <f>ROUND(IF(AQ429="7",BH429,0),2)</f>
      </c>
      <c r="AE429" s="57">
        <f>ROUND(IF(AQ429="7",BI429,0),2)</f>
      </c>
      <c r="AF429" s="57">
        <f>ROUND(IF(AQ429="2",BH429,0),2)</f>
      </c>
      <c r="AG429" s="57">
        <f>ROUND(IF(AQ429="2",BI429,0),2)</f>
      </c>
      <c r="AH429" s="57">
        <f>ROUND(IF(AQ429="0",BJ429,0),2)</f>
      </c>
      <c r="AI429" s="33" t="s">
        <v>1030</v>
      </c>
      <c r="AJ429" s="57">
        <f>IF(AN429=0,J429,0)</f>
      </c>
      <c r="AK429" s="57">
        <f>IF(AN429=12,J429,0)</f>
      </c>
      <c r="AL429" s="57">
        <f>IF(AN429=21,J429,0)</f>
      </c>
      <c r="AN429" s="57" t="n">
        <v>12</v>
      </c>
      <c r="AO429" s="57">
        <f>G429*0.049568434</f>
      </c>
      <c r="AP429" s="57">
        <f>G429*(1-0.049568434)</f>
      </c>
      <c r="AQ429" s="60" t="s">
        <v>67</v>
      </c>
      <c r="AV429" s="57">
        <f>ROUND(AW429+AX429,2)</f>
      </c>
      <c r="AW429" s="57">
        <f>ROUND(F429*AO429,2)</f>
      </c>
      <c r="AX429" s="57">
        <f>ROUND(F429*AP429,2)</f>
      </c>
      <c r="AY429" s="60" t="s">
        <v>1048</v>
      </c>
      <c r="AZ429" s="60" t="s">
        <v>1049</v>
      </c>
      <c r="BA429" s="33" t="s">
        <v>1035</v>
      </c>
      <c r="BB429" s="61" t="n">
        <v>100119</v>
      </c>
      <c r="BC429" s="57">
        <f>AW429+AX429</f>
      </c>
      <c r="BD429" s="57">
        <f>G429/(100-BE429)*100</f>
      </c>
      <c r="BE429" s="57" t="n">
        <v>0</v>
      </c>
      <c r="BF429" s="57">
        <f>429</f>
      </c>
      <c r="BH429" s="57">
        <f>F429*AO429</f>
      </c>
      <c r="BI429" s="57">
        <f>F429*AP429</f>
      </c>
      <c r="BJ429" s="57">
        <f>F429*G429</f>
      </c>
      <c r="BK429" s="60" t="s">
        <v>66</v>
      </c>
      <c r="BL429" s="57"/>
      <c r="BW429" s="57" t="n">
        <v>12</v>
      </c>
      <c r="BX429" s="16" t="s">
        <v>1085</v>
      </c>
    </row>
    <row r="430" customHeight="true" ht="13.5">
      <c r="A430" s="62"/>
      <c r="B430" s="63" t="s">
        <v>106</v>
      </c>
      <c r="C430" s="64" t="s">
        <v>1086</v>
      </c>
      <c r="D430" s="65"/>
      <c r="E430" s="65"/>
      <c r="F430" s="65"/>
      <c r="G430" s="66"/>
      <c r="H430" s="65"/>
      <c r="I430" s="65"/>
      <c r="J430" s="65"/>
      <c r="K430" s="67"/>
    </row>
    <row r="431">
      <c r="A431" s="10" t="s">
        <v>1087</v>
      </c>
      <c r="B431" s="11" t="s">
        <v>1088</v>
      </c>
      <c r="C431" s="16" t="s">
        <v>1089</v>
      </c>
      <c r="D431" s="11"/>
      <c r="E431" s="11" t="s">
        <v>174</v>
      </c>
      <c r="F431" s="57" t="n">
        <v>7</v>
      </c>
      <c r="G431" s="58" t="n">
        <v>0</v>
      </c>
      <c r="H431" s="57">
        <f>ROUND(F431*AO431,2)</f>
      </c>
      <c r="I431" s="57">
        <f>ROUND(F431*AP431,2)</f>
      </c>
      <c r="J431" s="57">
        <f>ROUND(F431*G431,2)</f>
      </c>
      <c r="K431" s="59" t="s">
        <v>62</v>
      </c>
      <c r="Z431" s="57">
        <f>ROUND(IF(AQ431="5",BJ431,0),2)</f>
      </c>
      <c r="AB431" s="57">
        <f>ROUND(IF(AQ431="1",BH431,0),2)</f>
      </c>
      <c r="AC431" s="57">
        <f>ROUND(IF(AQ431="1",BI431,0),2)</f>
      </c>
      <c r="AD431" s="57">
        <f>ROUND(IF(AQ431="7",BH431,0),2)</f>
      </c>
      <c r="AE431" s="57">
        <f>ROUND(IF(AQ431="7",BI431,0),2)</f>
      </c>
      <c r="AF431" s="57">
        <f>ROUND(IF(AQ431="2",BH431,0),2)</f>
      </c>
      <c r="AG431" s="57">
        <f>ROUND(IF(AQ431="2",BI431,0),2)</f>
      </c>
      <c r="AH431" s="57">
        <f>ROUND(IF(AQ431="0",BJ431,0),2)</f>
      </c>
      <c r="AI431" s="33" t="s">
        <v>1030</v>
      </c>
      <c r="AJ431" s="57">
        <f>IF(AN431=0,J431,0)</f>
      </c>
      <c r="AK431" s="57">
        <f>IF(AN431=12,J431,0)</f>
      </c>
      <c r="AL431" s="57">
        <f>IF(AN431=21,J431,0)</f>
      </c>
      <c r="AN431" s="57" t="n">
        <v>12</v>
      </c>
      <c r="AO431" s="57">
        <f>G431*0</f>
      </c>
      <c r="AP431" s="57">
        <f>G431*(1-0)</f>
      </c>
      <c r="AQ431" s="60" t="s">
        <v>67</v>
      </c>
      <c r="AV431" s="57">
        <f>ROUND(AW431+AX431,2)</f>
      </c>
      <c r="AW431" s="57">
        <f>ROUND(F431*AO431,2)</f>
      </c>
      <c r="AX431" s="57">
        <f>ROUND(F431*AP431,2)</f>
      </c>
      <c r="AY431" s="60" t="s">
        <v>1048</v>
      </c>
      <c r="AZ431" s="60" t="s">
        <v>1049</v>
      </c>
      <c r="BA431" s="33" t="s">
        <v>1035</v>
      </c>
      <c r="BB431" s="61" t="n">
        <v>100119</v>
      </c>
      <c r="BC431" s="57">
        <f>AW431+AX431</f>
      </c>
      <c r="BD431" s="57">
        <f>G431/(100-BE431)*100</f>
      </c>
      <c r="BE431" s="57" t="n">
        <v>0</v>
      </c>
      <c r="BF431" s="57">
        <f>431</f>
      </c>
      <c r="BH431" s="57">
        <f>F431*AO431</f>
      </c>
      <c r="BI431" s="57">
        <f>F431*AP431</f>
      </c>
      <c r="BJ431" s="57">
        <f>F431*G431</f>
      </c>
      <c r="BK431" s="60" t="s">
        <v>66</v>
      </c>
      <c r="BL431" s="57"/>
      <c r="BW431" s="57" t="n">
        <v>12</v>
      </c>
      <c r="BX431" s="16" t="s">
        <v>1089</v>
      </c>
    </row>
    <row r="432">
      <c r="A432" s="51" t="s">
        <v>53</v>
      </c>
      <c r="B432" s="52" t="s">
        <v>1090</v>
      </c>
      <c r="C432" s="53" t="s">
        <v>1091</v>
      </c>
      <c r="D432" s="52"/>
      <c r="E432" s="54" t="s">
        <v>4</v>
      </c>
      <c r="F432" s="54" t="s">
        <v>4</v>
      </c>
      <c r="G432" s="55" t="s">
        <v>4</v>
      </c>
      <c r="H432" s="2">
        <f>ROUND(SUM(H433:H436),2)</f>
      </c>
      <c r="I432" s="2">
        <f>ROUND(SUM(I433:I436),2)</f>
      </c>
      <c r="J432" s="2">
        <f>ROUND(SUM(J433:J436),2)</f>
      </c>
      <c r="K432" s="56" t="s">
        <v>53</v>
      </c>
      <c r="AI432" s="33" t="s">
        <v>1030</v>
      </c>
      <c r="AS432" s="2">
        <f>SUM(AJ433:AJ436)</f>
      </c>
      <c r="AT432" s="2">
        <f>SUM(AK433:AK436)</f>
      </c>
      <c r="AU432" s="2">
        <f>SUM(AL433:AL436)</f>
      </c>
    </row>
    <row r="433">
      <c r="A433" s="10" t="s">
        <v>1092</v>
      </c>
      <c r="B433" s="11" t="s">
        <v>1093</v>
      </c>
      <c r="C433" s="16" t="s">
        <v>1094</v>
      </c>
      <c r="D433" s="11"/>
      <c r="E433" s="11" t="s">
        <v>61</v>
      </c>
      <c r="F433" s="57" t="n">
        <v>2.45</v>
      </c>
      <c r="G433" s="58" t="n">
        <v>0</v>
      </c>
      <c r="H433" s="57">
        <f>ROUND(F433*AO433,2)</f>
      </c>
      <c r="I433" s="57">
        <f>ROUND(F433*AP433,2)</f>
      </c>
      <c r="J433" s="57">
        <f>ROUND(F433*G433,2)</f>
      </c>
      <c r="K433" s="59" t="s">
        <v>62</v>
      </c>
      <c r="Z433" s="57">
        <f>ROUND(IF(AQ433="5",BJ433,0),2)</f>
      </c>
      <c r="AB433" s="57">
        <f>ROUND(IF(AQ433="1",BH433,0),2)</f>
      </c>
      <c r="AC433" s="57">
        <f>ROUND(IF(AQ433="1",BI433,0),2)</f>
      </c>
      <c r="AD433" s="57">
        <f>ROUND(IF(AQ433="7",BH433,0),2)</f>
      </c>
      <c r="AE433" s="57">
        <f>ROUND(IF(AQ433="7",BI433,0),2)</f>
      </c>
      <c r="AF433" s="57">
        <f>ROUND(IF(AQ433="2",BH433,0),2)</f>
      </c>
      <c r="AG433" s="57">
        <f>ROUND(IF(AQ433="2",BI433,0),2)</f>
      </c>
      <c r="AH433" s="57">
        <f>ROUND(IF(AQ433="0",BJ433,0),2)</f>
      </c>
      <c r="AI433" s="33" t="s">
        <v>1030</v>
      </c>
      <c r="AJ433" s="57">
        <f>IF(AN433=0,J433,0)</f>
      </c>
      <c r="AK433" s="57">
        <f>IF(AN433=12,J433,0)</f>
      </c>
      <c r="AL433" s="57">
        <f>IF(AN433=21,J433,0)</f>
      </c>
      <c r="AN433" s="57" t="n">
        <v>12</v>
      </c>
      <c r="AO433" s="57">
        <f>G433*0</f>
      </c>
      <c r="AP433" s="57">
        <f>G433*(1-0)</f>
      </c>
      <c r="AQ433" s="60" t="s">
        <v>67</v>
      </c>
      <c r="AV433" s="57">
        <f>ROUND(AW433+AX433,2)</f>
      </c>
      <c r="AW433" s="57">
        <f>ROUND(F433*AO433,2)</f>
      </c>
      <c r="AX433" s="57">
        <f>ROUND(F433*AP433,2)</f>
      </c>
      <c r="AY433" s="60" t="s">
        <v>1095</v>
      </c>
      <c r="AZ433" s="60" t="s">
        <v>1096</v>
      </c>
      <c r="BA433" s="33" t="s">
        <v>1035</v>
      </c>
      <c r="BB433" s="61" t="n">
        <v>100120</v>
      </c>
      <c r="BC433" s="57">
        <f>AW433+AX433</f>
      </c>
      <c r="BD433" s="57">
        <f>G433/(100-BE433)*100</f>
      </c>
      <c r="BE433" s="57" t="n">
        <v>0</v>
      </c>
      <c r="BF433" s="57">
        <f>433</f>
      </c>
      <c r="BH433" s="57">
        <f>F433*AO433</f>
      </c>
      <c r="BI433" s="57">
        <f>F433*AP433</f>
      </c>
      <c r="BJ433" s="57">
        <f>F433*G433</f>
      </c>
      <c r="BK433" s="60" t="s">
        <v>66</v>
      </c>
      <c r="BL433" s="57"/>
      <c r="BW433" s="57" t="n">
        <v>12</v>
      </c>
      <c r="BX433" s="16" t="s">
        <v>1094</v>
      </c>
    </row>
    <row r="434">
      <c r="A434" s="10" t="s">
        <v>1097</v>
      </c>
      <c r="B434" s="11" t="s">
        <v>1098</v>
      </c>
      <c r="C434" s="16" t="s">
        <v>1099</v>
      </c>
      <c r="D434" s="11"/>
      <c r="E434" s="11" t="s">
        <v>126</v>
      </c>
      <c r="F434" s="57" t="n">
        <v>7</v>
      </c>
      <c r="G434" s="58" t="n">
        <v>0</v>
      </c>
      <c r="H434" s="57">
        <f>ROUND(F434*AO434,2)</f>
      </c>
      <c r="I434" s="57">
        <f>ROUND(F434*AP434,2)</f>
      </c>
      <c r="J434" s="57">
        <f>ROUND(F434*G434,2)</f>
      </c>
      <c r="K434" s="59" t="s">
        <v>62</v>
      </c>
      <c r="Z434" s="57">
        <f>ROUND(IF(AQ434="5",BJ434,0),2)</f>
      </c>
      <c r="AB434" s="57">
        <f>ROUND(IF(AQ434="1",BH434,0),2)</f>
      </c>
      <c r="AC434" s="57">
        <f>ROUND(IF(AQ434="1",BI434,0),2)</f>
      </c>
      <c r="AD434" s="57">
        <f>ROUND(IF(AQ434="7",BH434,0),2)</f>
      </c>
      <c r="AE434" s="57">
        <f>ROUND(IF(AQ434="7",BI434,0),2)</f>
      </c>
      <c r="AF434" s="57">
        <f>ROUND(IF(AQ434="2",BH434,0),2)</f>
      </c>
      <c r="AG434" s="57">
        <f>ROUND(IF(AQ434="2",BI434,0),2)</f>
      </c>
      <c r="AH434" s="57">
        <f>ROUND(IF(AQ434="0",BJ434,0),2)</f>
      </c>
      <c r="AI434" s="33" t="s">
        <v>1030</v>
      </c>
      <c r="AJ434" s="57">
        <f>IF(AN434=0,J434,0)</f>
      </c>
      <c r="AK434" s="57">
        <f>IF(AN434=12,J434,0)</f>
      </c>
      <c r="AL434" s="57">
        <f>IF(AN434=21,J434,0)</f>
      </c>
      <c r="AN434" s="57" t="n">
        <v>12</v>
      </c>
      <c r="AO434" s="57">
        <f>G434*0</f>
      </c>
      <c r="AP434" s="57">
        <f>G434*(1-0)</f>
      </c>
      <c r="AQ434" s="60" t="s">
        <v>67</v>
      </c>
      <c r="AV434" s="57">
        <f>ROUND(AW434+AX434,2)</f>
      </c>
      <c r="AW434" s="57">
        <f>ROUND(F434*AO434,2)</f>
      </c>
      <c r="AX434" s="57">
        <f>ROUND(F434*AP434,2)</f>
      </c>
      <c r="AY434" s="60" t="s">
        <v>1095</v>
      </c>
      <c r="AZ434" s="60" t="s">
        <v>1096</v>
      </c>
      <c r="BA434" s="33" t="s">
        <v>1035</v>
      </c>
      <c r="BB434" s="61" t="n">
        <v>100120</v>
      </c>
      <c r="BC434" s="57">
        <f>AW434+AX434</f>
      </c>
      <c r="BD434" s="57">
        <f>G434/(100-BE434)*100</f>
      </c>
      <c r="BE434" s="57" t="n">
        <v>0</v>
      </c>
      <c r="BF434" s="57">
        <f>434</f>
      </c>
      <c r="BH434" s="57">
        <f>F434*AO434</f>
      </c>
      <c r="BI434" s="57">
        <f>F434*AP434</f>
      </c>
      <c r="BJ434" s="57">
        <f>F434*G434</f>
      </c>
      <c r="BK434" s="60" t="s">
        <v>66</v>
      </c>
      <c r="BL434" s="57"/>
      <c r="BW434" s="57" t="n">
        <v>12</v>
      </c>
      <c r="BX434" s="16" t="s">
        <v>1099</v>
      </c>
    </row>
    <row r="435">
      <c r="A435" s="10" t="s">
        <v>1100</v>
      </c>
      <c r="B435" s="11" t="s">
        <v>1101</v>
      </c>
      <c r="C435" s="16" t="s">
        <v>1102</v>
      </c>
      <c r="D435" s="11"/>
      <c r="E435" s="11" t="s">
        <v>126</v>
      </c>
      <c r="F435" s="57" t="n">
        <v>7</v>
      </c>
      <c r="G435" s="58" t="n">
        <v>0</v>
      </c>
      <c r="H435" s="57">
        <f>ROUND(F435*AO435,2)</f>
      </c>
      <c r="I435" s="57">
        <f>ROUND(F435*AP435,2)</f>
      </c>
      <c r="J435" s="57">
        <f>ROUND(F435*G435,2)</f>
      </c>
      <c r="K435" s="59" t="s">
        <v>62</v>
      </c>
      <c r="Z435" s="57">
        <f>ROUND(IF(AQ435="5",BJ435,0),2)</f>
      </c>
      <c r="AB435" s="57">
        <f>ROUND(IF(AQ435="1",BH435,0),2)</f>
      </c>
      <c r="AC435" s="57">
        <f>ROUND(IF(AQ435="1",BI435,0),2)</f>
      </c>
      <c r="AD435" s="57">
        <f>ROUND(IF(AQ435="7",BH435,0),2)</f>
      </c>
      <c r="AE435" s="57">
        <f>ROUND(IF(AQ435="7",BI435,0),2)</f>
      </c>
      <c r="AF435" s="57">
        <f>ROUND(IF(AQ435="2",BH435,0),2)</f>
      </c>
      <c r="AG435" s="57">
        <f>ROUND(IF(AQ435="2",BI435,0),2)</f>
      </c>
      <c r="AH435" s="57">
        <f>ROUND(IF(AQ435="0",BJ435,0),2)</f>
      </c>
      <c r="AI435" s="33" t="s">
        <v>1030</v>
      </c>
      <c r="AJ435" s="57">
        <f>IF(AN435=0,J435,0)</f>
      </c>
      <c r="AK435" s="57">
        <f>IF(AN435=12,J435,0)</f>
      </c>
      <c r="AL435" s="57">
        <f>IF(AN435=21,J435,0)</f>
      </c>
      <c r="AN435" s="57" t="n">
        <v>12</v>
      </c>
      <c r="AO435" s="57">
        <f>G435*0</f>
      </c>
      <c r="AP435" s="57">
        <f>G435*(1-0)</f>
      </c>
      <c r="AQ435" s="60" t="s">
        <v>67</v>
      </c>
      <c r="AV435" s="57">
        <f>ROUND(AW435+AX435,2)</f>
      </c>
      <c r="AW435" s="57">
        <f>ROUND(F435*AO435,2)</f>
      </c>
      <c r="AX435" s="57">
        <f>ROUND(F435*AP435,2)</f>
      </c>
      <c r="AY435" s="60" t="s">
        <v>1095</v>
      </c>
      <c r="AZ435" s="60" t="s">
        <v>1096</v>
      </c>
      <c r="BA435" s="33" t="s">
        <v>1035</v>
      </c>
      <c r="BB435" s="61" t="n">
        <v>100120</v>
      </c>
      <c r="BC435" s="57">
        <f>AW435+AX435</f>
      </c>
      <c r="BD435" s="57">
        <f>G435/(100-BE435)*100</f>
      </c>
      <c r="BE435" s="57" t="n">
        <v>0</v>
      </c>
      <c r="BF435" s="57">
        <f>435</f>
      </c>
      <c r="BH435" s="57">
        <f>F435*AO435</f>
      </c>
      <c r="BI435" s="57">
        <f>F435*AP435</f>
      </c>
      <c r="BJ435" s="57">
        <f>F435*G435</f>
      </c>
      <c r="BK435" s="60" t="s">
        <v>66</v>
      </c>
      <c r="BL435" s="57"/>
      <c r="BW435" s="57" t="n">
        <v>12</v>
      </c>
      <c r="BX435" s="16" t="s">
        <v>1102</v>
      </c>
    </row>
    <row r="436">
      <c r="A436" s="10" t="s">
        <v>1103</v>
      </c>
      <c r="B436" s="11" t="s">
        <v>1104</v>
      </c>
      <c r="C436" s="16" t="s">
        <v>1105</v>
      </c>
      <c r="D436" s="11"/>
      <c r="E436" s="11" t="s">
        <v>61</v>
      </c>
      <c r="F436" s="57" t="n">
        <v>2.45</v>
      </c>
      <c r="G436" s="58" t="n">
        <v>0</v>
      </c>
      <c r="H436" s="57">
        <f>ROUND(F436*AO436,2)</f>
      </c>
      <c r="I436" s="57">
        <f>ROUND(F436*AP436,2)</f>
      </c>
      <c r="J436" s="57">
        <f>ROUND(F436*G436,2)</f>
      </c>
      <c r="K436" s="59" t="s">
        <v>62</v>
      </c>
      <c r="Z436" s="57">
        <f>ROUND(IF(AQ436="5",BJ436,0),2)</f>
      </c>
      <c r="AB436" s="57">
        <f>ROUND(IF(AQ436="1",BH436,0),2)</f>
      </c>
      <c r="AC436" s="57">
        <f>ROUND(IF(AQ436="1",BI436,0),2)</f>
      </c>
      <c r="AD436" s="57">
        <f>ROUND(IF(AQ436="7",BH436,0),2)</f>
      </c>
      <c r="AE436" s="57">
        <f>ROUND(IF(AQ436="7",BI436,0),2)</f>
      </c>
      <c r="AF436" s="57">
        <f>ROUND(IF(AQ436="2",BH436,0),2)</f>
      </c>
      <c r="AG436" s="57">
        <f>ROUND(IF(AQ436="2",BI436,0),2)</f>
      </c>
      <c r="AH436" s="57">
        <f>ROUND(IF(AQ436="0",BJ436,0),2)</f>
      </c>
      <c r="AI436" s="33" t="s">
        <v>1030</v>
      </c>
      <c r="AJ436" s="57">
        <f>IF(AN436=0,J436,0)</f>
      </c>
      <c r="AK436" s="57">
        <f>IF(AN436=12,J436,0)</f>
      </c>
      <c r="AL436" s="57">
        <f>IF(AN436=21,J436,0)</f>
      </c>
      <c r="AN436" s="57" t="n">
        <v>12</v>
      </c>
      <c r="AO436" s="57">
        <f>G436*0.018104496</f>
      </c>
      <c r="AP436" s="57">
        <f>G436*(1-0.018104496)</f>
      </c>
      <c r="AQ436" s="60" t="s">
        <v>67</v>
      </c>
      <c r="AV436" s="57">
        <f>ROUND(AW436+AX436,2)</f>
      </c>
      <c r="AW436" s="57">
        <f>ROUND(F436*AO436,2)</f>
      </c>
      <c r="AX436" s="57">
        <f>ROUND(F436*AP436,2)</f>
      </c>
      <c r="AY436" s="60" t="s">
        <v>1095</v>
      </c>
      <c r="AZ436" s="60" t="s">
        <v>1096</v>
      </c>
      <c r="BA436" s="33" t="s">
        <v>1035</v>
      </c>
      <c r="BB436" s="61" t="n">
        <v>100120</v>
      </c>
      <c r="BC436" s="57">
        <f>AW436+AX436</f>
      </c>
      <c r="BD436" s="57">
        <f>G436/(100-BE436)*100</f>
      </c>
      <c r="BE436" s="57" t="n">
        <v>0</v>
      </c>
      <c r="BF436" s="57">
        <f>436</f>
      </c>
      <c r="BH436" s="57">
        <f>F436*AO436</f>
      </c>
      <c r="BI436" s="57">
        <f>F436*AP436</f>
      </c>
      <c r="BJ436" s="57">
        <f>F436*G436</f>
      </c>
      <c r="BK436" s="60" t="s">
        <v>66</v>
      </c>
      <c r="BL436" s="57"/>
      <c r="BW436" s="57" t="n">
        <v>12</v>
      </c>
      <c r="BX436" s="16" t="s">
        <v>1105</v>
      </c>
    </row>
    <row r="437">
      <c r="A437" s="51" t="s">
        <v>53</v>
      </c>
      <c r="B437" s="52" t="s">
        <v>53</v>
      </c>
      <c r="C437" s="53" t="s">
        <v>1106</v>
      </c>
      <c r="D437" s="52"/>
      <c r="E437" s="54" t="s">
        <v>4</v>
      </c>
      <c r="F437" s="54" t="s">
        <v>4</v>
      </c>
      <c r="G437" s="55" t="s">
        <v>4</v>
      </c>
      <c r="H437" s="2">
        <f>ROUND(SUM(H438,H442,H446,H451,H454),2)</f>
      </c>
      <c r="I437" s="2">
        <f>ROUND(SUM(I438,I442,I446,I451,I454),2)</f>
      </c>
      <c r="J437" s="2">
        <f>ROUND(SUM(J438,J442,J446,J451,J454),2)</f>
      </c>
      <c r="K437" s="56" t="s">
        <v>53</v>
      </c>
    </row>
    <row r="438">
      <c r="A438" s="51" t="s">
        <v>53</v>
      </c>
      <c r="B438" s="52" t="s">
        <v>87</v>
      </c>
      <c r="C438" s="53" t="s">
        <v>88</v>
      </c>
      <c r="D438" s="52"/>
      <c r="E438" s="54" t="s">
        <v>4</v>
      </c>
      <c r="F438" s="54" t="s">
        <v>4</v>
      </c>
      <c r="G438" s="55" t="s">
        <v>4</v>
      </c>
      <c r="H438" s="2">
        <f>ROUND(SUM(H439:H440),2)</f>
      </c>
      <c r="I438" s="2">
        <f>ROUND(SUM(I439:I440),2)</f>
      </c>
      <c r="J438" s="2">
        <f>ROUND(SUM(J439:J440),2)</f>
      </c>
      <c r="K438" s="56" t="s">
        <v>53</v>
      </c>
      <c r="AI438" s="33" t="s">
        <v>1107</v>
      </c>
      <c r="AS438" s="2">
        <f>SUM(AJ439:AJ440)</f>
      </c>
      <c r="AT438" s="2">
        <f>SUM(AK439:AK440)</f>
      </c>
      <c r="AU438" s="2">
        <f>SUM(AL439:AL440)</f>
      </c>
    </row>
    <row r="439">
      <c r="A439" s="10" t="s">
        <v>1108</v>
      </c>
      <c r="B439" s="11" t="s">
        <v>1109</v>
      </c>
      <c r="C439" s="16" t="s">
        <v>1110</v>
      </c>
      <c r="D439" s="11"/>
      <c r="E439" s="11" t="s">
        <v>61</v>
      </c>
      <c r="F439" s="57" t="n">
        <v>7.5</v>
      </c>
      <c r="G439" s="58" t="n">
        <v>0</v>
      </c>
      <c r="H439" s="57">
        <f>ROUND(F439*AO439,2)</f>
      </c>
      <c r="I439" s="57">
        <f>ROUND(F439*AP439,2)</f>
      </c>
      <c r="J439" s="57">
        <f>ROUND(F439*G439,2)</f>
      </c>
      <c r="K439" s="59" t="s">
        <v>62</v>
      </c>
      <c r="Z439" s="57">
        <f>ROUND(IF(AQ439="5",BJ439,0),2)</f>
      </c>
      <c r="AB439" s="57">
        <f>ROUND(IF(AQ439="1",BH439,0),2)</f>
      </c>
      <c r="AC439" s="57">
        <f>ROUND(IF(AQ439="1",BI439,0),2)</f>
      </c>
      <c r="AD439" s="57">
        <f>ROUND(IF(AQ439="7",BH439,0),2)</f>
      </c>
      <c r="AE439" s="57">
        <f>ROUND(IF(AQ439="7",BI439,0),2)</f>
      </c>
      <c r="AF439" s="57">
        <f>ROUND(IF(AQ439="2",BH439,0),2)</f>
      </c>
      <c r="AG439" s="57">
        <f>ROUND(IF(AQ439="2",BI439,0),2)</f>
      </c>
      <c r="AH439" s="57">
        <f>ROUND(IF(AQ439="0",BJ439,0),2)</f>
      </c>
      <c r="AI439" s="33" t="s">
        <v>1107</v>
      </c>
      <c r="AJ439" s="57">
        <f>IF(AN439=0,J439,0)</f>
      </c>
      <c r="AK439" s="57">
        <f>IF(AN439=12,J439,0)</f>
      </c>
      <c r="AL439" s="57">
        <f>IF(AN439=21,J439,0)</f>
      </c>
      <c r="AN439" s="57" t="n">
        <v>12</v>
      </c>
      <c r="AO439" s="57">
        <f>G439*0.162349184</f>
      </c>
      <c r="AP439" s="57">
        <f>G439*(1-0.162349184)</f>
      </c>
      <c r="AQ439" s="60" t="s">
        <v>58</v>
      </c>
      <c r="AV439" s="57">
        <f>ROUND(AW439+AX439,2)</f>
      </c>
      <c r="AW439" s="57">
        <f>ROUND(F439*AO439,2)</f>
      </c>
      <c r="AX439" s="57">
        <f>ROUND(F439*AP439,2)</f>
      </c>
      <c r="AY439" s="60" t="s">
        <v>92</v>
      </c>
      <c r="AZ439" s="60" t="s">
        <v>1111</v>
      </c>
      <c r="BA439" s="33" t="s">
        <v>1112</v>
      </c>
      <c r="BB439" s="61" t="n">
        <v>100134</v>
      </c>
      <c r="BC439" s="57">
        <f>AW439+AX439</f>
      </c>
      <c r="BD439" s="57">
        <f>G439/(100-BE439)*100</f>
      </c>
      <c r="BE439" s="57" t="n">
        <v>0</v>
      </c>
      <c r="BF439" s="57">
        <f>439</f>
      </c>
      <c r="BH439" s="57">
        <f>F439*AO439</f>
      </c>
      <c r="BI439" s="57">
        <f>F439*AP439</f>
      </c>
      <c r="BJ439" s="57">
        <f>F439*G439</f>
      </c>
      <c r="BK439" s="60" t="s">
        <v>66</v>
      </c>
      <c r="BL439" s="57" t="n">
        <v>18</v>
      </c>
      <c r="BW439" s="57" t="n">
        <v>12</v>
      </c>
      <c r="BX439" s="16" t="s">
        <v>1110</v>
      </c>
    </row>
    <row r="440">
      <c r="A440" s="10" t="s">
        <v>1113</v>
      </c>
      <c r="B440" s="11" t="s">
        <v>1114</v>
      </c>
      <c r="C440" s="16" t="s">
        <v>1115</v>
      </c>
      <c r="D440" s="11"/>
      <c r="E440" s="11" t="s">
        <v>61</v>
      </c>
      <c r="F440" s="57" t="n">
        <v>7.5</v>
      </c>
      <c r="G440" s="58" t="n">
        <v>0</v>
      </c>
      <c r="H440" s="57">
        <f>ROUND(F440*AO440,2)</f>
      </c>
      <c r="I440" s="57">
        <f>ROUND(F440*AP440,2)</f>
      </c>
      <c r="J440" s="57">
        <f>ROUND(F440*G440,2)</f>
      </c>
      <c r="K440" s="59" t="s">
        <v>62</v>
      </c>
      <c r="Z440" s="57">
        <f>ROUND(IF(AQ440="5",BJ440,0),2)</f>
      </c>
      <c r="AB440" s="57">
        <f>ROUND(IF(AQ440="1",BH440,0),2)</f>
      </c>
      <c r="AC440" s="57">
        <f>ROUND(IF(AQ440="1",BI440,0),2)</f>
      </c>
      <c r="AD440" s="57">
        <f>ROUND(IF(AQ440="7",BH440,0),2)</f>
      </c>
      <c r="AE440" s="57">
        <f>ROUND(IF(AQ440="7",BI440,0),2)</f>
      </c>
      <c r="AF440" s="57">
        <f>ROUND(IF(AQ440="2",BH440,0),2)</f>
      </c>
      <c r="AG440" s="57">
        <f>ROUND(IF(AQ440="2",BI440,0),2)</f>
      </c>
      <c r="AH440" s="57">
        <f>ROUND(IF(AQ440="0",BJ440,0),2)</f>
      </c>
      <c r="AI440" s="33" t="s">
        <v>1107</v>
      </c>
      <c r="AJ440" s="57">
        <f>IF(AN440=0,J440,0)</f>
      </c>
      <c r="AK440" s="57">
        <f>IF(AN440=12,J440,0)</f>
      </c>
      <c r="AL440" s="57">
        <f>IF(AN440=21,J440,0)</f>
      </c>
      <c r="AN440" s="57" t="n">
        <v>12</v>
      </c>
      <c r="AO440" s="57">
        <f>G440*0</f>
      </c>
      <c r="AP440" s="57">
        <f>G440*(1-0)</f>
      </c>
      <c r="AQ440" s="60" t="s">
        <v>58</v>
      </c>
      <c r="AV440" s="57">
        <f>ROUND(AW440+AX440,2)</f>
      </c>
      <c r="AW440" s="57">
        <f>ROUND(F440*AO440,2)</f>
      </c>
      <c r="AX440" s="57">
        <f>ROUND(F440*AP440,2)</f>
      </c>
      <c r="AY440" s="60" t="s">
        <v>92</v>
      </c>
      <c r="AZ440" s="60" t="s">
        <v>1111</v>
      </c>
      <c r="BA440" s="33" t="s">
        <v>1112</v>
      </c>
      <c r="BB440" s="61" t="n">
        <v>100134</v>
      </c>
      <c r="BC440" s="57">
        <f>AW440+AX440</f>
      </c>
      <c r="BD440" s="57">
        <f>G440/(100-BE440)*100</f>
      </c>
      <c r="BE440" s="57" t="n">
        <v>0</v>
      </c>
      <c r="BF440" s="57">
        <f>440</f>
      </c>
      <c r="BH440" s="57">
        <f>F440*AO440</f>
      </c>
      <c r="BI440" s="57">
        <f>F440*AP440</f>
      </c>
      <c r="BJ440" s="57">
        <f>F440*G440</f>
      </c>
      <c r="BK440" s="60" t="s">
        <v>66</v>
      </c>
      <c r="BL440" s="57" t="n">
        <v>18</v>
      </c>
      <c r="BW440" s="57" t="n">
        <v>12</v>
      </c>
      <c r="BX440" s="16" t="s">
        <v>1115</v>
      </c>
    </row>
    <row r="441">
      <c r="A441" s="51" t="s">
        <v>53</v>
      </c>
      <c r="B441" s="52" t="s">
        <v>1116</v>
      </c>
      <c r="C441" s="53" t="s">
        <v>1117</v>
      </c>
      <c r="D441" s="52"/>
      <c r="E441" s="54" t="s">
        <v>4</v>
      </c>
      <c r="F441" s="54" t="s">
        <v>4</v>
      </c>
      <c r="G441" s="55" t="s">
        <v>4</v>
      </c>
      <c r="H441" s="2">
        <f>H442+H446+H451+H454</f>
      </c>
      <c r="I441" s="2">
        <f>I442+I446+I451+I454</f>
      </c>
      <c r="J441" s="2">
        <f>J442+J446+J451+J454</f>
      </c>
      <c r="K441" s="56" t="s">
        <v>53</v>
      </c>
      <c r="AI441" s="33" t="s">
        <v>1107</v>
      </c>
    </row>
    <row r="442">
      <c r="A442" s="51" t="s">
        <v>53</v>
      </c>
      <c r="B442" s="52" t="s">
        <v>1118</v>
      </c>
      <c r="C442" s="53" t="s">
        <v>1119</v>
      </c>
      <c r="D442" s="52"/>
      <c r="E442" s="54" t="s">
        <v>4</v>
      </c>
      <c r="F442" s="54" t="s">
        <v>4</v>
      </c>
      <c r="G442" s="55" t="s">
        <v>4</v>
      </c>
      <c r="H442" s="2">
        <f>ROUND(SUM(H443:H445),2)</f>
      </c>
      <c r="I442" s="2">
        <f>ROUND(SUM(I443:I445),2)</f>
      </c>
      <c r="J442" s="2">
        <f>ROUND(SUM(J443:J445),2)</f>
      </c>
      <c r="K442" s="56" t="s">
        <v>53</v>
      </c>
      <c r="AI442" s="33" t="s">
        <v>1107</v>
      </c>
      <c r="AS442" s="2">
        <f>SUM(AJ443:AJ445)</f>
      </c>
      <c r="AT442" s="2">
        <f>SUM(AK443:AK445)</f>
      </c>
      <c r="AU442" s="2">
        <f>SUM(AL443:AL445)</f>
      </c>
    </row>
    <row r="443">
      <c r="A443" s="10" t="s">
        <v>1120</v>
      </c>
      <c r="B443" s="11" t="s">
        <v>1121</v>
      </c>
      <c r="C443" s="16" t="s">
        <v>1122</v>
      </c>
      <c r="D443" s="11"/>
      <c r="E443" s="11" t="s">
        <v>1123</v>
      </c>
      <c r="F443" s="57" t="n">
        <v>1</v>
      </c>
      <c r="G443" s="58" t="n">
        <v>0</v>
      </c>
      <c r="H443" s="57">
        <f>ROUND(F443*AO443,2)</f>
      </c>
      <c r="I443" s="57">
        <f>ROUND(F443*AP443,2)</f>
      </c>
      <c r="J443" s="57">
        <f>ROUND(F443*G443,2)</f>
      </c>
      <c r="K443" s="59" t="s">
        <v>140</v>
      </c>
      <c r="Z443" s="57">
        <f>ROUND(IF(AQ443="5",BJ443,0),2)</f>
      </c>
      <c r="AB443" s="57">
        <f>ROUND(IF(AQ443="1",BH443,0),2)</f>
      </c>
      <c r="AC443" s="57">
        <f>ROUND(IF(AQ443="1",BI443,0),2)</f>
      </c>
      <c r="AD443" s="57">
        <f>ROUND(IF(AQ443="7",BH443,0),2)</f>
      </c>
      <c r="AE443" s="57">
        <f>ROUND(IF(AQ443="7",BI443,0),2)</f>
      </c>
      <c r="AF443" s="57">
        <f>ROUND(IF(AQ443="2",BH443,0),2)</f>
      </c>
      <c r="AG443" s="57">
        <f>ROUND(IF(AQ443="2",BI443,0),2)</f>
      </c>
      <c r="AH443" s="57">
        <f>ROUND(IF(AQ443="0",BJ443,0),2)</f>
      </c>
      <c r="AI443" s="33" t="s">
        <v>1107</v>
      </c>
      <c r="AJ443" s="57">
        <f>IF(AN443=0,J443,0)</f>
      </c>
      <c r="AK443" s="57">
        <f>IF(AN443=12,J443,0)</f>
      </c>
      <c r="AL443" s="57">
        <f>IF(AN443=21,J443,0)</f>
      </c>
      <c r="AN443" s="57" t="n">
        <v>12</v>
      </c>
      <c r="AO443" s="57">
        <f>G443*0</f>
      </c>
      <c r="AP443" s="57">
        <f>G443*(1-0)</f>
      </c>
      <c r="AQ443" s="60" t="s">
        <v>383</v>
      </c>
      <c r="AV443" s="57">
        <f>ROUND(AW443+AX443,2)</f>
      </c>
      <c r="AW443" s="57">
        <f>ROUND(F443*AO443,2)</f>
      </c>
      <c r="AX443" s="57">
        <f>ROUND(F443*AP443,2)</f>
      </c>
      <c r="AY443" s="60" t="s">
        <v>1124</v>
      </c>
      <c r="AZ443" s="60" t="s">
        <v>1125</v>
      </c>
      <c r="BA443" s="33" t="s">
        <v>1112</v>
      </c>
      <c r="BB443" s="61" t="n">
        <v>100136</v>
      </c>
      <c r="BC443" s="57">
        <f>AW443+AX443</f>
      </c>
      <c r="BD443" s="57">
        <f>G443/(100-BE443)*100</f>
      </c>
      <c r="BE443" s="57" t="n">
        <v>0</v>
      </c>
      <c r="BF443" s="57">
        <f>443</f>
      </c>
      <c r="BH443" s="57">
        <f>F443*AO443</f>
      </c>
      <c r="BI443" s="57">
        <f>F443*AP443</f>
      </c>
      <c r="BJ443" s="57">
        <f>F443*G443</f>
      </c>
      <c r="BK443" s="60" t="s">
        <v>66</v>
      </c>
      <c r="BL443" s="57"/>
      <c r="BM443" s="57">
        <f>F443*G443</f>
      </c>
      <c r="BW443" s="57" t="n">
        <v>12</v>
      </c>
      <c r="BX443" s="16" t="s">
        <v>1122</v>
      </c>
    </row>
    <row r="444">
      <c r="A444" s="10" t="s">
        <v>1126</v>
      </c>
      <c r="B444" s="11" t="s">
        <v>1127</v>
      </c>
      <c r="C444" s="16" t="s">
        <v>1128</v>
      </c>
      <c r="D444" s="11"/>
      <c r="E444" s="11" t="s">
        <v>1123</v>
      </c>
      <c r="F444" s="57" t="n">
        <v>1</v>
      </c>
      <c r="G444" s="58" t="n">
        <v>0</v>
      </c>
      <c r="H444" s="57">
        <f>ROUND(F444*AO444,2)</f>
      </c>
      <c r="I444" s="57">
        <f>ROUND(F444*AP444,2)</f>
      </c>
      <c r="J444" s="57">
        <f>ROUND(F444*G444,2)</f>
      </c>
      <c r="K444" s="59" t="s">
        <v>140</v>
      </c>
      <c r="Z444" s="57">
        <f>ROUND(IF(AQ444="5",BJ444,0),2)</f>
      </c>
      <c r="AB444" s="57">
        <f>ROUND(IF(AQ444="1",BH444,0),2)</f>
      </c>
      <c r="AC444" s="57">
        <f>ROUND(IF(AQ444="1",BI444,0),2)</f>
      </c>
      <c r="AD444" s="57">
        <f>ROUND(IF(AQ444="7",BH444,0),2)</f>
      </c>
      <c r="AE444" s="57">
        <f>ROUND(IF(AQ444="7",BI444,0),2)</f>
      </c>
      <c r="AF444" s="57">
        <f>ROUND(IF(AQ444="2",BH444,0),2)</f>
      </c>
      <c r="AG444" s="57">
        <f>ROUND(IF(AQ444="2",BI444,0),2)</f>
      </c>
      <c r="AH444" s="57">
        <f>ROUND(IF(AQ444="0",BJ444,0),2)</f>
      </c>
      <c r="AI444" s="33" t="s">
        <v>1107</v>
      </c>
      <c r="AJ444" s="57">
        <f>IF(AN444=0,J444,0)</f>
      </c>
      <c r="AK444" s="57">
        <f>IF(AN444=12,J444,0)</f>
      </c>
      <c r="AL444" s="57">
        <f>IF(AN444=21,J444,0)</f>
      </c>
      <c r="AN444" s="57" t="n">
        <v>12</v>
      </c>
      <c r="AO444" s="57">
        <f>G444*0</f>
      </c>
      <c r="AP444" s="57">
        <f>G444*(1-0)</f>
      </c>
      <c r="AQ444" s="60" t="s">
        <v>383</v>
      </c>
      <c r="AV444" s="57">
        <f>ROUND(AW444+AX444,2)</f>
      </c>
      <c r="AW444" s="57">
        <f>ROUND(F444*AO444,2)</f>
      </c>
      <c r="AX444" s="57">
        <f>ROUND(F444*AP444,2)</f>
      </c>
      <c r="AY444" s="60" t="s">
        <v>1124</v>
      </c>
      <c r="AZ444" s="60" t="s">
        <v>1125</v>
      </c>
      <c r="BA444" s="33" t="s">
        <v>1112</v>
      </c>
      <c r="BB444" s="61" t="n">
        <v>100136</v>
      </c>
      <c r="BC444" s="57">
        <f>AW444+AX444</f>
      </c>
      <c r="BD444" s="57">
        <f>G444/(100-BE444)*100</f>
      </c>
      <c r="BE444" s="57" t="n">
        <v>0</v>
      </c>
      <c r="BF444" s="57">
        <f>444</f>
      </c>
      <c r="BH444" s="57">
        <f>F444*AO444</f>
      </c>
      <c r="BI444" s="57">
        <f>F444*AP444</f>
      </c>
      <c r="BJ444" s="57">
        <f>F444*G444</f>
      </c>
      <c r="BK444" s="60" t="s">
        <v>66</v>
      </c>
      <c r="BL444" s="57"/>
      <c r="BM444" s="57">
        <f>F444*G444</f>
      </c>
      <c r="BW444" s="57" t="n">
        <v>12</v>
      </c>
      <c r="BX444" s="16" t="s">
        <v>1128</v>
      </c>
    </row>
    <row r="445">
      <c r="A445" s="10" t="s">
        <v>1129</v>
      </c>
      <c r="B445" s="11" t="s">
        <v>1130</v>
      </c>
      <c r="C445" s="16" t="s">
        <v>1131</v>
      </c>
      <c r="D445" s="11"/>
      <c r="E445" s="11" t="s">
        <v>1123</v>
      </c>
      <c r="F445" s="57" t="n">
        <v>1</v>
      </c>
      <c r="G445" s="58" t="n">
        <v>0</v>
      </c>
      <c r="H445" s="57">
        <f>ROUND(F445*AO445,2)</f>
      </c>
      <c r="I445" s="57">
        <f>ROUND(F445*AP445,2)</f>
      </c>
      <c r="J445" s="57">
        <f>ROUND(F445*G445,2)</f>
      </c>
      <c r="K445" s="59" t="s">
        <v>140</v>
      </c>
      <c r="Z445" s="57">
        <f>ROUND(IF(AQ445="5",BJ445,0),2)</f>
      </c>
      <c r="AB445" s="57">
        <f>ROUND(IF(AQ445="1",BH445,0),2)</f>
      </c>
      <c r="AC445" s="57">
        <f>ROUND(IF(AQ445="1",BI445,0),2)</f>
      </c>
      <c r="AD445" s="57">
        <f>ROUND(IF(AQ445="7",BH445,0),2)</f>
      </c>
      <c r="AE445" s="57">
        <f>ROUND(IF(AQ445="7",BI445,0),2)</f>
      </c>
      <c r="AF445" s="57">
        <f>ROUND(IF(AQ445="2",BH445,0),2)</f>
      </c>
      <c r="AG445" s="57">
        <f>ROUND(IF(AQ445="2",BI445,0),2)</f>
      </c>
      <c r="AH445" s="57">
        <f>ROUND(IF(AQ445="0",BJ445,0),2)</f>
      </c>
      <c r="AI445" s="33" t="s">
        <v>1107</v>
      </c>
      <c r="AJ445" s="57">
        <f>IF(AN445=0,J445,0)</f>
      </c>
      <c r="AK445" s="57">
        <f>IF(AN445=12,J445,0)</f>
      </c>
      <c r="AL445" s="57">
        <f>IF(AN445=21,J445,0)</f>
      </c>
      <c r="AN445" s="57" t="n">
        <v>12</v>
      </c>
      <c r="AO445" s="57">
        <f>G445*0</f>
      </c>
      <c r="AP445" s="57">
        <f>G445*(1-0)</f>
      </c>
      <c r="AQ445" s="60" t="s">
        <v>383</v>
      </c>
      <c r="AV445" s="57">
        <f>ROUND(AW445+AX445,2)</f>
      </c>
      <c r="AW445" s="57">
        <f>ROUND(F445*AO445,2)</f>
      </c>
      <c r="AX445" s="57">
        <f>ROUND(F445*AP445,2)</f>
      </c>
      <c r="AY445" s="60" t="s">
        <v>1124</v>
      </c>
      <c r="AZ445" s="60" t="s">
        <v>1125</v>
      </c>
      <c r="BA445" s="33" t="s">
        <v>1112</v>
      </c>
      <c r="BB445" s="61" t="n">
        <v>100136</v>
      </c>
      <c r="BC445" s="57">
        <f>AW445+AX445</f>
      </c>
      <c r="BD445" s="57">
        <f>G445/(100-BE445)*100</f>
      </c>
      <c r="BE445" s="57" t="n">
        <v>0</v>
      </c>
      <c r="BF445" s="57">
        <f>445</f>
      </c>
      <c r="BH445" s="57">
        <f>F445*AO445</f>
      </c>
      <c r="BI445" s="57">
        <f>F445*AP445</f>
      </c>
      <c r="BJ445" s="57">
        <f>F445*G445</f>
      </c>
      <c r="BK445" s="60" t="s">
        <v>66</v>
      </c>
      <c r="BL445" s="57"/>
      <c r="BM445" s="57">
        <f>F445*G445</f>
      </c>
      <c r="BW445" s="57" t="n">
        <v>12</v>
      </c>
      <c r="BX445" s="16" t="s">
        <v>1131</v>
      </c>
    </row>
    <row r="446">
      <c r="A446" s="51" t="s">
        <v>53</v>
      </c>
      <c r="B446" s="52" t="s">
        <v>1132</v>
      </c>
      <c r="C446" s="53" t="s">
        <v>1133</v>
      </c>
      <c r="D446" s="52"/>
      <c r="E446" s="54" t="s">
        <v>4</v>
      </c>
      <c r="F446" s="54" t="s">
        <v>4</v>
      </c>
      <c r="G446" s="55" t="s">
        <v>4</v>
      </c>
      <c r="H446" s="2">
        <f>ROUND(SUM(H447:H450),2)</f>
      </c>
      <c r="I446" s="2">
        <f>ROUND(SUM(I447:I450),2)</f>
      </c>
      <c r="J446" s="2">
        <f>ROUND(SUM(J447:J450),2)</f>
      </c>
      <c r="K446" s="56" t="s">
        <v>53</v>
      </c>
      <c r="AI446" s="33" t="s">
        <v>1107</v>
      </c>
      <c r="AS446" s="2">
        <f>SUM(AJ447:AJ450)</f>
      </c>
      <c r="AT446" s="2">
        <f>SUM(AK447:AK450)</f>
      </c>
      <c r="AU446" s="2">
        <f>SUM(AL447:AL450)</f>
      </c>
    </row>
    <row r="447">
      <c r="A447" s="10" t="s">
        <v>1134</v>
      </c>
      <c r="B447" s="11" t="s">
        <v>1135</v>
      </c>
      <c r="C447" s="16" t="s">
        <v>1136</v>
      </c>
      <c r="D447" s="11"/>
      <c r="E447" s="11" t="s">
        <v>1123</v>
      </c>
      <c r="F447" s="57" t="n">
        <v>1</v>
      </c>
      <c r="G447" s="58" t="n">
        <v>0</v>
      </c>
      <c r="H447" s="57">
        <f>ROUND(F447*AO447,2)</f>
      </c>
      <c r="I447" s="57">
        <f>ROUND(F447*AP447,2)</f>
      </c>
      <c r="J447" s="57">
        <f>ROUND(F447*G447,2)</f>
      </c>
      <c r="K447" s="59" t="s">
        <v>140</v>
      </c>
      <c r="Z447" s="57">
        <f>ROUND(IF(AQ447="5",BJ447,0),2)</f>
      </c>
      <c r="AB447" s="57">
        <f>ROUND(IF(AQ447="1",BH447,0),2)</f>
      </c>
      <c r="AC447" s="57">
        <f>ROUND(IF(AQ447="1",BI447,0),2)</f>
      </c>
      <c r="AD447" s="57">
        <f>ROUND(IF(AQ447="7",BH447,0),2)</f>
      </c>
      <c r="AE447" s="57">
        <f>ROUND(IF(AQ447="7",BI447,0),2)</f>
      </c>
      <c r="AF447" s="57">
        <f>ROUND(IF(AQ447="2",BH447,0),2)</f>
      </c>
      <c r="AG447" s="57">
        <f>ROUND(IF(AQ447="2",BI447,0),2)</f>
      </c>
      <c r="AH447" s="57">
        <f>ROUND(IF(AQ447="0",BJ447,0),2)</f>
      </c>
      <c r="AI447" s="33" t="s">
        <v>1107</v>
      </c>
      <c r="AJ447" s="57">
        <f>IF(AN447=0,J447,0)</f>
      </c>
      <c r="AK447" s="57">
        <f>IF(AN447=12,J447,0)</f>
      </c>
      <c r="AL447" s="57">
        <f>IF(AN447=21,J447,0)</f>
      </c>
      <c r="AN447" s="57" t="n">
        <v>12</v>
      </c>
      <c r="AO447" s="57">
        <f>G447*0</f>
      </c>
      <c r="AP447" s="57">
        <f>G447*(1-0)</f>
      </c>
      <c r="AQ447" s="60" t="s">
        <v>383</v>
      </c>
      <c r="AV447" s="57">
        <f>ROUND(AW447+AX447,2)</f>
      </c>
      <c r="AW447" s="57">
        <f>ROUND(F447*AO447,2)</f>
      </c>
      <c r="AX447" s="57">
        <f>ROUND(F447*AP447,2)</f>
      </c>
      <c r="AY447" s="60" t="s">
        <v>1137</v>
      </c>
      <c r="AZ447" s="60" t="s">
        <v>1138</v>
      </c>
      <c r="BA447" s="33" t="s">
        <v>1112</v>
      </c>
      <c r="BB447" s="61" t="n">
        <v>100135</v>
      </c>
      <c r="BC447" s="57">
        <f>AW447+AX447</f>
      </c>
      <c r="BD447" s="57">
        <f>G447/(100-BE447)*100</f>
      </c>
      <c r="BE447" s="57" t="n">
        <v>0</v>
      </c>
      <c r="BF447" s="57">
        <f>447</f>
      </c>
      <c r="BH447" s="57">
        <f>F447*AO447</f>
      </c>
      <c r="BI447" s="57">
        <f>F447*AP447</f>
      </c>
      <c r="BJ447" s="57">
        <f>F447*G447</f>
      </c>
      <c r="BK447" s="60" t="s">
        <v>66</v>
      </c>
      <c r="BL447" s="57"/>
      <c r="BO447" s="57">
        <f>F447*G447</f>
      </c>
      <c r="BW447" s="57" t="n">
        <v>12</v>
      </c>
      <c r="BX447" s="16" t="s">
        <v>1136</v>
      </c>
    </row>
    <row r="448">
      <c r="A448" s="10" t="s">
        <v>1139</v>
      </c>
      <c r="B448" s="11" t="s">
        <v>1140</v>
      </c>
      <c r="C448" s="16" t="s">
        <v>1141</v>
      </c>
      <c r="D448" s="11"/>
      <c r="E448" s="11" t="s">
        <v>1123</v>
      </c>
      <c r="F448" s="57" t="n">
        <v>284</v>
      </c>
      <c r="G448" s="58" t="n">
        <v>0</v>
      </c>
      <c r="H448" s="57">
        <f>ROUND(F448*AO448,2)</f>
      </c>
      <c r="I448" s="57">
        <f>ROUND(F448*AP448,2)</f>
      </c>
      <c r="J448" s="57">
        <f>ROUND(F448*G448,2)</f>
      </c>
      <c r="K448" s="59" t="s">
        <v>140</v>
      </c>
      <c r="Z448" s="57">
        <f>ROUND(IF(AQ448="5",BJ448,0),2)</f>
      </c>
      <c r="AB448" s="57">
        <f>ROUND(IF(AQ448="1",BH448,0),2)</f>
      </c>
      <c r="AC448" s="57">
        <f>ROUND(IF(AQ448="1",BI448,0),2)</f>
      </c>
      <c r="AD448" s="57">
        <f>ROUND(IF(AQ448="7",BH448,0),2)</f>
      </c>
      <c r="AE448" s="57">
        <f>ROUND(IF(AQ448="7",BI448,0),2)</f>
      </c>
      <c r="AF448" s="57">
        <f>ROUND(IF(AQ448="2",BH448,0),2)</f>
      </c>
      <c r="AG448" s="57">
        <f>ROUND(IF(AQ448="2",BI448,0),2)</f>
      </c>
      <c r="AH448" s="57">
        <f>ROUND(IF(AQ448="0",BJ448,0),2)</f>
      </c>
      <c r="AI448" s="33" t="s">
        <v>1107</v>
      </c>
      <c r="AJ448" s="57">
        <f>IF(AN448=0,J448,0)</f>
      </c>
      <c r="AK448" s="57">
        <f>IF(AN448=12,J448,0)</f>
      </c>
      <c r="AL448" s="57">
        <f>IF(AN448=21,J448,0)</f>
      </c>
      <c r="AN448" s="57" t="n">
        <v>12</v>
      </c>
      <c r="AO448" s="57">
        <f>G448*0</f>
      </c>
      <c r="AP448" s="57">
        <f>G448*(1-0)</f>
      </c>
      <c r="AQ448" s="60" t="s">
        <v>383</v>
      </c>
      <c r="AV448" s="57">
        <f>ROUND(AW448+AX448,2)</f>
      </c>
      <c r="AW448" s="57">
        <f>ROUND(F448*AO448,2)</f>
      </c>
      <c r="AX448" s="57">
        <f>ROUND(F448*AP448,2)</f>
      </c>
      <c r="AY448" s="60" t="s">
        <v>1137</v>
      </c>
      <c r="AZ448" s="60" t="s">
        <v>1138</v>
      </c>
      <c r="BA448" s="33" t="s">
        <v>1112</v>
      </c>
      <c r="BB448" s="61" t="n">
        <v>100135</v>
      </c>
      <c r="BC448" s="57">
        <f>AW448+AX448</f>
      </c>
      <c r="BD448" s="57">
        <f>G448/(100-BE448)*100</f>
      </c>
      <c r="BE448" s="57" t="n">
        <v>0</v>
      </c>
      <c r="BF448" s="57">
        <f>448</f>
      </c>
      <c r="BH448" s="57">
        <f>F448*AO448</f>
      </c>
      <c r="BI448" s="57">
        <f>F448*AP448</f>
      </c>
      <c r="BJ448" s="57">
        <f>F448*G448</f>
      </c>
      <c r="BK448" s="60" t="s">
        <v>66</v>
      </c>
      <c r="BL448" s="57"/>
      <c r="BO448" s="57">
        <f>F448*G448</f>
      </c>
      <c r="BW448" s="57" t="n">
        <v>12</v>
      </c>
      <c r="BX448" s="16" t="s">
        <v>1141</v>
      </c>
    </row>
    <row r="449">
      <c r="A449" s="10" t="s">
        <v>1142</v>
      </c>
      <c r="B449" s="11" t="s">
        <v>1143</v>
      </c>
      <c r="C449" s="16" t="s">
        <v>1144</v>
      </c>
      <c r="D449" s="11"/>
      <c r="E449" s="11" t="s">
        <v>1123</v>
      </c>
      <c r="F449" s="57" t="n">
        <v>852</v>
      </c>
      <c r="G449" s="58" t="n">
        <v>0</v>
      </c>
      <c r="H449" s="57">
        <f>ROUND(F449*AO449,2)</f>
      </c>
      <c r="I449" s="57">
        <f>ROUND(F449*AP449,2)</f>
      </c>
      <c r="J449" s="57">
        <f>ROUND(F449*G449,2)</f>
      </c>
      <c r="K449" s="59" t="s">
        <v>140</v>
      </c>
      <c r="Z449" s="57">
        <f>ROUND(IF(AQ449="5",BJ449,0),2)</f>
      </c>
      <c r="AB449" s="57">
        <f>ROUND(IF(AQ449="1",BH449,0),2)</f>
      </c>
      <c r="AC449" s="57">
        <f>ROUND(IF(AQ449="1",BI449,0),2)</f>
      </c>
      <c r="AD449" s="57">
        <f>ROUND(IF(AQ449="7",BH449,0),2)</f>
      </c>
      <c r="AE449" s="57">
        <f>ROUND(IF(AQ449="7",BI449,0),2)</f>
      </c>
      <c r="AF449" s="57">
        <f>ROUND(IF(AQ449="2",BH449,0),2)</f>
      </c>
      <c r="AG449" s="57">
        <f>ROUND(IF(AQ449="2",BI449,0),2)</f>
      </c>
      <c r="AH449" s="57">
        <f>ROUND(IF(AQ449="0",BJ449,0),2)</f>
      </c>
      <c r="AI449" s="33" t="s">
        <v>1107</v>
      </c>
      <c r="AJ449" s="57">
        <f>IF(AN449=0,J449,0)</f>
      </c>
      <c r="AK449" s="57">
        <f>IF(AN449=12,J449,0)</f>
      </c>
      <c r="AL449" s="57">
        <f>IF(AN449=21,J449,0)</f>
      </c>
      <c r="AN449" s="57" t="n">
        <v>12</v>
      </c>
      <c r="AO449" s="57">
        <f>G449*0</f>
      </c>
      <c r="AP449" s="57">
        <f>G449*(1-0)</f>
      </c>
      <c r="AQ449" s="60" t="s">
        <v>383</v>
      </c>
      <c r="AV449" s="57">
        <f>ROUND(AW449+AX449,2)</f>
      </c>
      <c r="AW449" s="57">
        <f>ROUND(F449*AO449,2)</f>
      </c>
      <c r="AX449" s="57">
        <f>ROUND(F449*AP449,2)</f>
      </c>
      <c r="AY449" s="60" t="s">
        <v>1137</v>
      </c>
      <c r="AZ449" s="60" t="s">
        <v>1138</v>
      </c>
      <c r="BA449" s="33" t="s">
        <v>1112</v>
      </c>
      <c r="BB449" s="61" t="n">
        <v>100135</v>
      </c>
      <c r="BC449" s="57">
        <f>AW449+AX449</f>
      </c>
      <c r="BD449" s="57">
        <f>G449/(100-BE449)*100</f>
      </c>
      <c r="BE449" s="57" t="n">
        <v>0</v>
      </c>
      <c r="BF449" s="57">
        <f>449</f>
      </c>
      <c r="BH449" s="57">
        <f>F449*AO449</f>
      </c>
      <c r="BI449" s="57">
        <f>F449*AP449</f>
      </c>
      <c r="BJ449" s="57">
        <f>F449*G449</f>
      </c>
      <c r="BK449" s="60" t="s">
        <v>66</v>
      </c>
      <c r="BL449" s="57"/>
      <c r="BO449" s="57">
        <f>F449*G449</f>
      </c>
      <c r="BW449" s="57" t="n">
        <v>12</v>
      </c>
      <c r="BX449" s="16" t="s">
        <v>1144</v>
      </c>
    </row>
    <row r="450">
      <c r="A450" s="10" t="s">
        <v>1145</v>
      </c>
      <c r="B450" s="11" t="s">
        <v>1146</v>
      </c>
      <c r="C450" s="16" t="s">
        <v>1147</v>
      </c>
      <c r="D450" s="11"/>
      <c r="E450" s="11" t="s">
        <v>1123</v>
      </c>
      <c r="F450" s="57" t="n">
        <v>284</v>
      </c>
      <c r="G450" s="58" t="n">
        <v>0</v>
      </c>
      <c r="H450" s="57">
        <f>ROUND(F450*AO450,2)</f>
      </c>
      <c r="I450" s="57">
        <f>ROUND(F450*AP450,2)</f>
      </c>
      <c r="J450" s="57">
        <f>ROUND(F450*G450,2)</f>
      </c>
      <c r="K450" s="59" t="s">
        <v>140</v>
      </c>
      <c r="Z450" s="57">
        <f>ROUND(IF(AQ450="5",BJ450,0),2)</f>
      </c>
      <c r="AB450" s="57">
        <f>ROUND(IF(AQ450="1",BH450,0),2)</f>
      </c>
      <c r="AC450" s="57">
        <f>ROUND(IF(AQ450="1",BI450,0),2)</f>
      </c>
      <c r="AD450" s="57">
        <f>ROUND(IF(AQ450="7",BH450,0),2)</f>
      </c>
      <c r="AE450" s="57">
        <f>ROUND(IF(AQ450="7",BI450,0),2)</f>
      </c>
      <c r="AF450" s="57">
        <f>ROUND(IF(AQ450="2",BH450,0),2)</f>
      </c>
      <c r="AG450" s="57">
        <f>ROUND(IF(AQ450="2",BI450,0),2)</f>
      </c>
      <c r="AH450" s="57">
        <f>ROUND(IF(AQ450="0",BJ450,0),2)</f>
      </c>
      <c r="AI450" s="33" t="s">
        <v>1107</v>
      </c>
      <c r="AJ450" s="57">
        <f>IF(AN450=0,J450,0)</f>
      </c>
      <c r="AK450" s="57">
        <f>IF(AN450=12,J450,0)</f>
      </c>
      <c r="AL450" s="57">
        <f>IF(AN450=21,J450,0)</f>
      </c>
      <c r="AN450" s="57" t="n">
        <v>12</v>
      </c>
      <c r="AO450" s="57">
        <f>G450*0</f>
      </c>
      <c r="AP450" s="57">
        <f>G450*(1-0)</f>
      </c>
      <c r="AQ450" s="60" t="s">
        <v>383</v>
      </c>
      <c r="AV450" s="57">
        <f>ROUND(AW450+AX450,2)</f>
      </c>
      <c r="AW450" s="57">
        <f>ROUND(F450*AO450,2)</f>
      </c>
      <c r="AX450" s="57">
        <f>ROUND(F450*AP450,2)</f>
      </c>
      <c r="AY450" s="60" t="s">
        <v>1137</v>
      </c>
      <c r="AZ450" s="60" t="s">
        <v>1138</v>
      </c>
      <c r="BA450" s="33" t="s">
        <v>1112</v>
      </c>
      <c r="BB450" s="61" t="n">
        <v>100135</v>
      </c>
      <c r="BC450" s="57">
        <f>AW450+AX450</f>
      </c>
      <c r="BD450" s="57">
        <f>G450/(100-BE450)*100</f>
      </c>
      <c r="BE450" s="57" t="n">
        <v>0</v>
      </c>
      <c r="BF450" s="57">
        <f>450</f>
      </c>
      <c r="BH450" s="57">
        <f>F450*AO450</f>
      </c>
      <c r="BI450" s="57">
        <f>F450*AP450</f>
      </c>
      <c r="BJ450" s="57">
        <f>F450*G450</f>
      </c>
      <c r="BK450" s="60" t="s">
        <v>66</v>
      </c>
      <c r="BL450" s="57"/>
      <c r="BO450" s="57">
        <f>F450*G450</f>
      </c>
      <c r="BW450" s="57" t="n">
        <v>12</v>
      </c>
      <c r="BX450" s="16" t="s">
        <v>1147</v>
      </c>
    </row>
    <row r="451">
      <c r="A451" s="51" t="s">
        <v>53</v>
      </c>
      <c r="B451" s="52" t="s">
        <v>1148</v>
      </c>
      <c r="C451" s="53" t="s">
        <v>1149</v>
      </c>
      <c r="D451" s="52"/>
      <c r="E451" s="54" t="s">
        <v>4</v>
      </c>
      <c r="F451" s="54" t="s">
        <v>4</v>
      </c>
      <c r="G451" s="55" t="s">
        <v>4</v>
      </c>
      <c r="H451" s="2">
        <f>ROUND(SUM(H452:H453),2)</f>
      </c>
      <c r="I451" s="2">
        <f>ROUND(SUM(I452:I453),2)</f>
      </c>
      <c r="J451" s="2">
        <f>ROUND(SUM(J452:J453),2)</f>
      </c>
      <c r="K451" s="56" t="s">
        <v>53</v>
      </c>
      <c r="AI451" s="33" t="s">
        <v>1107</v>
      </c>
      <c r="AS451" s="2">
        <f>SUM(AJ452:AJ453)</f>
      </c>
      <c r="AT451" s="2">
        <f>SUM(AK452:AK453)</f>
      </c>
      <c r="AU451" s="2">
        <f>SUM(AL452:AL453)</f>
      </c>
    </row>
    <row r="452">
      <c r="A452" s="10" t="s">
        <v>1150</v>
      </c>
      <c r="B452" s="11" t="s">
        <v>1151</v>
      </c>
      <c r="C452" s="16" t="s">
        <v>1152</v>
      </c>
      <c r="D452" s="11"/>
      <c r="E452" s="11" t="s">
        <v>1123</v>
      </c>
      <c r="F452" s="57" t="n">
        <v>1</v>
      </c>
      <c r="G452" s="58" t="n">
        <v>0</v>
      </c>
      <c r="H452" s="57">
        <f>ROUND(F452*AO452,2)</f>
      </c>
      <c r="I452" s="57">
        <f>ROUND(F452*AP452,2)</f>
      </c>
      <c r="J452" s="57">
        <f>ROUND(F452*G452,2)</f>
      </c>
      <c r="K452" s="59" t="s">
        <v>140</v>
      </c>
      <c r="Z452" s="57">
        <f>ROUND(IF(AQ452="5",BJ452,0),2)</f>
      </c>
      <c r="AB452" s="57">
        <f>ROUND(IF(AQ452="1",BH452,0),2)</f>
      </c>
      <c r="AC452" s="57">
        <f>ROUND(IF(AQ452="1",BI452,0),2)</f>
      </c>
      <c r="AD452" s="57">
        <f>ROUND(IF(AQ452="7",BH452,0),2)</f>
      </c>
      <c r="AE452" s="57">
        <f>ROUND(IF(AQ452="7",BI452,0),2)</f>
      </c>
      <c r="AF452" s="57">
        <f>ROUND(IF(AQ452="2",BH452,0),2)</f>
      </c>
      <c r="AG452" s="57">
        <f>ROUND(IF(AQ452="2",BI452,0),2)</f>
      </c>
      <c r="AH452" s="57">
        <f>ROUND(IF(AQ452="0",BJ452,0),2)</f>
      </c>
      <c r="AI452" s="33" t="s">
        <v>1107</v>
      </c>
      <c r="AJ452" s="57">
        <f>IF(AN452=0,J452,0)</f>
      </c>
      <c r="AK452" s="57">
        <f>IF(AN452=12,J452,0)</f>
      </c>
      <c r="AL452" s="57">
        <f>IF(AN452=21,J452,0)</f>
      </c>
      <c r="AN452" s="57" t="n">
        <v>12</v>
      </c>
      <c r="AO452" s="57">
        <f>G452*0</f>
      </c>
      <c r="AP452" s="57">
        <f>G452*(1-0)</f>
      </c>
      <c r="AQ452" s="60" t="s">
        <v>383</v>
      </c>
      <c r="AV452" s="57">
        <f>ROUND(AW452+AX452,2)</f>
      </c>
      <c r="AW452" s="57">
        <f>ROUND(F452*AO452,2)</f>
      </c>
      <c r="AX452" s="57">
        <f>ROUND(F452*AP452,2)</f>
      </c>
      <c r="AY452" s="60" t="s">
        <v>1153</v>
      </c>
      <c r="AZ452" s="60" t="s">
        <v>1154</v>
      </c>
      <c r="BA452" s="33" t="s">
        <v>1112</v>
      </c>
      <c r="BB452" s="61" t="n">
        <v>100137</v>
      </c>
      <c r="BC452" s="57">
        <f>AW452+AX452</f>
      </c>
      <c r="BD452" s="57">
        <f>G452/(100-BE452)*100</f>
      </c>
      <c r="BE452" s="57" t="n">
        <v>0</v>
      </c>
      <c r="BF452" s="57">
        <f>452</f>
      </c>
      <c r="BH452" s="57">
        <f>F452*AO452</f>
      </c>
      <c r="BI452" s="57">
        <f>F452*AP452</f>
      </c>
      <c r="BJ452" s="57">
        <f>F452*G452</f>
      </c>
      <c r="BK452" s="60" t="s">
        <v>66</v>
      </c>
      <c r="BL452" s="57"/>
      <c r="BP452" s="57">
        <f>F452*G452</f>
      </c>
      <c r="BW452" s="57" t="n">
        <v>12</v>
      </c>
      <c r="BX452" s="16" t="s">
        <v>1152</v>
      </c>
    </row>
    <row r="453">
      <c r="A453" s="10" t="s">
        <v>1155</v>
      </c>
      <c r="B453" s="11" t="s">
        <v>1156</v>
      </c>
      <c r="C453" s="16" t="s">
        <v>1157</v>
      </c>
      <c r="D453" s="11"/>
      <c r="E453" s="11" t="s">
        <v>1123</v>
      </c>
      <c r="F453" s="57" t="n">
        <v>1</v>
      </c>
      <c r="G453" s="58" t="n">
        <v>0</v>
      </c>
      <c r="H453" s="57">
        <f>ROUND(F453*AO453,2)</f>
      </c>
      <c r="I453" s="57">
        <f>ROUND(F453*AP453,2)</f>
      </c>
      <c r="J453" s="57">
        <f>ROUND(F453*G453,2)</f>
      </c>
      <c r="K453" s="59" t="s">
        <v>140</v>
      </c>
      <c r="Z453" s="57">
        <f>ROUND(IF(AQ453="5",BJ453,0),2)</f>
      </c>
      <c r="AB453" s="57">
        <f>ROUND(IF(AQ453="1",BH453,0),2)</f>
      </c>
      <c r="AC453" s="57">
        <f>ROUND(IF(AQ453="1",BI453,0),2)</f>
      </c>
      <c r="AD453" s="57">
        <f>ROUND(IF(AQ453="7",BH453,0),2)</f>
      </c>
      <c r="AE453" s="57">
        <f>ROUND(IF(AQ453="7",BI453,0),2)</f>
      </c>
      <c r="AF453" s="57">
        <f>ROUND(IF(AQ453="2",BH453,0),2)</f>
      </c>
      <c r="AG453" s="57">
        <f>ROUND(IF(AQ453="2",BI453,0),2)</f>
      </c>
      <c r="AH453" s="57">
        <f>ROUND(IF(AQ453="0",BJ453,0),2)</f>
      </c>
      <c r="AI453" s="33" t="s">
        <v>1107</v>
      </c>
      <c r="AJ453" s="57">
        <f>IF(AN453=0,J453,0)</f>
      </c>
      <c r="AK453" s="57">
        <f>IF(AN453=12,J453,0)</f>
      </c>
      <c r="AL453" s="57">
        <f>IF(AN453=21,J453,0)</f>
      </c>
      <c r="AN453" s="57" t="n">
        <v>12</v>
      </c>
      <c r="AO453" s="57">
        <f>G453*0</f>
      </c>
      <c r="AP453" s="57">
        <f>G453*(1-0)</f>
      </c>
      <c r="AQ453" s="60" t="s">
        <v>383</v>
      </c>
      <c r="AV453" s="57">
        <f>ROUND(AW453+AX453,2)</f>
      </c>
      <c r="AW453" s="57">
        <f>ROUND(F453*AO453,2)</f>
      </c>
      <c r="AX453" s="57">
        <f>ROUND(F453*AP453,2)</f>
      </c>
      <c r="AY453" s="60" t="s">
        <v>1153</v>
      </c>
      <c r="AZ453" s="60" t="s">
        <v>1154</v>
      </c>
      <c r="BA453" s="33" t="s">
        <v>1112</v>
      </c>
      <c r="BB453" s="61" t="n">
        <v>100137</v>
      </c>
      <c r="BC453" s="57">
        <f>AW453+AX453</f>
      </c>
      <c r="BD453" s="57">
        <f>G453/(100-BE453)*100</f>
      </c>
      <c r="BE453" s="57" t="n">
        <v>0</v>
      </c>
      <c r="BF453" s="57">
        <f>453</f>
      </c>
      <c r="BH453" s="57">
        <f>F453*AO453</f>
      </c>
      <c r="BI453" s="57">
        <f>F453*AP453</f>
      </c>
      <c r="BJ453" s="57">
        <f>F453*G453</f>
      </c>
      <c r="BK453" s="60" t="s">
        <v>66</v>
      </c>
      <c r="BL453" s="57"/>
      <c r="BP453" s="57">
        <f>F453*G453</f>
      </c>
      <c r="BW453" s="57" t="n">
        <v>12</v>
      </c>
      <c r="BX453" s="16" t="s">
        <v>1157</v>
      </c>
    </row>
    <row r="454">
      <c r="A454" s="51" t="s">
        <v>53</v>
      </c>
      <c r="B454" s="52" t="s">
        <v>1158</v>
      </c>
      <c r="C454" s="53" t="s">
        <v>1159</v>
      </c>
      <c r="D454" s="52"/>
      <c r="E454" s="54" t="s">
        <v>4</v>
      </c>
      <c r="F454" s="54" t="s">
        <v>4</v>
      </c>
      <c r="G454" s="55" t="s">
        <v>4</v>
      </c>
      <c r="H454" s="2">
        <f>ROUND(SUM(H455:H455),2)</f>
      </c>
      <c r="I454" s="2">
        <f>ROUND(SUM(I455:I455),2)</f>
      </c>
      <c r="J454" s="2">
        <f>ROUND(SUM(J455:J455),2)</f>
      </c>
      <c r="K454" s="56" t="s">
        <v>53</v>
      </c>
      <c r="AI454" s="33" t="s">
        <v>1107</v>
      </c>
      <c r="AS454" s="2">
        <f>SUM(AJ455:AJ455)</f>
      </c>
      <c r="AT454" s="2">
        <f>SUM(AK455:AK455)</f>
      </c>
      <c r="AU454" s="2">
        <f>SUM(AL455:AL455)</f>
      </c>
    </row>
    <row r="455">
      <c r="A455" s="68" t="s">
        <v>1160</v>
      </c>
      <c r="B455" s="69" t="s">
        <v>1161</v>
      </c>
      <c r="C455" s="70" t="s">
        <v>1162</v>
      </c>
      <c r="D455" s="69"/>
      <c r="E455" s="69" t="s">
        <v>1123</v>
      </c>
      <c r="F455" s="71" t="n">
        <v>1</v>
      </c>
      <c r="G455" s="72" t="n">
        <v>0</v>
      </c>
      <c r="H455" s="71">
        <f>ROUND(F455*AO455,2)</f>
      </c>
      <c r="I455" s="71">
        <f>ROUND(F455*AP455,2)</f>
      </c>
      <c r="J455" s="71">
        <f>ROUND(F455*G455,2)</f>
      </c>
      <c r="K455" s="73" t="s">
        <v>140</v>
      </c>
      <c r="Z455" s="57">
        <f>ROUND(IF(AQ455="5",BJ455,0),2)</f>
      </c>
      <c r="AB455" s="57">
        <f>ROUND(IF(AQ455="1",BH455,0),2)</f>
      </c>
      <c r="AC455" s="57">
        <f>ROUND(IF(AQ455="1",BI455,0),2)</f>
      </c>
      <c r="AD455" s="57">
        <f>ROUND(IF(AQ455="7",BH455,0),2)</f>
      </c>
      <c r="AE455" s="57">
        <f>ROUND(IF(AQ455="7",BI455,0),2)</f>
      </c>
      <c r="AF455" s="57">
        <f>ROUND(IF(AQ455="2",BH455,0),2)</f>
      </c>
      <c r="AG455" s="57">
        <f>ROUND(IF(AQ455="2",BI455,0),2)</f>
      </c>
      <c r="AH455" s="57">
        <f>ROUND(IF(AQ455="0",BJ455,0),2)</f>
      </c>
      <c r="AI455" s="33" t="s">
        <v>1107</v>
      </c>
      <c r="AJ455" s="57">
        <f>IF(AN455=0,J455,0)</f>
      </c>
      <c r="AK455" s="57">
        <f>IF(AN455=12,J455,0)</f>
      </c>
      <c r="AL455" s="57">
        <f>IF(AN455=21,J455,0)</f>
      </c>
      <c r="AN455" s="57" t="n">
        <v>12</v>
      </c>
      <c r="AO455" s="57">
        <f>G455*0</f>
      </c>
      <c r="AP455" s="57">
        <f>G455*(1-0)</f>
      </c>
      <c r="AQ455" s="60" t="s">
        <v>383</v>
      </c>
      <c r="AV455" s="57">
        <f>ROUND(AW455+AX455,2)</f>
      </c>
      <c r="AW455" s="57">
        <f>ROUND(F455*AO455,2)</f>
      </c>
      <c r="AX455" s="57">
        <f>ROUND(F455*AP455,2)</f>
      </c>
      <c r="AY455" s="60" t="s">
        <v>1163</v>
      </c>
      <c r="AZ455" s="60" t="s">
        <v>1164</v>
      </c>
      <c r="BA455" s="33" t="s">
        <v>1112</v>
      </c>
      <c r="BB455" s="61" t="n">
        <v>100138</v>
      </c>
      <c r="BC455" s="57">
        <f>AW455+AX455</f>
      </c>
      <c r="BD455" s="57">
        <f>G455/(100-BE455)*100</f>
      </c>
      <c r="BE455" s="57" t="n">
        <v>0</v>
      </c>
      <c r="BF455" s="57">
        <f>455</f>
      </c>
      <c r="BH455" s="57">
        <f>F455*AO455</f>
      </c>
      <c r="BI455" s="57">
        <f>F455*AP455</f>
      </c>
      <c r="BJ455" s="57">
        <f>F455*G455</f>
      </c>
      <c r="BK455" s="60" t="s">
        <v>66</v>
      </c>
      <c r="BL455" s="57"/>
      <c r="BS455" s="57">
        <f>F455*G455</f>
      </c>
      <c r="BW455" s="57" t="n">
        <v>12</v>
      </c>
      <c r="BX455" s="16" t="s">
        <v>1162</v>
      </c>
    </row>
    <row r="456">
      <c r="H456" s="74" t="s">
        <v>1165</v>
      </c>
      <c r="I456" s="74"/>
      <c r="J456" s="75">
        <f>ROUND(SUM(J13,J19,J21,J24,J27,J33,J42,J47,J117,J126,J130,J142,J154,J164,J169,J173,J183,J203,J211,J216,J220,J222,J227,J232,J243,J249,J255,J257,J259,J266,J272,J274,J280,J312,J367,J372,J376,J379,J382,J385,J390,J392,J403,J410,J432,J438,J442,J446,J451,J454),2)</f>
      </c>
    </row>
    <row r="457">
      <c r="A457" s="76" t="s">
        <v>1166</v>
      </c>
    </row>
    <row r="458" customHeight="true" ht="12.75">
      <c r="A458" s="16" t="s">
        <v>53</v>
      </c>
      <c r="B458" s="11"/>
      <c r="C458" s="11"/>
      <c r="D458" s="11"/>
      <c r="E458" s="11"/>
      <c r="F458" s="11"/>
      <c r="G458" s="11"/>
      <c r="H458" s="11"/>
      <c r="I458" s="11"/>
      <c r="J458" s="11"/>
      <c r="K458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8A17"/>
  <mergeCells>
    <mergeCell ref="A1:K1"/>
    <mergeCell ref="A2:B3"/>
    <mergeCell ref="A4:B5"/>
    <mergeCell ref="A6:B7"/>
    <mergeCell ref="A8:B9"/>
    <mergeCell ref="E2:F3"/>
    <mergeCell ref="E4:F5"/>
    <mergeCell ref="E6:F7"/>
    <mergeCell ref="E8:F9"/>
    <mergeCell ref="H2:H3"/>
    <mergeCell ref="H4:H5"/>
    <mergeCell ref="H6:H7"/>
    <mergeCell ref="H8:H9"/>
    <mergeCell ref="C2:D3"/>
    <mergeCell ref="C4:D5"/>
    <mergeCell ref="C6:D7"/>
    <mergeCell ref="C8:D9"/>
    <mergeCell ref="G2:G3"/>
    <mergeCell ref="G4:G5"/>
    <mergeCell ref="G6:G7"/>
    <mergeCell ref="G8:G9"/>
    <mergeCell ref="I2:K3"/>
    <mergeCell ref="I4:K5"/>
    <mergeCell ref="I6:K7"/>
    <mergeCell ref="I8:K9"/>
    <mergeCell ref="C10:D10"/>
    <mergeCell ref="C11:D11"/>
    <mergeCell ref="H10:J10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K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K36"/>
    <mergeCell ref="C37:D37"/>
    <mergeCell ref="C38:K38"/>
    <mergeCell ref="C39:D39"/>
    <mergeCell ref="C40:K40"/>
    <mergeCell ref="C41:D41"/>
    <mergeCell ref="C42:D42"/>
    <mergeCell ref="C43:D43"/>
    <mergeCell ref="C44:K44"/>
    <mergeCell ref="C45:D45"/>
    <mergeCell ref="C46:D46"/>
    <mergeCell ref="C47:D47"/>
    <mergeCell ref="C48:D48"/>
    <mergeCell ref="C49:D49"/>
    <mergeCell ref="C50:D50"/>
    <mergeCell ref="C51:K51"/>
    <mergeCell ref="C52:D52"/>
    <mergeCell ref="C53:D53"/>
    <mergeCell ref="C54:D54"/>
    <mergeCell ref="C55:D55"/>
    <mergeCell ref="C56:K56"/>
    <mergeCell ref="C57:D57"/>
    <mergeCell ref="C58:K58"/>
    <mergeCell ref="C59:D59"/>
    <mergeCell ref="C60:K60"/>
    <mergeCell ref="C61:D61"/>
    <mergeCell ref="C62:K62"/>
    <mergeCell ref="C63:D63"/>
    <mergeCell ref="C64:K64"/>
    <mergeCell ref="C65:D65"/>
    <mergeCell ref="C66:K66"/>
    <mergeCell ref="C67:D67"/>
    <mergeCell ref="C68:K68"/>
    <mergeCell ref="C69:D69"/>
    <mergeCell ref="C70:K70"/>
    <mergeCell ref="C71:D71"/>
    <mergeCell ref="C72:K72"/>
    <mergeCell ref="C73:D73"/>
    <mergeCell ref="C74:K74"/>
    <mergeCell ref="C75:D75"/>
    <mergeCell ref="C76:K76"/>
    <mergeCell ref="C77:D77"/>
    <mergeCell ref="C78:D78"/>
    <mergeCell ref="C79:K79"/>
    <mergeCell ref="C80:D80"/>
    <mergeCell ref="C81:K81"/>
    <mergeCell ref="C82:D82"/>
    <mergeCell ref="C83:K83"/>
    <mergeCell ref="C84:D84"/>
    <mergeCell ref="C85:K85"/>
    <mergeCell ref="C86:D86"/>
    <mergeCell ref="C87:D87"/>
    <mergeCell ref="C88:K88"/>
    <mergeCell ref="C89:D89"/>
    <mergeCell ref="C90:K90"/>
    <mergeCell ref="C91:D91"/>
    <mergeCell ref="C92:K92"/>
    <mergeCell ref="C93:D93"/>
    <mergeCell ref="C94:D94"/>
    <mergeCell ref="C95:K95"/>
    <mergeCell ref="C96:D96"/>
    <mergeCell ref="C97:K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K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K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K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50:D250"/>
    <mergeCell ref="C251:K251"/>
    <mergeCell ref="C252:D252"/>
    <mergeCell ref="C253:D253"/>
    <mergeCell ref="C254:D254"/>
    <mergeCell ref="C255:D255"/>
    <mergeCell ref="C256:D256"/>
    <mergeCell ref="C257:D257"/>
    <mergeCell ref="C258:D258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C267:D267"/>
    <mergeCell ref="C268:K268"/>
    <mergeCell ref="C269:D269"/>
    <mergeCell ref="C270:K270"/>
    <mergeCell ref="C271:D271"/>
    <mergeCell ref="C272:D272"/>
    <mergeCell ref="C273:D273"/>
    <mergeCell ref="C274:D274"/>
    <mergeCell ref="C275:D275"/>
    <mergeCell ref="C276:D276"/>
    <mergeCell ref="C277:D277"/>
    <mergeCell ref="C278:D278"/>
    <mergeCell ref="C279:D279"/>
    <mergeCell ref="C280:D280"/>
    <mergeCell ref="C281:D281"/>
    <mergeCell ref="C282:D282"/>
    <mergeCell ref="C283:D283"/>
    <mergeCell ref="C284:D284"/>
    <mergeCell ref="C285:D285"/>
    <mergeCell ref="C286:D286"/>
    <mergeCell ref="C287:D287"/>
    <mergeCell ref="C288:D288"/>
    <mergeCell ref="C289:D289"/>
    <mergeCell ref="C290:D290"/>
    <mergeCell ref="C291:D291"/>
    <mergeCell ref="C292:K292"/>
    <mergeCell ref="C293:D293"/>
    <mergeCell ref="C294:D294"/>
    <mergeCell ref="C295:D295"/>
    <mergeCell ref="C296:K296"/>
    <mergeCell ref="C297:D297"/>
    <mergeCell ref="C298:D298"/>
    <mergeCell ref="C299:D299"/>
    <mergeCell ref="C300:D300"/>
    <mergeCell ref="C301:K301"/>
    <mergeCell ref="C302:D302"/>
    <mergeCell ref="C303:D303"/>
    <mergeCell ref="C304:K304"/>
    <mergeCell ref="C305:D305"/>
    <mergeCell ref="C306:D306"/>
    <mergeCell ref="C307:D307"/>
    <mergeCell ref="C308:D308"/>
    <mergeCell ref="C309:D309"/>
    <mergeCell ref="C310:D310"/>
    <mergeCell ref="C311:D311"/>
    <mergeCell ref="C312:D312"/>
    <mergeCell ref="C313:D313"/>
    <mergeCell ref="C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32:D332"/>
    <mergeCell ref="C333:D333"/>
    <mergeCell ref="C334:D334"/>
    <mergeCell ref="C335:D335"/>
    <mergeCell ref="C336:D336"/>
    <mergeCell ref="C337:D337"/>
    <mergeCell ref="C338:D338"/>
    <mergeCell ref="C339:D339"/>
    <mergeCell ref="C340:D340"/>
    <mergeCell ref="C341:D341"/>
    <mergeCell ref="C342:D342"/>
    <mergeCell ref="C343:D343"/>
    <mergeCell ref="C344:D344"/>
    <mergeCell ref="C345:D345"/>
    <mergeCell ref="C346:D346"/>
    <mergeCell ref="C347:D347"/>
    <mergeCell ref="C348:D348"/>
    <mergeCell ref="C349:D349"/>
    <mergeCell ref="C350:D350"/>
    <mergeCell ref="C351:D351"/>
    <mergeCell ref="C352:D352"/>
    <mergeCell ref="C353:D353"/>
    <mergeCell ref="C354:D354"/>
    <mergeCell ref="C355:D355"/>
    <mergeCell ref="C356:D356"/>
    <mergeCell ref="C357:D357"/>
    <mergeCell ref="C358:D358"/>
    <mergeCell ref="C359:D359"/>
    <mergeCell ref="C360:D360"/>
    <mergeCell ref="C361:D361"/>
    <mergeCell ref="C362:D362"/>
    <mergeCell ref="C363:D363"/>
    <mergeCell ref="C364:D364"/>
    <mergeCell ref="C365:D365"/>
    <mergeCell ref="C366:D366"/>
    <mergeCell ref="C367:D367"/>
    <mergeCell ref="C368:D368"/>
    <mergeCell ref="C369:D369"/>
    <mergeCell ref="C370:K370"/>
    <mergeCell ref="C371:D371"/>
    <mergeCell ref="C372:D372"/>
    <mergeCell ref="C373:D373"/>
    <mergeCell ref="C374:D374"/>
    <mergeCell ref="C375:D375"/>
    <mergeCell ref="C376:D376"/>
    <mergeCell ref="C377:D377"/>
    <mergeCell ref="C378:D378"/>
    <mergeCell ref="C379:D379"/>
    <mergeCell ref="C380:D380"/>
    <mergeCell ref="C381:K381"/>
    <mergeCell ref="C382:D382"/>
    <mergeCell ref="C383:D383"/>
    <mergeCell ref="C384:D384"/>
    <mergeCell ref="C385:D385"/>
    <mergeCell ref="C386:D386"/>
    <mergeCell ref="C387:D387"/>
    <mergeCell ref="C388:D388"/>
    <mergeCell ref="C389:D389"/>
    <mergeCell ref="C390:D390"/>
    <mergeCell ref="C391:D391"/>
    <mergeCell ref="C392:D392"/>
    <mergeCell ref="C393:D393"/>
    <mergeCell ref="C394:D394"/>
    <mergeCell ref="C395:D395"/>
    <mergeCell ref="C396:D396"/>
    <mergeCell ref="C397:D397"/>
    <mergeCell ref="C398:D398"/>
    <mergeCell ref="C399:D399"/>
    <mergeCell ref="C400:D400"/>
    <mergeCell ref="C401:D401"/>
    <mergeCell ref="C402:D402"/>
    <mergeCell ref="C403:D403"/>
    <mergeCell ref="C404:D404"/>
    <mergeCell ref="C405:K405"/>
    <mergeCell ref="C406:D406"/>
    <mergeCell ref="C407:K407"/>
    <mergeCell ref="C408:D408"/>
    <mergeCell ref="C409:K409"/>
    <mergeCell ref="C410:D410"/>
    <mergeCell ref="C411:D411"/>
    <mergeCell ref="C412:D412"/>
    <mergeCell ref="C413:D413"/>
    <mergeCell ref="C414:K414"/>
    <mergeCell ref="C415:D415"/>
    <mergeCell ref="C416:K416"/>
    <mergeCell ref="C417:D417"/>
    <mergeCell ref="C418:K418"/>
    <mergeCell ref="C419:D419"/>
    <mergeCell ref="C420:K420"/>
    <mergeCell ref="C421:D421"/>
    <mergeCell ref="C422:K422"/>
    <mergeCell ref="C423:D423"/>
    <mergeCell ref="C424:K424"/>
    <mergeCell ref="C425:D425"/>
    <mergeCell ref="C426:K426"/>
    <mergeCell ref="C427:D427"/>
    <mergeCell ref="C428:K428"/>
    <mergeCell ref="C429:D429"/>
    <mergeCell ref="C430:K430"/>
    <mergeCell ref="C431:D431"/>
    <mergeCell ref="C432:D432"/>
    <mergeCell ref="C433:D433"/>
    <mergeCell ref="C434:D434"/>
    <mergeCell ref="C435:D435"/>
    <mergeCell ref="C436:D436"/>
    <mergeCell ref="C437:D437"/>
    <mergeCell ref="C438:D438"/>
    <mergeCell ref="C439:D439"/>
    <mergeCell ref="C440:D440"/>
    <mergeCell ref="C441:D441"/>
    <mergeCell ref="C442:D442"/>
    <mergeCell ref="C443:D443"/>
    <mergeCell ref="C444:D444"/>
    <mergeCell ref="C445:D445"/>
    <mergeCell ref="C446:D446"/>
    <mergeCell ref="C447:D447"/>
    <mergeCell ref="C448:D448"/>
    <mergeCell ref="C449:D449"/>
    <mergeCell ref="C450:D450"/>
    <mergeCell ref="C451:D451"/>
    <mergeCell ref="C452:D452"/>
    <mergeCell ref="C453:D453"/>
    <mergeCell ref="C454:D454"/>
    <mergeCell ref="C455:D455"/>
    <mergeCell ref="H456:I456"/>
    <mergeCell ref="A458:K458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67"/>
  <sheetViews>
    <sheetView workbookViewId="0" showZeros="true" showFormulas="false" showGridLines="true" showRowColHeaders="true">
      <pane topLeftCell="A12" state="frozen" activePane="bottomLeft" ySplit="11"/>
      <selection pane="bottomLeft" sqref="C66:D66" activeCell="C66"/>
    </sheetView>
  </sheetViews>
  <sheetFormatPr defaultColWidth="12.140625" customHeight="true" defaultRowHeight="15"/>
  <cols>
    <col max="2" min="1" style="0" width="8.5703125" customWidth="true"/>
    <col max="3" min="3" style="0" width="71.42578125" customWidth="true"/>
    <col max="4" min="4" style="0" width="12.140625" customWidth="true"/>
    <col max="7" min="5" style="0" width="27.85546875" customWidth="true"/>
    <col max="9" min="8" style="0" width="0" customWidth="true" hidden="true"/>
  </cols>
  <sheetData>
    <row r="1" customHeight="true" ht="54.75">
      <c r="A1" s="1" t="s">
        <v>1167</v>
      </c>
      <c r="B1" s="1"/>
      <c r="C1" s="1"/>
      <c r="D1" s="1"/>
      <c r="E1" s="1"/>
      <c r="F1" s="1"/>
      <c r="G1" s="1"/>
    </row>
    <row r="2">
      <c r="A2" s="3" t="s">
        <v>1</v>
      </c>
      <c r="B2" s="4"/>
      <c r="C2" s="5">
        <f>'Stavební rozpočet'!C2</f>
      </c>
      <c r="D2" s="4" t="s">
        <v>3</v>
      </c>
      <c r="E2" s="4" t="s">
        <v>4</v>
      </c>
      <c r="F2" s="8" t="s">
        <v>5</v>
      </c>
      <c r="G2" s="77">
        <f>'Stavební rozpočet'!I2</f>
      </c>
    </row>
    <row r="3" customHeight="true" ht="15">
      <c r="A3" s="10"/>
      <c r="B3" s="11"/>
      <c r="C3" s="12"/>
      <c r="D3" s="11"/>
      <c r="E3" s="11"/>
      <c r="F3" s="11"/>
      <c r="G3" s="14"/>
    </row>
    <row r="4">
      <c r="A4" s="15" t="s">
        <v>7</v>
      </c>
      <c r="B4" s="11"/>
      <c r="C4" s="16">
        <f>'Stavební rozpočet'!C4</f>
      </c>
      <c r="D4" s="11" t="s">
        <v>9</v>
      </c>
      <c r="E4" s="11" t="s">
        <v>10</v>
      </c>
      <c r="F4" s="16" t="s">
        <v>11</v>
      </c>
      <c r="G4" s="78">
        <f>'Stavební rozpočet'!I4</f>
      </c>
    </row>
    <row r="5" customHeight="true" ht="15">
      <c r="A5" s="10"/>
      <c r="B5" s="11"/>
      <c r="C5" s="11"/>
      <c r="D5" s="11"/>
      <c r="E5" s="11"/>
      <c r="F5" s="11"/>
      <c r="G5" s="14"/>
    </row>
    <row r="6">
      <c r="A6" s="15" t="s">
        <v>13</v>
      </c>
      <c r="B6" s="11"/>
      <c r="C6" s="16">
        <f>'Stavební rozpočet'!C6</f>
      </c>
      <c r="D6" s="11" t="s">
        <v>15</v>
      </c>
      <c r="E6" s="11" t="s">
        <v>4</v>
      </c>
      <c r="F6" s="16" t="s">
        <v>16</v>
      </c>
      <c r="G6" s="78">
        <f>'Stavební rozpočet'!I6</f>
      </c>
    </row>
    <row r="7" customHeight="true" ht="15">
      <c r="A7" s="10"/>
      <c r="B7" s="11"/>
      <c r="C7" s="11"/>
      <c r="D7" s="11"/>
      <c r="E7" s="11"/>
      <c r="F7" s="11"/>
      <c r="G7" s="14"/>
    </row>
    <row r="8">
      <c r="A8" s="15" t="s">
        <v>22</v>
      </c>
      <c r="B8" s="11"/>
      <c r="C8" s="16">
        <f>'Stavební rozpočet'!I8</f>
      </c>
      <c r="D8" s="11" t="s">
        <v>20</v>
      </c>
      <c r="E8" s="11" t="s">
        <v>21</v>
      </c>
      <c r="F8" s="11" t="s">
        <v>20</v>
      </c>
      <c r="G8" s="78">
        <f>'Stavební rozpočet'!G8</f>
      </c>
    </row>
    <row r="9">
      <c r="A9" s="19"/>
      <c r="B9" s="20"/>
      <c r="C9" s="20"/>
      <c r="D9" s="69"/>
      <c r="E9" s="20"/>
      <c r="F9" s="20"/>
      <c r="G9" s="79"/>
    </row>
    <row r="10">
      <c r="A10" s="80" t="s">
        <v>1168</v>
      </c>
      <c r="B10" s="81" t="s">
        <v>25</v>
      </c>
      <c r="C10" s="82" t="s">
        <v>1169</v>
      </c>
      <c r="E10" s="83" t="s">
        <v>1170</v>
      </c>
      <c r="F10" s="84" t="s">
        <v>1171</v>
      </c>
      <c r="G10" s="84" t="s">
        <v>1172</v>
      </c>
    </row>
    <row r="11">
      <c r="A11" s="85" t="s">
        <v>57</v>
      </c>
      <c r="B11" s="86" t="s">
        <v>53</v>
      </c>
      <c r="C11" s="11" t="s">
        <v>54</v>
      </c>
      <c r="D11" s="11"/>
      <c r="E11" s="87">
        <f>ROUND('Stavební rozpočet'!H12,2)</f>
      </c>
      <c r="F11" s="87">
        <f>ROUND('Stavební rozpočet'!I12,2)</f>
      </c>
      <c r="G11" s="87">
        <f>ROUND('Stavební rozpočet'!J12,2)</f>
      </c>
      <c r="H11" s="60" t="s">
        <v>1173</v>
      </c>
      <c r="I11" s="57">
        <f>IF(H11="F",0,G11)</f>
      </c>
    </row>
    <row r="12">
      <c r="A12" s="10" t="s">
        <v>57</v>
      </c>
      <c r="B12" s="11" t="s">
        <v>55</v>
      </c>
      <c r="C12" s="11" t="s">
        <v>56</v>
      </c>
      <c r="D12" s="11"/>
      <c r="E12" s="57">
        <f>ROUND('Stavební rozpočet'!H13,2)</f>
      </c>
      <c r="F12" s="57">
        <f>ROUND('Stavební rozpočet'!I13,2)</f>
      </c>
      <c r="G12" s="57">
        <f>ROUND('Stavební rozpočet'!J13,2)</f>
      </c>
      <c r="H12" s="60" t="s">
        <v>1174</v>
      </c>
      <c r="I12" s="57">
        <f>IF(H12="F",0,G12)</f>
      </c>
    </row>
    <row r="13">
      <c r="A13" s="10" t="s">
        <v>57</v>
      </c>
      <c r="B13" s="11" t="s">
        <v>79</v>
      </c>
      <c r="C13" s="11" t="s">
        <v>80</v>
      </c>
      <c r="D13" s="11"/>
      <c r="E13" s="57">
        <f>ROUND('Stavební rozpočet'!H19,2)</f>
      </c>
      <c r="F13" s="57">
        <f>ROUND('Stavební rozpočet'!I19,2)</f>
      </c>
      <c r="G13" s="57">
        <f>ROUND('Stavební rozpočet'!J19,2)</f>
      </c>
      <c r="H13" s="60" t="s">
        <v>1174</v>
      </c>
      <c r="I13" s="57">
        <f>IF(H13="F",0,G13)</f>
      </c>
    </row>
    <row r="14">
      <c r="A14" s="10" t="s">
        <v>57</v>
      </c>
      <c r="B14" s="11" t="s">
        <v>87</v>
      </c>
      <c r="C14" s="11" t="s">
        <v>88</v>
      </c>
      <c r="D14" s="11"/>
      <c r="E14" s="57">
        <f>ROUND('Stavební rozpočet'!H21,2)</f>
      </c>
      <c r="F14" s="57">
        <f>ROUND('Stavební rozpočet'!I21,2)</f>
      </c>
      <c r="G14" s="57">
        <f>ROUND('Stavební rozpočet'!J21,2)</f>
      </c>
      <c r="H14" s="60" t="s">
        <v>1174</v>
      </c>
      <c r="I14" s="57">
        <f>IF(H14="F",0,G14)</f>
      </c>
    </row>
    <row r="15">
      <c r="A15" s="10" t="s">
        <v>57</v>
      </c>
      <c r="B15" s="11" t="s">
        <v>99</v>
      </c>
      <c r="C15" s="11" t="s">
        <v>100</v>
      </c>
      <c r="D15" s="11"/>
      <c r="E15" s="57">
        <f>ROUND('Stavební rozpočet'!H24,2)</f>
      </c>
      <c r="F15" s="57">
        <f>ROUND('Stavební rozpočet'!I24,2)</f>
      </c>
      <c r="G15" s="57">
        <f>ROUND('Stavební rozpočet'!J24,2)</f>
      </c>
      <c r="H15" s="60" t="s">
        <v>1174</v>
      </c>
      <c r="I15" s="57">
        <f>IF(H15="F",0,G15)</f>
      </c>
    </row>
    <row r="16">
      <c r="A16" s="10" t="s">
        <v>57</v>
      </c>
      <c r="B16" s="11" t="s">
        <v>108</v>
      </c>
      <c r="C16" s="11" t="s">
        <v>109</v>
      </c>
      <c r="D16" s="11"/>
      <c r="E16" s="57">
        <f>ROUND('Stavební rozpočet'!H27,2)</f>
      </c>
      <c r="F16" s="57">
        <f>ROUND('Stavební rozpočet'!I27,2)</f>
      </c>
      <c r="G16" s="57">
        <f>ROUND('Stavební rozpočet'!J27,2)</f>
      </c>
      <c r="H16" s="60" t="s">
        <v>1174</v>
      </c>
      <c r="I16" s="57">
        <f>IF(H16="F",0,G16)</f>
      </c>
    </row>
    <row r="17">
      <c r="A17" s="10" t="s">
        <v>57</v>
      </c>
      <c r="B17" s="11" t="s">
        <v>127</v>
      </c>
      <c r="C17" s="11" t="s">
        <v>128</v>
      </c>
      <c r="D17" s="11"/>
      <c r="E17" s="57">
        <f>ROUND('Stavební rozpočet'!H33,2)</f>
      </c>
      <c r="F17" s="57">
        <f>ROUND('Stavební rozpočet'!I33,2)</f>
      </c>
      <c r="G17" s="57">
        <f>ROUND('Stavební rozpočet'!J33,2)</f>
      </c>
      <c r="H17" s="60" t="s">
        <v>1174</v>
      </c>
      <c r="I17" s="57">
        <f>IF(H17="F",0,G17)</f>
      </c>
    </row>
    <row r="18">
      <c r="A18" s="10" t="s">
        <v>57</v>
      </c>
      <c r="B18" s="11" t="s">
        <v>147</v>
      </c>
      <c r="C18" s="11" t="s">
        <v>148</v>
      </c>
      <c r="D18" s="11"/>
      <c r="E18" s="57">
        <f>ROUND('Stavební rozpočet'!H42,2)</f>
      </c>
      <c r="F18" s="57">
        <f>ROUND('Stavební rozpočet'!I42,2)</f>
      </c>
      <c r="G18" s="57">
        <f>ROUND('Stavební rozpočet'!J42,2)</f>
      </c>
      <c r="H18" s="60" t="s">
        <v>1174</v>
      </c>
      <c r="I18" s="57">
        <f>IF(H18="F",0,G18)</f>
      </c>
    </row>
    <row r="19">
      <c r="A19" s="10" t="s">
        <v>57</v>
      </c>
      <c r="B19" s="11" t="s">
        <v>161</v>
      </c>
      <c r="C19" s="11" t="s">
        <v>162</v>
      </c>
      <c r="D19" s="11"/>
      <c r="E19" s="57">
        <f>ROUND('Stavební rozpočet'!H47,2)</f>
      </c>
      <c r="F19" s="57">
        <f>ROUND('Stavební rozpočet'!I47,2)</f>
      </c>
      <c r="G19" s="57">
        <f>ROUND('Stavební rozpočet'!J47,2)</f>
      </c>
      <c r="H19" s="60" t="s">
        <v>1174</v>
      </c>
      <c r="I19" s="57">
        <f>IF(H19="F",0,G19)</f>
      </c>
    </row>
    <row r="20">
      <c r="A20" s="10" t="s">
        <v>57</v>
      </c>
      <c r="B20" s="11" t="s">
        <v>288</v>
      </c>
      <c r="C20" s="11" t="s">
        <v>289</v>
      </c>
      <c r="D20" s="11"/>
      <c r="E20" s="57">
        <f>ROUND('Stavební rozpočet'!H117,2)</f>
      </c>
      <c r="F20" s="57">
        <f>ROUND('Stavební rozpočet'!I117,2)</f>
      </c>
      <c r="G20" s="57">
        <f>ROUND('Stavební rozpočet'!J117,2)</f>
      </c>
      <c r="H20" s="60" t="s">
        <v>1174</v>
      </c>
      <c r="I20" s="57">
        <f>IF(H20="F",0,G20)</f>
      </c>
    </row>
    <row r="21">
      <c r="A21" s="10" t="s">
        <v>57</v>
      </c>
      <c r="B21" s="11" t="s">
        <v>315</v>
      </c>
      <c r="C21" s="11" t="s">
        <v>316</v>
      </c>
      <c r="D21" s="11"/>
      <c r="E21" s="57">
        <f>ROUND('Stavební rozpočet'!H126,2)</f>
      </c>
      <c r="F21" s="57">
        <f>ROUND('Stavební rozpočet'!I126,2)</f>
      </c>
      <c r="G21" s="57">
        <f>ROUND('Stavební rozpočet'!J126,2)</f>
      </c>
      <c r="H21" s="60" t="s">
        <v>1174</v>
      </c>
      <c r="I21" s="57">
        <f>IF(H21="F",0,G21)</f>
      </c>
    </row>
    <row r="22">
      <c r="A22" s="10" t="s">
        <v>57</v>
      </c>
      <c r="B22" s="11" t="s">
        <v>327</v>
      </c>
      <c r="C22" s="11" t="s">
        <v>328</v>
      </c>
      <c r="D22" s="11"/>
      <c r="E22" s="57">
        <f>ROUND('Stavební rozpočet'!H130,2)</f>
      </c>
      <c r="F22" s="57">
        <f>ROUND('Stavební rozpočet'!I130,2)</f>
      </c>
      <c r="G22" s="57">
        <f>ROUND('Stavební rozpočet'!J130,2)</f>
      </c>
      <c r="H22" s="60" t="s">
        <v>1174</v>
      </c>
      <c r="I22" s="57">
        <f>IF(H22="F",0,G22)</f>
      </c>
    </row>
    <row r="23">
      <c r="A23" s="10" t="s">
        <v>57</v>
      </c>
      <c r="B23" s="11" t="s">
        <v>362</v>
      </c>
      <c r="C23" s="11" t="s">
        <v>363</v>
      </c>
      <c r="D23" s="11"/>
      <c r="E23" s="57">
        <f>ROUND('Stavební rozpočet'!H142,2)</f>
      </c>
      <c r="F23" s="57">
        <f>ROUND('Stavební rozpočet'!I142,2)</f>
      </c>
      <c r="G23" s="57">
        <f>ROUND('Stavební rozpočet'!J142,2)</f>
      </c>
      <c r="H23" s="60" t="s">
        <v>1174</v>
      </c>
      <c r="I23" s="57">
        <f>IF(H23="F",0,G23)</f>
      </c>
    </row>
    <row r="24">
      <c r="A24" s="10" t="s">
        <v>57</v>
      </c>
      <c r="B24" s="11" t="s">
        <v>394</v>
      </c>
      <c r="C24" s="11" t="s">
        <v>395</v>
      </c>
      <c r="D24" s="11"/>
      <c r="E24" s="57">
        <f>ROUND('Stavební rozpočet'!H154,2)</f>
      </c>
      <c r="F24" s="57">
        <f>ROUND('Stavební rozpočet'!I154,2)</f>
      </c>
      <c r="G24" s="57">
        <f>ROUND('Stavební rozpočet'!J154,2)</f>
      </c>
      <c r="H24" s="60" t="s">
        <v>1174</v>
      </c>
      <c r="I24" s="57">
        <f>IF(H24="F",0,G24)</f>
      </c>
    </row>
    <row r="25">
      <c r="A25" s="10" t="s">
        <v>57</v>
      </c>
      <c r="B25" s="11" t="s">
        <v>423</v>
      </c>
      <c r="C25" s="11" t="s">
        <v>424</v>
      </c>
      <c r="D25" s="11"/>
      <c r="E25" s="57">
        <f>ROUND('Stavební rozpočet'!H164,2)</f>
      </c>
      <c r="F25" s="57">
        <f>ROUND('Stavební rozpočet'!I164,2)</f>
      </c>
      <c r="G25" s="57">
        <f>ROUND('Stavební rozpočet'!J164,2)</f>
      </c>
      <c r="H25" s="60" t="s">
        <v>1174</v>
      </c>
      <c r="I25" s="57">
        <f>IF(H25="F",0,G25)</f>
      </c>
    </row>
    <row r="26">
      <c r="A26" s="10" t="s">
        <v>57</v>
      </c>
      <c r="B26" s="11" t="s">
        <v>438</v>
      </c>
      <c r="C26" s="11" t="s">
        <v>439</v>
      </c>
      <c r="D26" s="11"/>
      <c r="E26" s="57">
        <f>ROUND('Stavební rozpočet'!H169,2)</f>
      </c>
      <c r="F26" s="57">
        <f>ROUND('Stavební rozpočet'!I169,2)</f>
      </c>
      <c r="G26" s="57">
        <f>ROUND('Stavební rozpočet'!J169,2)</f>
      </c>
      <c r="H26" s="60" t="s">
        <v>1174</v>
      </c>
      <c r="I26" s="57">
        <f>IF(H26="F",0,G26)</f>
      </c>
    </row>
    <row r="27">
      <c r="A27" s="10" t="s">
        <v>57</v>
      </c>
      <c r="B27" s="11" t="s">
        <v>356</v>
      </c>
      <c r="C27" s="11" t="s">
        <v>451</v>
      </c>
      <c r="D27" s="11"/>
      <c r="E27" s="57">
        <f>ROUND('Stavební rozpočet'!H173,2)</f>
      </c>
      <c r="F27" s="57">
        <f>ROUND('Stavební rozpočet'!I173,2)</f>
      </c>
      <c r="G27" s="57">
        <f>ROUND('Stavební rozpočet'!J173,2)</f>
      </c>
      <c r="H27" s="60" t="s">
        <v>1174</v>
      </c>
      <c r="I27" s="57">
        <f>IF(H27="F",0,G27)</f>
      </c>
    </row>
    <row r="28">
      <c r="A28" s="10" t="s">
        <v>57</v>
      </c>
      <c r="B28" s="11" t="s">
        <v>372</v>
      </c>
      <c r="C28" s="11" t="s">
        <v>477</v>
      </c>
      <c r="D28" s="11"/>
      <c r="E28" s="57">
        <f>ROUND('Stavební rozpočet'!H183,2)</f>
      </c>
      <c r="F28" s="57">
        <f>ROUND('Stavební rozpočet'!I183,2)</f>
      </c>
      <c r="G28" s="57">
        <f>ROUND('Stavební rozpočet'!J183,2)</f>
      </c>
      <c r="H28" s="60" t="s">
        <v>1174</v>
      </c>
      <c r="I28" s="57">
        <f>IF(H28="F",0,G28)</f>
      </c>
    </row>
    <row r="29">
      <c r="A29" s="10" t="s">
        <v>57</v>
      </c>
      <c r="B29" s="11" t="s">
        <v>373</v>
      </c>
      <c r="C29" s="11" t="s">
        <v>535</v>
      </c>
      <c r="D29" s="11"/>
      <c r="E29" s="57">
        <f>ROUND('Stavební rozpočet'!H203,2)</f>
      </c>
      <c r="F29" s="57">
        <f>ROUND('Stavební rozpočet'!I203,2)</f>
      </c>
      <c r="G29" s="57">
        <f>ROUND('Stavební rozpočet'!J203,2)</f>
      </c>
      <c r="H29" s="60" t="s">
        <v>1174</v>
      </c>
      <c r="I29" s="57">
        <f>IF(H29="F",0,G29)</f>
      </c>
    </row>
    <row r="30">
      <c r="A30" s="10" t="s">
        <v>57</v>
      </c>
      <c r="B30" s="11" t="s">
        <v>376</v>
      </c>
      <c r="C30" s="11" t="s">
        <v>554</v>
      </c>
      <c r="D30" s="11"/>
      <c r="E30" s="57">
        <f>ROUND('Stavební rozpočet'!H211,2)</f>
      </c>
      <c r="F30" s="57">
        <f>ROUND('Stavební rozpočet'!I211,2)</f>
      </c>
      <c r="G30" s="57">
        <f>ROUND('Stavební rozpočet'!J211,2)</f>
      </c>
      <c r="H30" s="60" t="s">
        <v>1174</v>
      </c>
      <c r="I30" s="57">
        <f>IF(H30="F",0,G30)</f>
      </c>
    </row>
    <row r="31">
      <c r="A31" s="10" t="s">
        <v>57</v>
      </c>
      <c r="B31" s="11" t="s">
        <v>377</v>
      </c>
      <c r="C31" s="11" t="s">
        <v>569</v>
      </c>
      <c r="D31" s="11"/>
      <c r="E31" s="57">
        <f>ROUND('Stavební rozpočet'!H216,2)</f>
      </c>
      <c r="F31" s="57">
        <f>ROUND('Stavební rozpočet'!I216,2)</f>
      </c>
      <c r="G31" s="57">
        <f>ROUND('Stavební rozpočet'!J216,2)</f>
      </c>
      <c r="H31" s="60" t="s">
        <v>1174</v>
      </c>
      <c r="I31" s="57">
        <f>IF(H31="F",0,G31)</f>
      </c>
    </row>
    <row r="32">
      <c r="A32" s="10" t="s">
        <v>57</v>
      </c>
      <c r="B32" s="11" t="s">
        <v>581</v>
      </c>
      <c r="C32" s="11" t="s">
        <v>582</v>
      </c>
      <c r="D32" s="11"/>
      <c r="E32" s="57">
        <f>ROUND('Stavební rozpočet'!H220,2)</f>
      </c>
      <c r="F32" s="57">
        <f>ROUND('Stavební rozpočet'!I220,2)</f>
      </c>
      <c r="G32" s="57">
        <f>ROUND('Stavební rozpočet'!J220,2)</f>
      </c>
      <c r="H32" s="60" t="s">
        <v>1174</v>
      </c>
      <c r="I32" s="57">
        <f>IF(H32="F",0,G32)</f>
      </c>
    </row>
    <row r="33">
      <c r="A33" s="10" t="s">
        <v>57</v>
      </c>
      <c r="B33" s="11" t="s">
        <v>588</v>
      </c>
      <c r="C33" s="11" t="s">
        <v>589</v>
      </c>
      <c r="D33" s="11"/>
      <c r="E33" s="57">
        <f>ROUND('Stavební rozpočet'!H222,2)</f>
      </c>
      <c r="F33" s="57">
        <f>ROUND('Stavební rozpočet'!I222,2)</f>
      </c>
      <c r="G33" s="57">
        <f>ROUND('Stavební rozpočet'!J222,2)</f>
      </c>
      <c r="H33" s="60" t="s">
        <v>1174</v>
      </c>
      <c r="I33" s="57">
        <f>IF(H33="F",0,G33)</f>
      </c>
    </row>
    <row r="34">
      <c r="A34" s="10" t="s">
        <v>57</v>
      </c>
      <c r="B34" s="11" t="s">
        <v>604</v>
      </c>
      <c r="C34" s="11" t="s">
        <v>605</v>
      </c>
      <c r="D34" s="11"/>
      <c r="E34" s="57">
        <f>ROUND('Stavební rozpočet'!H227,2)</f>
      </c>
      <c r="F34" s="57">
        <f>ROUND('Stavební rozpočet'!I227,2)</f>
      </c>
      <c r="G34" s="57">
        <f>ROUND('Stavební rozpočet'!J227,2)</f>
      </c>
      <c r="H34" s="60" t="s">
        <v>1174</v>
      </c>
      <c r="I34" s="57">
        <f>IF(H34="F",0,G34)</f>
      </c>
    </row>
    <row r="35">
      <c r="A35" s="10" t="s">
        <v>57</v>
      </c>
      <c r="B35" s="11" t="s">
        <v>616</v>
      </c>
      <c r="C35" s="11" t="s">
        <v>617</v>
      </c>
      <c r="D35" s="11"/>
      <c r="E35" s="57">
        <f>ROUND('Stavební rozpočet'!H232,2)</f>
      </c>
      <c r="F35" s="57">
        <f>ROUND('Stavební rozpočet'!I232,2)</f>
      </c>
      <c r="G35" s="57">
        <f>ROUND('Stavební rozpočet'!J232,2)</f>
      </c>
      <c r="H35" s="60" t="s">
        <v>1174</v>
      </c>
      <c r="I35" s="57">
        <f>IF(H35="F",0,G35)</f>
      </c>
    </row>
    <row r="36">
      <c r="A36" s="10" t="s">
        <v>650</v>
      </c>
      <c r="B36" s="11" t="s">
        <v>53</v>
      </c>
      <c r="C36" s="11" t="s">
        <v>647</v>
      </c>
      <c r="D36" s="11"/>
      <c r="E36" s="57">
        <f>ROUND('Stavební rozpočet'!H242,2)</f>
      </c>
      <c r="F36" s="57">
        <f>ROUND('Stavební rozpočet'!I242,2)</f>
      </c>
      <c r="G36" s="57">
        <f>ROUND('Stavební rozpočet'!J242,2)</f>
      </c>
      <c r="H36" s="60" t="s">
        <v>1173</v>
      </c>
      <c r="I36" s="57">
        <f>IF(H36="F",0,G36)</f>
      </c>
    </row>
    <row r="37">
      <c r="A37" s="10" t="s">
        <v>650</v>
      </c>
      <c r="B37" s="11" t="s">
        <v>648</v>
      </c>
      <c r="C37" s="11" t="s">
        <v>649</v>
      </c>
      <c r="D37" s="11"/>
      <c r="E37" s="57">
        <f>ROUND('Stavební rozpočet'!H243,2)</f>
      </c>
      <c r="F37" s="57">
        <f>ROUND('Stavební rozpočet'!I243,2)</f>
      </c>
      <c r="G37" s="57">
        <f>ROUND('Stavební rozpočet'!J243,2)</f>
      </c>
      <c r="H37" s="60" t="s">
        <v>1174</v>
      </c>
      <c r="I37" s="57">
        <f>IF(H37="F",0,G37)</f>
      </c>
    </row>
    <row r="38">
      <c r="A38" s="10" t="s">
        <v>650</v>
      </c>
      <c r="B38" s="11" t="s">
        <v>669</v>
      </c>
      <c r="C38" s="11" t="s">
        <v>670</v>
      </c>
      <c r="D38" s="11"/>
      <c r="E38" s="57">
        <f>ROUND('Stavební rozpočet'!H249,2)</f>
      </c>
      <c r="F38" s="57">
        <f>ROUND('Stavební rozpočet'!I249,2)</f>
      </c>
      <c r="G38" s="57">
        <f>ROUND('Stavební rozpočet'!J249,2)</f>
      </c>
      <c r="H38" s="60" t="s">
        <v>1174</v>
      </c>
      <c r="I38" s="57">
        <f>IF(H38="F",0,G38)</f>
      </c>
    </row>
    <row r="39">
      <c r="A39" s="10" t="s">
        <v>650</v>
      </c>
      <c r="B39" s="11" t="s">
        <v>373</v>
      </c>
      <c r="C39" s="11" t="s">
        <v>535</v>
      </c>
      <c r="D39" s="11"/>
      <c r="E39" s="57">
        <f>ROUND('Stavební rozpočet'!H255,2)</f>
      </c>
      <c r="F39" s="57">
        <f>ROUND('Stavební rozpočet'!I255,2)</f>
      </c>
      <c r="G39" s="57">
        <f>ROUND('Stavební rozpočet'!J255,2)</f>
      </c>
      <c r="H39" s="60" t="s">
        <v>1174</v>
      </c>
      <c r="I39" s="57">
        <f>IF(H39="F",0,G39)</f>
      </c>
    </row>
    <row r="40">
      <c r="A40" s="10" t="s">
        <v>650</v>
      </c>
      <c r="B40" s="11" t="s">
        <v>377</v>
      </c>
      <c r="C40" s="11" t="s">
        <v>569</v>
      </c>
      <c r="D40" s="11"/>
      <c r="E40" s="57">
        <f>ROUND('Stavební rozpočet'!H257,2)</f>
      </c>
      <c r="F40" s="57">
        <f>ROUND('Stavební rozpočet'!I257,2)</f>
      </c>
      <c r="G40" s="57">
        <f>ROUND('Stavební rozpočet'!J257,2)</f>
      </c>
      <c r="H40" s="60" t="s">
        <v>1174</v>
      </c>
      <c r="I40" s="57">
        <f>IF(H40="F",0,G40)</f>
      </c>
    </row>
    <row r="41">
      <c r="A41" s="10" t="s">
        <v>650</v>
      </c>
      <c r="B41" s="11" t="s">
        <v>616</v>
      </c>
      <c r="C41" s="11" t="s">
        <v>617</v>
      </c>
      <c r="D41" s="11"/>
      <c r="E41" s="57">
        <f>ROUND('Stavební rozpočet'!H259,2)</f>
      </c>
      <c r="F41" s="57">
        <f>ROUND('Stavební rozpočet'!I259,2)</f>
      </c>
      <c r="G41" s="57">
        <f>ROUND('Stavební rozpočet'!J259,2)</f>
      </c>
      <c r="H41" s="60" t="s">
        <v>1174</v>
      </c>
      <c r="I41" s="57">
        <f>IF(H41="F",0,G41)</f>
      </c>
    </row>
    <row r="42">
      <c r="A42" s="10" t="s">
        <v>707</v>
      </c>
      <c r="B42" s="11" t="s">
        <v>53</v>
      </c>
      <c r="C42" s="11" t="s">
        <v>706</v>
      </c>
      <c r="D42" s="11"/>
      <c r="E42" s="57">
        <f>ROUND('Stavební rozpočet'!H265,2)</f>
      </c>
      <c r="F42" s="57">
        <f>ROUND('Stavební rozpočet'!I265,2)</f>
      </c>
      <c r="G42" s="57">
        <f>ROUND('Stavební rozpočet'!J265,2)</f>
      </c>
      <c r="H42" s="60" t="s">
        <v>1173</v>
      </c>
      <c r="I42" s="57">
        <f>IF(H42="F",0,G42)</f>
      </c>
    </row>
    <row r="43">
      <c r="A43" s="10" t="s">
        <v>707</v>
      </c>
      <c r="B43" s="11" t="s">
        <v>161</v>
      </c>
      <c r="C43" s="11" t="s">
        <v>162</v>
      </c>
      <c r="D43" s="11"/>
      <c r="E43" s="57">
        <f>ROUND('Stavební rozpočet'!H266,2)</f>
      </c>
      <c r="F43" s="57">
        <f>ROUND('Stavební rozpočet'!I266,2)</f>
      </c>
      <c r="G43" s="57">
        <f>ROUND('Stavební rozpočet'!J266,2)</f>
      </c>
      <c r="H43" s="60" t="s">
        <v>1174</v>
      </c>
      <c r="I43" s="57">
        <f>IF(H43="F",0,G43)</f>
      </c>
    </row>
    <row r="44">
      <c r="A44" s="10" t="s">
        <v>707</v>
      </c>
      <c r="B44" s="11" t="s">
        <v>269</v>
      </c>
      <c r="C44" s="11" t="s">
        <v>718</v>
      </c>
      <c r="D44" s="11"/>
      <c r="E44" s="57">
        <f>ROUND('Stavební rozpočet'!H272,2)</f>
      </c>
      <c r="F44" s="57">
        <f>ROUND('Stavební rozpočet'!I272,2)</f>
      </c>
      <c r="G44" s="57">
        <f>ROUND('Stavební rozpočet'!J272,2)</f>
      </c>
      <c r="H44" s="60" t="s">
        <v>1174</v>
      </c>
      <c r="I44" s="57">
        <f>IF(H44="F",0,G44)</f>
      </c>
    </row>
    <row r="45">
      <c r="A45" s="10" t="s">
        <v>707</v>
      </c>
      <c r="B45" s="11" t="s">
        <v>315</v>
      </c>
      <c r="C45" s="11" t="s">
        <v>316</v>
      </c>
      <c r="D45" s="11"/>
      <c r="E45" s="57">
        <f>ROUND('Stavební rozpočet'!H274,2)</f>
      </c>
      <c r="F45" s="57">
        <f>ROUND('Stavební rozpočet'!I274,2)</f>
      </c>
      <c r="G45" s="57">
        <f>ROUND('Stavební rozpočet'!J274,2)</f>
      </c>
      <c r="H45" s="60" t="s">
        <v>1174</v>
      </c>
      <c r="I45" s="57">
        <f>IF(H45="F",0,G45)</f>
      </c>
    </row>
    <row r="46">
      <c r="A46" s="10" t="s">
        <v>707</v>
      </c>
      <c r="B46" s="11" t="s">
        <v>740</v>
      </c>
      <c r="C46" s="11" t="s">
        <v>741</v>
      </c>
      <c r="D46" s="11"/>
      <c r="E46" s="57">
        <f>ROUND('Stavební rozpočet'!H280,2)</f>
      </c>
      <c r="F46" s="57">
        <f>ROUND('Stavební rozpočet'!I280,2)</f>
      </c>
      <c r="G46" s="57">
        <f>ROUND('Stavební rozpočet'!J280,2)</f>
      </c>
      <c r="H46" s="60" t="s">
        <v>1174</v>
      </c>
      <c r="I46" s="57">
        <f>IF(H46="F",0,G46)</f>
      </c>
    </row>
    <row r="47">
      <c r="A47" s="10" t="s">
        <v>707</v>
      </c>
      <c r="B47" s="11" t="s">
        <v>362</v>
      </c>
      <c r="C47" s="11" t="s">
        <v>363</v>
      </c>
      <c r="D47" s="11"/>
      <c r="E47" s="57">
        <f>ROUND('Stavební rozpočet'!H312,2)</f>
      </c>
      <c r="F47" s="57">
        <f>ROUND('Stavební rozpočet'!I312,2)</f>
      </c>
      <c r="G47" s="57">
        <f>ROUND('Stavební rozpočet'!J312,2)</f>
      </c>
      <c r="H47" s="60" t="s">
        <v>1174</v>
      </c>
      <c r="I47" s="57">
        <f>IF(H47="F",0,G47)</f>
      </c>
    </row>
    <row r="48">
      <c r="A48" s="10" t="s">
        <v>707</v>
      </c>
      <c r="B48" s="11" t="s">
        <v>962</v>
      </c>
      <c r="C48" s="11" t="s">
        <v>963</v>
      </c>
      <c r="D48" s="11"/>
      <c r="E48" s="57">
        <f>ROUND('Stavební rozpočet'!H367,2)</f>
      </c>
      <c r="F48" s="57">
        <f>ROUND('Stavební rozpočet'!I367,2)</f>
      </c>
      <c r="G48" s="57">
        <f>ROUND('Stavební rozpočet'!J367,2)</f>
      </c>
      <c r="H48" s="60" t="s">
        <v>1174</v>
      </c>
      <c r="I48" s="57">
        <f>IF(H48="F",0,G48)</f>
      </c>
    </row>
    <row r="49">
      <c r="A49" s="10" t="s">
        <v>707</v>
      </c>
      <c r="B49" s="11" t="s">
        <v>394</v>
      </c>
      <c r="C49" s="11" t="s">
        <v>395</v>
      </c>
      <c r="D49" s="11"/>
      <c r="E49" s="57">
        <f>ROUND('Stavební rozpočet'!H372,2)</f>
      </c>
      <c r="F49" s="57">
        <f>ROUND('Stavební rozpočet'!I372,2)</f>
      </c>
      <c r="G49" s="57">
        <f>ROUND('Stavební rozpočet'!J372,2)</f>
      </c>
      <c r="H49" s="60" t="s">
        <v>1174</v>
      </c>
      <c r="I49" s="57">
        <f>IF(H49="F",0,G49)</f>
      </c>
    </row>
    <row r="50">
      <c r="A50" s="10" t="s">
        <v>707</v>
      </c>
      <c r="B50" s="11" t="s">
        <v>423</v>
      </c>
      <c r="C50" s="11" t="s">
        <v>424</v>
      </c>
      <c r="D50" s="11"/>
      <c r="E50" s="57">
        <f>ROUND('Stavební rozpočet'!H376,2)</f>
      </c>
      <c r="F50" s="57">
        <f>ROUND('Stavební rozpočet'!I376,2)</f>
      </c>
      <c r="G50" s="57">
        <f>ROUND('Stavební rozpočet'!J376,2)</f>
      </c>
      <c r="H50" s="60" t="s">
        <v>1174</v>
      </c>
      <c r="I50" s="57">
        <f>IF(H50="F",0,G50)</f>
      </c>
    </row>
    <row r="51">
      <c r="A51" s="10" t="s">
        <v>707</v>
      </c>
      <c r="B51" s="11" t="s">
        <v>438</v>
      </c>
      <c r="C51" s="11" t="s">
        <v>439</v>
      </c>
      <c r="D51" s="11"/>
      <c r="E51" s="57">
        <f>ROUND('Stavební rozpočet'!H379,2)</f>
      </c>
      <c r="F51" s="57">
        <f>ROUND('Stavební rozpočet'!I379,2)</f>
      </c>
      <c r="G51" s="57">
        <f>ROUND('Stavební rozpočet'!J379,2)</f>
      </c>
      <c r="H51" s="60" t="s">
        <v>1174</v>
      </c>
      <c r="I51" s="57">
        <f>IF(H51="F",0,G51)</f>
      </c>
    </row>
    <row r="52">
      <c r="A52" s="10" t="s">
        <v>707</v>
      </c>
      <c r="B52" s="11" t="s">
        <v>373</v>
      </c>
      <c r="C52" s="11" t="s">
        <v>535</v>
      </c>
      <c r="D52" s="11"/>
      <c r="E52" s="57">
        <f>ROUND('Stavební rozpočet'!H382,2)</f>
      </c>
      <c r="F52" s="57">
        <f>ROUND('Stavební rozpočet'!I382,2)</f>
      </c>
      <c r="G52" s="57">
        <f>ROUND('Stavební rozpočet'!J382,2)</f>
      </c>
      <c r="H52" s="60" t="s">
        <v>1174</v>
      </c>
      <c r="I52" s="57">
        <f>IF(H52="F",0,G52)</f>
      </c>
    </row>
    <row r="53">
      <c r="A53" s="10" t="s">
        <v>707</v>
      </c>
      <c r="B53" s="11" t="s">
        <v>376</v>
      </c>
      <c r="C53" s="11" t="s">
        <v>554</v>
      </c>
      <c r="D53" s="11"/>
      <c r="E53" s="57">
        <f>ROUND('Stavební rozpočet'!H385,2)</f>
      </c>
      <c r="F53" s="57">
        <f>ROUND('Stavební rozpočet'!I385,2)</f>
      </c>
      <c r="G53" s="57">
        <f>ROUND('Stavební rozpočet'!J385,2)</f>
      </c>
      <c r="H53" s="60" t="s">
        <v>1174</v>
      </c>
      <c r="I53" s="57">
        <f>IF(H53="F",0,G53)</f>
      </c>
    </row>
    <row r="54">
      <c r="A54" s="10" t="s">
        <v>707</v>
      </c>
      <c r="B54" s="11" t="s">
        <v>581</v>
      </c>
      <c r="C54" s="11" t="s">
        <v>582</v>
      </c>
      <c r="D54" s="11"/>
      <c r="E54" s="57">
        <f>ROUND('Stavební rozpočet'!H390,2)</f>
      </c>
      <c r="F54" s="57">
        <f>ROUND('Stavební rozpočet'!I390,2)</f>
      </c>
      <c r="G54" s="57">
        <f>ROUND('Stavební rozpočet'!J390,2)</f>
      </c>
      <c r="H54" s="60" t="s">
        <v>1174</v>
      </c>
      <c r="I54" s="57">
        <f>IF(H54="F",0,G54)</f>
      </c>
    </row>
    <row r="55">
      <c r="A55" s="10" t="s">
        <v>707</v>
      </c>
      <c r="B55" s="11" t="s">
        <v>616</v>
      </c>
      <c r="C55" s="11" t="s">
        <v>617</v>
      </c>
      <c r="D55" s="11"/>
      <c r="E55" s="57">
        <f>ROUND('Stavební rozpočet'!H392,2)</f>
      </c>
      <c r="F55" s="57">
        <f>ROUND('Stavební rozpočet'!I392,2)</f>
      </c>
      <c r="G55" s="57">
        <f>ROUND('Stavební rozpočet'!J392,2)</f>
      </c>
      <c r="H55" s="60" t="s">
        <v>1174</v>
      </c>
      <c r="I55" s="57">
        <f>IF(H55="F",0,G55)</f>
      </c>
    </row>
    <row r="56">
      <c r="A56" s="10" t="s">
        <v>1030</v>
      </c>
      <c r="B56" s="11" t="s">
        <v>53</v>
      </c>
      <c r="C56" s="11" t="s">
        <v>1029</v>
      </c>
      <c r="D56" s="11"/>
      <c r="E56" s="57">
        <f>ROUND('Stavební rozpočet'!H402,2)</f>
      </c>
      <c r="F56" s="57">
        <f>ROUND('Stavební rozpočet'!I402,2)</f>
      </c>
      <c r="G56" s="57">
        <f>ROUND('Stavební rozpočet'!J402,2)</f>
      </c>
      <c r="H56" s="60" t="s">
        <v>1173</v>
      </c>
      <c r="I56" s="57">
        <f>IF(H56="F",0,G56)</f>
      </c>
    </row>
    <row r="57">
      <c r="A57" s="10" t="s">
        <v>1030</v>
      </c>
      <c r="B57" s="11" t="s">
        <v>356</v>
      </c>
      <c r="C57" s="11" t="s">
        <v>451</v>
      </c>
      <c r="D57" s="11"/>
      <c r="E57" s="57">
        <f>ROUND('Stavební rozpočet'!H403,2)</f>
      </c>
      <c r="F57" s="57">
        <f>ROUND('Stavební rozpočet'!I403,2)</f>
      </c>
      <c r="G57" s="57">
        <f>ROUND('Stavební rozpočet'!J403,2)</f>
      </c>
      <c r="H57" s="60" t="s">
        <v>1174</v>
      </c>
      <c r="I57" s="57">
        <f>IF(H57="F",0,G57)</f>
      </c>
    </row>
    <row r="58">
      <c r="A58" s="10" t="s">
        <v>1030</v>
      </c>
      <c r="B58" s="11" t="s">
        <v>1043</v>
      </c>
      <c r="C58" s="11" t="s">
        <v>1044</v>
      </c>
      <c r="D58" s="11"/>
      <c r="E58" s="57">
        <f>ROUND('Stavební rozpočet'!H410,2)</f>
      </c>
      <c r="F58" s="57">
        <f>ROUND('Stavební rozpočet'!I410,2)</f>
      </c>
      <c r="G58" s="57">
        <f>ROUND('Stavební rozpočet'!J410,2)</f>
      </c>
      <c r="H58" s="60" t="s">
        <v>1174</v>
      </c>
      <c r="I58" s="57">
        <f>IF(H58="F",0,G58)</f>
      </c>
    </row>
    <row r="59">
      <c r="A59" s="10" t="s">
        <v>1030</v>
      </c>
      <c r="B59" s="11" t="s">
        <v>1090</v>
      </c>
      <c r="C59" s="11" t="s">
        <v>1091</v>
      </c>
      <c r="D59" s="11"/>
      <c r="E59" s="57">
        <f>ROUND('Stavební rozpočet'!H432,2)</f>
      </c>
      <c r="F59" s="57">
        <f>ROUND('Stavební rozpočet'!I432,2)</f>
      </c>
      <c r="G59" s="57">
        <f>ROUND('Stavební rozpočet'!J432,2)</f>
      </c>
      <c r="H59" s="60" t="s">
        <v>1174</v>
      </c>
      <c r="I59" s="57">
        <f>IF(H59="F",0,G59)</f>
      </c>
    </row>
    <row r="60">
      <c r="A60" s="10" t="s">
        <v>1107</v>
      </c>
      <c r="B60" s="11" t="s">
        <v>53</v>
      </c>
      <c r="C60" s="11" t="s">
        <v>1106</v>
      </c>
      <c r="D60" s="11"/>
      <c r="E60" s="57">
        <f>ROUND('Stavební rozpočet'!H437,2)</f>
      </c>
      <c r="F60" s="57">
        <f>ROUND('Stavební rozpočet'!I437,2)</f>
      </c>
      <c r="G60" s="57">
        <f>ROUND('Stavební rozpočet'!J437,2)</f>
      </c>
      <c r="H60" s="60" t="s">
        <v>1173</v>
      </c>
      <c r="I60" s="57">
        <f>IF(H60="F",0,G60)</f>
      </c>
    </row>
    <row r="61">
      <c r="A61" s="10" t="s">
        <v>1107</v>
      </c>
      <c r="B61" s="11" t="s">
        <v>87</v>
      </c>
      <c r="C61" s="11" t="s">
        <v>88</v>
      </c>
      <c r="D61" s="11"/>
      <c r="E61" s="57">
        <f>ROUND('Stavební rozpočet'!H438,2)</f>
      </c>
      <c r="F61" s="57">
        <f>ROUND('Stavební rozpočet'!I438,2)</f>
      </c>
      <c r="G61" s="57">
        <f>ROUND('Stavební rozpočet'!J438,2)</f>
      </c>
      <c r="H61" s="60" t="s">
        <v>1174</v>
      </c>
      <c r="I61" s="57">
        <f>IF(H61="F",0,G61)</f>
      </c>
    </row>
    <row r="62">
      <c r="A62" s="10" t="s">
        <v>1107</v>
      </c>
      <c r="B62" s="11" t="s">
        <v>1116</v>
      </c>
      <c r="C62" s="11" t="s">
        <v>1117</v>
      </c>
      <c r="D62" s="11"/>
      <c r="E62" s="57">
        <f>ROUND('Stavební rozpočet'!H441,2)</f>
      </c>
      <c r="F62" s="57">
        <f>ROUND('Stavební rozpočet'!I441,2)</f>
      </c>
      <c r="G62" s="57">
        <f>ROUND('Stavební rozpočet'!J441,2)</f>
      </c>
      <c r="H62" s="60" t="s">
        <v>1173</v>
      </c>
      <c r="I62" s="57">
        <f>IF(H62="F",0,G62)</f>
      </c>
    </row>
    <row r="63">
      <c r="A63" s="10" t="s">
        <v>1107</v>
      </c>
      <c r="B63" s="11" t="s">
        <v>1118</v>
      </c>
      <c r="C63" s="11" t="s">
        <v>1119</v>
      </c>
      <c r="D63" s="11"/>
      <c r="E63" s="57">
        <f>ROUND('Stavební rozpočet'!H442,2)</f>
      </c>
      <c r="F63" s="57">
        <f>ROUND('Stavební rozpočet'!I442,2)</f>
      </c>
      <c r="G63" s="57">
        <f>ROUND('Stavební rozpočet'!J442,2)</f>
      </c>
      <c r="H63" s="60" t="s">
        <v>1174</v>
      </c>
      <c r="I63" s="57">
        <f>IF(H63="F",0,G63)</f>
      </c>
    </row>
    <row r="64">
      <c r="A64" s="10" t="s">
        <v>1107</v>
      </c>
      <c r="B64" s="11" t="s">
        <v>1132</v>
      </c>
      <c r="C64" s="11" t="s">
        <v>1133</v>
      </c>
      <c r="D64" s="11"/>
      <c r="E64" s="57">
        <f>ROUND('Stavební rozpočet'!H446,2)</f>
      </c>
      <c r="F64" s="57">
        <f>ROUND('Stavební rozpočet'!I446,2)</f>
      </c>
      <c r="G64" s="57">
        <f>ROUND('Stavební rozpočet'!J446,2)</f>
      </c>
      <c r="H64" s="60" t="s">
        <v>1174</v>
      </c>
      <c r="I64" s="57">
        <f>IF(H64="F",0,G64)</f>
      </c>
    </row>
    <row r="65">
      <c r="A65" s="10" t="s">
        <v>1107</v>
      </c>
      <c r="B65" s="11" t="s">
        <v>1148</v>
      </c>
      <c r="C65" s="11" t="s">
        <v>1149</v>
      </c>
      <c r="D65" s="11"/>
      <c r="E65" s="57">
        <f>ROUND('Stavební rozpočet'!H451,2)</f>
      </c>
      <c r="F65" s="57">
        <f>ROUND('Stavební rozpočet'!I451,2)</f>
      </c>
      <c r="G65" s="57">
        <f>ROUND('Stavební rozpočet'!J451,2)</f>
      </c>
      <c r="H65" s="60" t="s">
        <v>1174</v>
      </c>
      <c r="I65" s="57">
        <f>IF(H65="F",0,G65)</f>
      </c>
    </row>
    <row r="66">
      <c r="A66" s="10" t="s">
        <v>1107</v>
      </c>
      <c r="B66" s="11" t="s">
        <v>1158</v>
      </c>
      <c r="C66" s="11" t="s">
        <v>1159</v>
      </c>
      <c r="D66" s="11"/>
      <c r="E66" s="57">
        <f>ROUND('Stavební rozpočet'!H454,2)</f>
      </c>
      <c r="F66" s="57">
        <f>ROUND('Stavební rozpočet'!I454,2)</f>
      </c>
      <c r="G66" s="57">
        <f>ROUND('Stavební rozpočet'!J454,2)</f>
      </c>
      <c r="H66" s="60" t="s">
        <v>1174</v>
      </c>
      <c r="I66" s="57">
        <f>IF(H66="F",0,G66)</f>
      </c>
    </row>
    <row r="67">
      <c r="F67" s="12" t="s">
        <v>1165</v>
      </c>
      <c r="G67" s="88">
        <f>ROUND(SUM(I11:I66),2)</f>
      </c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8A17"/>
  <mergeCells>
    <mergeCell ref="A1:G1"/>
    <mergeCell ref="A2:B3"/>
    <mergeCell ref="A4:B5"/>
    <mergeCell ref="A6:B7"/>
    <mergeCell ref="A8:B9"/>
    <mergeCell ref="D2:D3"/>
    <mergeCell ref="D4:D5"/>
    <mergeCell ref="D6:D7"/>
    <mergeCell ref="D8:D9"/>
    <mergeCell ref="F2:F3"/>
    <mergeCell ref="F4:F5"/>
    <mergeCell ref="F6:F7"/>
    <mergeCell ref="F8:F9"/>
    <mergeCell ref="C2:C3"/>
    <mergeCell ref="C4:C5"/>
    <mergeCell ref="C6:C7"/>
    <mergeCell ref="C8:C9"/>
    <mergeCell ref="E2:E3"/>
    <mergeCell ref="E4:E5"/>
    <mergeCell ref="E6:E7"/>
    <mergeCell ref="E8:E9"/>
    <mergeCell ref="G2:G3"/>
    <mergeCell ref="G4:G5"/>
    <mergeCell ref="G6:G7"/>
    <mergeCell ref="G8:G9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H1207"/>
  <sheetViews>
    <sheetView workbookViewId="0" showZeros="true" showFormulas="false" showGridLines="true" showRowColHeaders="true">
      <selection sqref="A1207:G1207" activeCell="A1207"/>
    </sheetView>
  </sheetViews>
  <sheetFormatPr defaultColWidth="12.140625" customHeight="true" defaultRowHeight="15"/>
  <cols>
    <col max="2" min="1" style="0" width="9.140625" customWidth="true"/>
    <col max="3" min="3" style="0" width="14.28515625" customWidth="true"/>
    <col max="4" min="4" style="0" width="87.85546875" customWidth="true"/>
    <col max="5" min="5" style="0" width="48.28515625" customWidth="true"/>
    <col max="6" min="6" style="0" width="24.140625" customWidth="true"/>
    <col max="7" min="7" style="0" width="15.7109375" customWidth="true"/>
    <col max="8" min="8" style="0" width="19.99609375" customWidth="true"/>
  </cols>
  <sheetData>
    <row r="1" customHeight="true" ht="54.75">
      <c r="A1" s="1" t="s">
        <v>1175</v>
      </c>
      <c r="B1" s="1"/>
      <c r="C1" s="1"/>
      <c r="D1" s="1"/>
      <c r="E1" s="1"/>
      <c r="F1" s="1"/>
      <c r="G1" s="1"/>
      <c r="H1" s="1"/>
    </row>
    <row r="2">
      <c r="A2" s="3" t="s">
        <v>1</v>
      </c>
      <c r="B2" s="4"/>
      <c r="C2" s="5">
        <f>'Stavební rozpočet'!C2</f>
      </c>
      <c r="D2" s="6"/>
      <c r="E2" s="8" t="s">
        <v>5</v>
      </c>
      <c r="F2" s="8">
        <f>'Stavební rozpočet'!I2</f>
      </c>
      <c r="G2" s="4"/>
      <c r="H2" s="9"/>
    </row>
    <row r="3" customHeight="true" ht="15">
      <c r="A3" s="10"/>
      <c r="B3" s="11"/>
      <c r="C3" s="12"/>
      <c r="D3" s="12"/>
      <c r="E3" s="11"/>
      <c r="F3" s="11"/>
      <c r="G3" s="11"/>
      <c r="H3" s="14"/>
    </row>
    <row r="4">
      <c r="A4" s="15" t="s">
        <v>7</v>
      </c>
      <c r="B4" s="11"/>
      <c r="C4" s="16">
        <f>'Stavební rozpočet'!C4</f>
      </c>
      <c r="D4" s="11"/>
      <c r="E4" s="16" t="s">
        <v>11</v>
      </c>
      <c r="F4" s="16">
        <f>'Stavební rozpočet'!I4</f>
      </c>
      <c r="G4" s="11"/>
      <c r="H4" s="14"/>
    </row>
    <row r="5" customHeight="true" ht="15">
      <c r="A5" s="10"/>
      <c r="B5" s="11"/>
      <c r="C5" s="11"/>
      <c r="D5" s="11"/>
      <c r="E5" s="11"/>
      <c r="F5" s="11"/>
      <c r="G5" s="11"/>
      <c r="H5" s="14"/>
    </row>
    <row r="6">
      <c r="A6" s="15" t="s">
        <v>13</v>
      </c>
      <c r="B6" s="11"/>
      <c r="C6" s="16">
        <f>'Stavební rozpočet'!C6</f>
      </c>
      <c r="D6" s="11"/>
      <c r="E6" s="16" t="s">
        <v>16</v>
      </c>
      <c r="F6" s="16">
        <f>'Stavební rozpočet'!I6</f>
      </c>
      <c r="G6" s="11"/>
      <c r="H6" s="14"/>
    </row>
    <row r="7" customHeight="true" ht="15">
      <c r="A7" s="10"/>
      <c r="B7" s="11"/>
      <c r="C7" s="11"/>
      <c r="D7" s="11"/>
      <c r="E7" s="11"/>
      <c r="F7" s="11"/>
      <c r="G7" s="11"/>
      <c r="H7" s="14"/>
    </row>
    <row r="8">
      <c r="A8" s="15" t="s">
        <v>22</v>
      </c>
      <c r="B8" s="11"/>
      <c r="C8" s="16">
        <f>'Stavební rozpočet'!I8</f>
      </c>
      <c r="D8" s="11"/>
      <c r="E8" s="16" t="s">
        <v>20</v>
      </c>
      <c r="F8" s="16">
        <f>'Stavební rozpočet'!G8</f>
      </c>
      <c r="G8" s="11"/>
      <c r="H8" s="14"/>
    </row>
    <row r="9">
      <c r="A9" s="19"/>
      <c r="B9" s="20"/>
      <c r="C9" s="20"/>
      <c r="D9" s="20"/>
      <c r="E9" s="20"/>
      <c r="F9" s="20"/>
      <c r="G9" s="20"/>
      <c r="H9" s="79"/>
    </row>
    <row r="10">
      <c r="A10" s="81" t="s">
        <v>24</v>
      </c>
      <c r="B10" s="89" t="s">
        <v>1168</v>
      </c>
      <c r="C10" s="89" t="s">
        <v>25</v>
      </c>
      <c r="D10" s="90" t="s">
        <v>26</v>
      </c>
      <c r="E10" s="91"/>
      <c r="F10" s="89" t="s">
        <v>27</v>
      </c>
      <c r="G10" s="92" t="s">
        <v>28</v>
      </c>
      <c r="H10" s="93" t="s">
        <v>1176</v>
      </c>
    </row>
    <row r="11">
      <c r="A11" s="94" t="s">
        <v>53</v>
      </c>
      <c r="B11" s="45" t="s">
        <v>57</v>
      </c>
      <c r="C11" s="45" t="s">
        <v>53</v>
      </c>
      <c r="D11" s="45" t="s">
        <v>54</v>
      </c>
      <c r="E11" s="45"/>
      <c r="F11" s="45" t="s">
        <v>53</v>
      </c>
      <c r="G11" s="95" t="s">
        <v>53</v>
      </c>
      <c r="H11" s="50" t="s">
        <v>53</v>
      </c>
    </row>
    <row r="12">
      <c r="A12" s="96" t="s">
        <v>53</v>
      </c>
      <c r="B12" s="52" t="s">
        <v>57</v>
      </c>
      <c r="C12" s="52" t="s">
        <v>55</v>
      </c>
      <c r="D12" s="52" t="s">
        <v>56</v>
      </c>
      <c r="E12" s="52"/>
      <c r="F12" s="52" t="s">
        <v>53</v>
      </c>
      <c r="G12" s="33" t="s">
        <v>53</v>
      </c>
      <c r="H12" s="56" t="s">
        <v>53</v>
      </c>
    </row>
    <row r="13">
      <c r="A13" s="10" t="s">
        <v>58</v>
      </c>
      <c r="B13" s="11" t="s">
        <v>57</v>
      </c>
      <c r="C13" s="11" t="s">
        <v>59</v>
      </c>
      <c r="D13" s="11" t="s">
        <v>60</v>
      </c>
      <c r="E13" s="11"/>
      <c r="F13" s="11" t="s">
        <v>61</v>
      </c>
      <c r="G13" s="57" t="n">
        <v>44.802</v>
      </c>
      <c r="H13" s="97" t="n">
        <v>0</v>
      </c>
    </row>
    <row r="14">
      <c r="A14" s="62"/>
      <c r="D14" s="98" t="s">
        <v>1177</v>
      </c>
      <c r="E14" s="98" t="s">
        <v>1178</v>
      </c>
      <c r="F14" s="98"/>
      <c r="G14" s="99" t="n">
        <v>8.484</v>
      </c>
      <c r="H14" s="100"/>
    </row>
    <row r="15">
      <c r="A15" s="10" t="s">
        <v>53</v>
      </c>
      <c r="B15" s="11" t="s">
        <v>53</v>
      </c>
      <c r="C15" s="11" t="s">
        <v>53</v>
      </c>
      <c r="D15" s="98" t="s">
        <v>1179</v>
      </c>
      <c r="E15" s="98" t="s">
        <v>1178</v>
      </c>
      <c r="F15" s="98"/>
      <c r="G15" s="99" t="n">
        <v>36.318</v>
      </c>
      <c r="H15" s="59" t="s">
        <v>53</v>
      </c>
    </row>
    <row r="16">
      <c r="A16" s="10" t="s">
        <v>67</v>
      </c>
      <c r="B16" s="11" t="s">
        <v>57</v>
      </c>
      <c r="C16" s="11" t="s">
        <v>68</v>
      </c>
      <c r="D16" s="11" t="s">
        <v>69</v>
      </c>
      <c r="E16" s="11"/>
      <c r="F16" s="11" t="s">
        <v>61</v>
      </c>
      <c r="G16" s="57" t="n">
        <v>8.484</v>
      </c>
      <c r="H16" s="97" t="n">
        <v>0</v>
      </c>
    </row>
    <row r="17">
      <c r="A17" s="62"/>
      <c r="D17" s="98" t="s">
        <v>1177</v>
      </c>
      <c r="E17" s="98" t="s">
        <v>1180</v>
      </c>
      <c r="F17" s="98"/>
      <c r="G17" s="99" t="n">
        <v>8.484</v>
      </c>
      <c r="H17" s="100"/>
    </row>
    <row r="18">
      <c r="A18" s="10" t="s">
        <v>70</v>
      </c>
      <c r="B18" s="11" t="s">
        <v>57</v>
      </c>
      <c r="C18" s="11" t="s">
        <v>71</v>
      </c>
      <c r="D18" s="11" t="s">
        <v>72</v>
      </c>
      <c r="E18" s="11"/>
      <c r="F18" s="11" t="s">
        <v>61</v>
      </c>
      <c r="G18" s="57" t="n">
        <v>40.21</v>
      </c>
      <c r="H18" s="97" t="n">
        <v>0</v>
      </c>
    </row>
    <row r="19">
      <c r="A19" s="62"/>
      <c r="D19" s="98" t="s">
        <v>1181</v>
      </c>
      <c r="E19" s="98" t="s">
        <v>1178</v>
      </c>
      <c r="F19" s="98"/>
      <c r="G19" s="99" t="n">
        <v>40.21</v>
      </c>
      <c r="H19" s="100"/>
    </row>
    <row r="20">
      <c r="A20" s="10" t="s">
        <v>73</v>
      </c>
      <c r="B20" s="11" t="s">
        <v>57</v>
      </c>
      <c r="C20" s="11" t="s">
        <v>74</v>
      </c>
      <c r="D20" s="11" t="s">
        <v>75</v>
      </c>
      <c r="E20" s="11"/>
      <c r="F20" s="11" t="s">
        <v>61</v>
      </c>
      <c r="G20" s="57" t="n">
        <v>93.496</v>
      </c>
      <c r="H20" s="97" t="n">
        <v>0</v>
      </c>
    </row>
    <row r="21">
      <c r="A21" s="62"/>
      <c r="D21" s="98" t="s">
        <v>1177</v>
      </c>
      <c r="E21" s="98" t="s">
        <v>1178</v>
      </c>
      <c r="F21" s="98"/>
      <c r="G21" s="99" t="n">
        <v>8.484</v>
      </c>
      <c r="H21" s="100"/>
    </row>
    <row r="22">
      <c r="A22" s="10" t="s">
        <v>53</v>
      </c>
      <c r="B22" s="11" t="s">
        <v>53</v>
      </c>
      <c r="C22" s="11" t="s">
        <v>53</v>
      </c>
      <c r="D22" s="98" t="s">
        <v>1179</v>
      </c>
      <c r="E22" s="98" t="s">
        <v>1178</v>
      </c>
      <c r="F22" s="98"/>
      <c r="G22" s="99" t="n">
        <v>36.318</v>
      </c>
      <c r="H22" s="59" t="s">
        <v>53</v>
      </c>
    </row>
    <row r="23">
      <c r="A23" s="10" t="s">
        <v>53</v>
      </c>
      <c r="B23" s="11" t="s">
        <v>53</v>
      </c>
      <c r="C23" s="11" t="s">
        <v>53</v>
      </c>
      <c r="D23" s="98" t="s">
        <v>1177</v>
      </c>
      <c r="E23" s="98" t="s">
        <v>1180</v>
      </c>
      <c r="F23" s="98"/>
      <c r="G23" s="99" t="n">
        <v>8.484</v>
      </c>
      <c r="H23" s="59" t="s">
        <v>53</v>
      </c>
    </row>
    <row r="24">
      <c r="A24" s="10" t="s">
        <v>53</v>
      </c>
      <c r="B24" s="11" t="s">
        <v>53</v>
      </c>
      <c r="C24" s="11" t="s">
        <v>53</v>
      </c>
      <c r="D24" s="98" t="s">
        <v>1181</v>
      </c>
      <c r="E24" s="98" t="s">
        <v>1178</v>
      </c>
      <c r="F24" s="98"/>
      <c r="G24" s="99" t="n">
        <v>40.21</v>
      </c>
      <c r="H24" s="59" t="s">
        <v>53</v>
      </c>
    </row>
    <row r="25">
      <c r="A25" s="10" t="s">
        <v>76</v>
      </c>
      <c r="B25" s="11" t="s">
        <v>57</v>
      </c>
      <c r="C25" s="11" t="s">
        <v>77</v>
      </c>
      <c r="D25" s="11" t="s">
        <v>78</v>
      </c>
      <c r="E25" s="11"/>
      <c r="F25" s="11" t="s">
        <v>61</v>
      </c>
      <c r="G25" s="57" t="n">
        <v>93.496</v>
      </c>
      <c r="H25" s="97" t="n">
        <v>0</v>
      </c>
    </row>
    <row r="26">
      <c r="A26" s="62"/>
      <c r="D26" s="98" t="s">
        <v>1177</v>
      </c>
      <c r="E26" s="98" t="s">
        <v>1178</v>
      </c>
      <c r="F26" s="98"/>
      <c r="G26" s="99" t="n">
        <v>8.484</v>
      </c>
      <c r="H26" s="100"/>
    </row>
    <row r="27">
      <c r="A27" s="10" t="s">
        <v>53</v>
      </c>
      <c r="B27" s="11" t="s">
        <v>53</v>
      </c>
      <c r="C27" s="11" t="s">
        <v>53</v>
      </c>
      <c r="D27" s="98" t="s">
        <v>1179</v>
      </c>
      <c r="E27" s="98" t="s">
        <v>1178</v>
      </c>
      <c r="F27" s="98"/>
      <c r="G27" s="99" t="n">
        <v>36.318</v>
      </c>
      <c r="H27" s="59" t="s">
        <v>53</v>
      </c>
    </row>
    <row r="28">
      <c r="A28" s="10" t="s">
        <v>53</v>
      </c>
      <c r="B28" s="11" t="s">
        <v>53</v>
      </c>
      <c r="C28" s="11" t="s">
        <v>53</v>
      </c>
      <c r="D28" s="98" t="s">
        <v>1177</v>
      </c>
      <c r="E28" s="98" t="s">
        <v>1180</v>
      </c>
      <c r="F28" s="98"/>
      <c r="G28" s="99" t="n">
        <v>8.484</v>
      </c>
      <c r="H28" s="59" t="s">
        <v>53</v>
      </c>
    </row>
    <row r="29">
      <c r="A29" s="10" t="s">
        <v>53</v>
      </c>
      <c r="B29" s="11" t="s">
        <v>53</v>
      </c>
      <c r="C29" s="11" t="s">
        <v>53</v>
      </c>
      <c r="D29" s="98" t="s">
        <v>1181</v>
      </c>
      <c r="E29" s="98" t="s">
        <v>1178</v>
      </c>
      <c r="F29" s="98"/>
      <c r="G29" s="99" t="n">
        <v>40.21</v>
      </c>
      <c r="H29" s="59" t="s">
        <v>53</v>
      </c>
    </row>
    <row r="30">
      <c r="A30" s="96" t="s">
        <v>53</v>
      </c>
      <c r="B30" s="52" t="s">
        <v>57</v>
      </c>
      <c r="C30" s="52" t="s">
        <v>79</v>
      </c>
      <c r="D30" s="52" t="s">
        <v>80</v>
      </c>
      <c r="E30" s="52"/>
      <c r="F30" s="52" t="s">
        <v>53</v>
      </c>
      <c r="G30" s="33" t="s">
        <v>53</v>
      </c>
      <c r="H30" s="56" t="s">
        <v>53</v>
      </c>
    </row>
    <row r="31">
      <c r="A31" s="10" t="s">
        <v>81</v>
      </c>
      <c r="B31" s="11" t="s">
        <v>57</v>
      </c>
      <c r="C31" s="11" t="s">
        <v>82</v>
      </c>
      <c r="D31" s="11" t="s">
        <v>83</v>
      </c>
      <c r="E31" s="11"/>
      <c r="F31" s="11" t="s">
        <v>84</v>
      </c>
      <c r="G31" s="57" t="n">
        <v>14.0244</v>
      </c>
      <c r="H31" s="97" t="n">
        <v>0</v>
      </c>
    </row>
    <row r="32">
      <c r="A32" s="62"/>
      <c r="D32" s="98" t="s">
        <v>1182</v>
      </c>
      <c r="E32" s="98" t="s">
        <v>1178</v>
      </c>
      <c r="F32" s="98"/>
      <c r="G32" s="99" t="n">
        <v>1.2726</v>
      </c>
      <c r="H32" s="100"/>
    </row>
    <row r="33">
      <c r="A33" s="10" t="s">
        <v>53</v>
      </c>
      <c r="B33" s="11" t="s">
        <v>53</v>
      </c>
      <c r="C33" s="11" t="s">
        <v>53</v>
      </c>
      <c r="D33" s="98" t="s">
        <v>1183</v>
      </c>
      <c r="E33" s="98" t="s">
        <v>1178</v>
      </c>
      <c r="F33" s="98"/>
      <c r="G33" s="99" t="n">
        <v>5.4477</v>
      </c>
      <c r="H33" s="59" t="s">
        <v>53</v>
      </c>
    </row>
    <row r="34">
      <c r="A34" s="10" t="s">
        <v>53</v>
      </c>
      <c r="B34" s="11" t="s">
        <v>53</v>
      </c>
      <c r="C34" s="11" t="s">
        <v>53</v>
      </c>
      <c r="D34" s="98" t="s">
        <v>1182</v>
      </c>
      <c r="E34" s="98" t="s">
        <v>1180</v>
      </c>
      <c r="F34" s="98"/>
      <c r="G34" s="99" t="n">
        <v>1.2726</v>
      </c>
      <c r="H34" s="59" t="s">
        <v>53</v>
      </c>
    </row>
    <row r="35">
      <c r="A35" s="10" t="s">
        <v>53</v>
      </c>
      <c r="B35" s="11" t="s">
        <v>53</v>
      </c>
      <c r="C35" s="11" t="s">
        <v>53</v>
      </c>
      <c r="D35" s="98" t="s">
        <v>1184</v>
      </c>
      <c r="E35" s="98" t="s">
        <v>1178</v>
      </c>
      <c r="F35" s="98"/>
      <c r="G35" s="99" t="n">
        <v>6.0315</v>
      </c>
      <c r="H35" s="59" t="s">
        <v>53</v>
      </c>
    </row>
    <row r="36">
      <c r="A36" s="96" t="s">
        <v>53</v>
      </c>
      <c r="B36" s="52" t="s">
        <v>57</v>
      </c>
      <c r="C36" s="52" t="s">
        <v>87</v>
      </c>
      <c r="D36" s="52" t="s">
        <v>88</v>
      </c>
      <c r="E36" s="52"/>
      <c r="F36" s="52" t="s">
        <v>53</v>
      </c>
      <c r="G36" s="33" t="s">
        <v>53</v>
      </c>
      <c r="H36" s="56" t="s">
        <v>53</v>
      </c>
    </row>
    <row r="37">
      <c r="A37" s="10" t="s">
        <v>89</v>
      </c>
      <c r="B37" s="11" t="s">
        <v>57</v>
      </c>
      <c r="C37" s="11" t="s">
        <v>90</v>
      </c>
      <c r="D37" s="11" t="s">
        <v>91</v>
      </c>
      <c r="E37" s="11"/>
      <c r="F37" s="11" t="s">
        <v>61</v>
      </c>
      <c r="G37" s="57" t="n">
        <v>19</v>
      </c>
      <c r="H37" s="97" t="n">
        <v>0</v>
      </c>
    </row>
    <row r="38">
      <c r="A38" s="62"/>
      <c r="D38" s="98" t="s">
        <v>1185</v>
      </c>
      <c r="E38" s="98" t="s">
        <v>1186</v>
      </c>
      <c r="F38" s="98"/>
      <c r="G38" s="99" t="n">
        <v>19</v>
      </c>
      <c r="H38" s="100"/>
    </row>
    <row r="39">
      <c r="A39" s="10" t="s">
        <v>94</v>
      </c>
      <c r="B39" s="11" t="s">
        <v>57</v>
      </c>
      <c r="C39" s="11" t="s">
        <v>95</v>
      </c>
      <c r="D39" s="11" t="s">
        <v>96</v>
      </c>
      <c r="E39" s="11"/>
      <c r="F39" s="11" t="s">
        <v>97</v>
      </c>
      <c r="G39" s="57" t="n">
        <v>0.76</v>
      </c>
      <c r="H39" s="97" t="n">
        <v>0</v>
      </c>
    </row>
    <row r="40">
      <c r="A40" s="62"/>
      <c r="D40" s="98" t="s">
        <v>1187</v>
      </c>
      <c r="E40" s="98" t="s">
        <v>53</v>
      </c>
      <c r="F40" s="98"/>
      <c r="G40" s="99" t="n">
        <v>0</v>
      </c>
      <c r="H40" s="100"/>
    </row>
    <row r="41">
      <c r="A41" s="10" t="s">
        <v>53</v>
      </c>
      <c r="B41" s="11" t="s">
        <v>53</v>
      </c>
      <c r="C41" s="11" t="s">
        <v>53</v>
      </c>
      <c r="D41" s="98" t="s">
        <v>1188</v>
      </c>
      <c r="E41" s="98" t="s">
        <v>1186</v>
      </c>
      <c r="F41" s="98"/>
      <c r="G41" s="99" t="n">
        <v>0.76</v>
      </c>
      <c r="H41" s="59" t="s">
        <v>53</v>
      </c>
    </row>
    <row r="42">
      <c r="A42" s="96" t="s">
        <v>53</v>
      </c>
      <c r="B42" s="52" t="s">
        <v>57</v>
      </c>
      <c r="C42" s="52" t="s">
        <v>99</v>
      </c>
      <c r="D42" s="52" t="s">
        <v>100</v>
      </c>
      <c r="E42" s="52"/>
      <c r="F42" s="52" t="s">
        <v>53</v>
      </c>
      <c r="G42" s="33" t="s">
        <v>53</v>
      </c>
      <c r="H42" s="56" t="s">
        <v>53</v>
      </c>
    </row>
    <row r="43">
      <c r="A43" s="10" t="s">
        <v>101</v>
      </c>
      <c r="B43" s="11" t="s">
        <v>57</v>
      </c>
      <c r="C43" s="11" t="s">
        <v>102</v>
      </c>
      <c r="D43" s="11" t="s">
        <v>103</v>
      </c>
      <c r="E43" s="11"/>
      <c r="F43" s="11" t="s">
        <v>61</v>
      </c>
      <c r="G43" s="57" t="n">
        <v>93.496</v>
      </c>
      <c r="H43" s="97" t="n">
        <v>0</v>
      </c>
    </row>
    <row r="44">
      <c r="A44" s="62"/>
      <c r="D44" s="98" t="s">
        <v>1177</v>
      </c>
      <c r="E44" s="98" t="s">
        <v>1178</v>
      </c>
      <c r="F44" s="98"/>
      <c r="G44" s="99" t="n">
        <v>8.484</v>
      </c>
      <c r="H44" s="100"/>
    </row>
    <row r="45">
      <c r="A45" s="10" t="s">
        <v>53</v>
      </c>
      <c r="B45" s="11" t="s">
        <v>53</v>
      </c>
      <c r="C45" s="11" t="s">
        <v>53</v>
      </c>
      <c r="D45" s="98" t="s">
        <v>1179</v>
      </c>
      <c r="E45" s="98" t="s">
        <v>1178</v>
      </c>
      <c r="F45" s="98"/>
      <c r="G45" s="99" t="n">
        <v>36.318</v>
      </c>
      <c r="H45" s="59" t="s">
        <v>53</v>
      </c>
    </row>
    <row r="46">
      <c r="A46" s="10" t="s">
        <v>53</v>
      </c>
      <c r="B46" s="11" t="s">
        <v>53</v>
      </c>
      <c r="C46" s="11" t="s">
        <v>53</v>
      </c>
      <c r="D46" s="98" t="s">
        <v>1177</v>
      </c>
      <c r="E46" s="98" t="s">
        <v>1180</v>
      </c>
      <c r="F46" s="98"/>
      <c r="G46" s="99" t="n">
        <v>8.484</v>
      </c>
      <c r="H46" s="59" t="s">
        <v>53</v>
      </c>
    </row>
    <row r="47">
      <c r="A47" s="10" t="s">
        <v>53</v>
      </c>
      <c r="B47" s="11" t="s">
        <v>53</v>
      </c>
      <c r="C47" s="11" t="s">
        <v>53</v>
      </c>
      <c r="D47" s="98" t="s">
        <v>1181</v>
      </c>
      <c r="E47" s="98" t="s">
        <v>1178</v>
      </c>
      <c r="F47" s="98"/>
      <c r="G47" s="99" t="n">
        <v>40.21</v>
      </c>
      <c r="H47" s="59" t="s">
        <v>53</v>
      </c>
    </row>
    <row r="48">
      <c r="A48" s="96" t="s">
        <v>53</v>
      </c>
      <c r="B48" s="52" t="s">
        <v>57</v>
      </c>
      <c r="C48" s="52" t="s">
        <v>108</v>
      </c>
      <c r="D48" s="52" t="s">
        <v>109</v>
      </c>
      <c r="E48" s="52"/>
      <c r="F48" s="52" t="s">
        <v>53</v>
      </c>
      <c r="G48" s="33" t="s">
        <v>53</v>
      </c>
      <c r="H48" s="56" t="s">
        <v>53</v>
      </c>
    </row>
    <row r="49">
      <c r="A49" s="10" t="s">
        <v>110</v>
      </c>
      <c r="B49" s="11" t="s">
        <v>57</v>
      </c>
      <c r="C49" s="11" t="s">
        <v>111</v>
      </c>
      <c r="D49" s="11" t="s">
        <v>112</v>
      </c>
      <c r="E49" s="11"/>
      <c r="F49" s="11" t="s">
        <v>61</v>
      </c>
      <c r="G49" s="57" t="n">
        <v>8.484</v>
      </c>
      <c r="H49" s="97" t="n">
        <v>0</v>
      </c>
    </row>
    <row r="50">
      <c r="A50" s="62"/>
      <c r="D50" s="98" t="s">
        <v>1177</v>
      </c>
      <c r="E50" s="98" t="s">
        <v>1180</v>
      </c>
      <c r="F50" s="98"/>
      <c r="G50" s="99" t="n">
        <v>8.484</v>
      </c>
      <c r="H50" s="100"/>
    </row>
    <row r="51">
      <c r="A51" s="10" t="s">
        <v>55</v>
      </c>
      <c r="B51" s="11" t="s">
        <v>57</v>
      </c>
      <c r="C51" s="11" t="s">
        <v>115</v>
      </c>
      <c r="D51" s="11" t="s">
        <v>116</v>
      </c>
      <c r="E51" s="11"/>
      <c r="F51" s="11" t="s">
        <v>61</v>
      </c>
      <c r="G51" s="57" t="n">
        <v>40.21</v>
      </c>
      <c r="H51" s="97" t="n">
        <v>0</v>
      </c>
    </row>
    <row r="52">
      <c r="A52" s="62"/>
      <c r="D52" s="98" t="s">
        <v>1181</v>
      </c>
      <c r="E52" s="98" t="s">
        <v>1178</v>
      </c>
      <c r="F52" s="98"/>
      <c r="G52" s="99" t="n">
        <v>40.21</v>
      </c>
      <c r="H52" s="100"/>
    </row>
    <row r="53">
      <c r="A53" s="10" t="s">
        <v>117</v>
      </c>
      <c r="B53" s="11" t="s">
        <v>57</v>
      </c>
      <c r="C53" s="11" t="s">
        <v>118</v>
      </c>
      <c r="D53" s="11" t="s">
        <v>119</v>
      </c>
      <c r="E53" s="11"/>
      <c r="F53" s="11" t="s">
        <v>61</v>
      </c>
      <c r="G53" s="57" t="n">
        <v>44.802</v>
      </c>
      <c r="H53" s="97" t="n">
        <v>0</v>
      </c>
    </row>
    <row r="54">
      <c r="A54" s="62"/>
      <c r="D54" s="98" t="s">
        <v>1177</v>
      </c>
      <c r="E54" s="98" t="s">
        <v>1178</v>
      </c>
      <c r="F54" s="98"/>
      <c r="G54" s="99" t="n">
        <v>8.484</v>
      </c>
      <c r="H54" s="100"/>
    </row>
    <row r="55">
      <c r="A55" s="10" t="s">
        <v>53</v>
      </c>
      <c r="B55" s="11" t="s">
        <v>53</v>
      </c>
      <c r="C55" s="11" t="s">
        <v>53</v>
      </c>
      <c r="D55" s="98" t="s">
        <v>1179</v>
      </c>
      <c r="E55" s="98" t="s">
        <v>1178</v>
      </c>
      <c r="F55" s="98"/>
      <c r="G55" s="99" t="n">
        <v>36.318</v>
      </c>
      <c r="H55" s="59" t="s">
        <v>53</v>
      </c>
    </row>
    <row r="56">
      <c r="A56" s="10" t="s">
        <v>120</v>
      </c>
      <c r="B56" s="11" t="s">
        <v>57</v>
      </c>
      <c r="C56" s="11" t="s">
        <v>121</v>
      </c>
      <c r="D56" s="11" t="s">
        <v>122</v>
      </c>
      <c r="E56" s="11"/>
      <c r="F56" s="11" t="s">
        <v>61</v>
      </c>
      <c r="G56" s="57" t="n">
        <v>4.4802</v>
      </c>
      <c r="H56" s="97" t="n">
        <v>0</v>
      </c>
    </row>
    <row r="57">
      <c r="A57" s="62"/>
      <c r="D57" s="98" t="s">
        <v>1189</v>
      </c>
      <c r="E57" s="98" t="s">
        <v>53</v>
      </c>
      <c r="F57" s="98"/>
      <c r="G57" s="99" t="n">
        <v>0</v>
      </c>
      <c r="H57" s="100"/>
    </row>
    <row r="58">
      <c r="A58" s="10" t="s">
        <v>53</v>
      </c>
      <c r="B58" s="11" t="s">
        <v>53</v>
      </c>
      <c r="C58" s="11" t="s">
        <v>53</v>
      </c>
      <c r="D58" s="98" t="s">
        <v>1190</v>
      </c>
      <c r="E58" s="98" t="s">
        <v>1178</v>
      </c>
      <c r="F58" s="98"/>
      <c r="G58" s="99" t="n">
        <v>0.8484</v>
      </c>
      <c r="H58" s="59" t="s">
        <v>53</v>
      </c>
    </row>
    <row r="59">
      <c r="A59" s="10" t="s">
        <v>53</v>
      </c>
      <c r="B59" s="11" t="s">
        <v>53</v>
      </c>
      <c r="C59" s="11" t="s">
        <v>53</v>
      </c>
      <c r="D59" s="98" t="s">
        <v>1191</v>
      </c>
      <c r="E59" s="98" t="s">
        <v>1178</v>
      </c>
      <c r="F59" s="98"/>
      <c r="G59" s="99" t="n">
        <v>3.6318</v>
      </c>
      <c r="H59" s="59" t="s">
        <v>53</v>
      </c>
    </row>
    <row r="60">
      <c r="A60" s="10" t="s">
        <v>123</v>
      </c>
      <c r="B60" s="11" t="s">
        <v>57</v>
      </c>
      <c r="C60" s="11" t="s">
        <v>124</v>
      </c>
      <c r="D60" s="11" t="s">
        <v>125</v>
      </c>
      <c r="E60" s="11"/>
      <c r="F60" s="11" t="s">
        <v>126</v>
      </c>
      <c r="G60" s="57" t="n">
        <v>169.23</v>
      </c>
      <c r="H60" s="97" t="n">
        <v>0</v>
      </c>
    </row>
    <row r="61">
      <c r="A61" s="62"/>
      <c r="D61" s="98" t="s">
        <v>1192</v>
      </c>
      <c r="E61" s="98" t="s">
        <v>1178</v>
      </c>
      <c r="F61" s="98"/>
      <c r="G61" s="99" t="n">
        <v>28.28</v>
      </c>
      <c r="H61" s="100"/>
    </row>
    <row r="62">
      <c r="A62" s="10" t="s">
        <v>53</v>
      </c>
      <c r="B62" s="11" t="s">
        <v>53</v>
      </c>
      <c r="C62" s="11" t="s">
        <v>53</v>
      </c>
      <c r="D62" s="98" t="s">
        <v>1193</v>
      </c>
      <c r="E62" s="98" t="s">
        <v>1178</v>
      </c>
      <c r="F62" s="98"/>
      <c r="G62" s="99" t="n">
        <v>60.53</v>
      </c>
      <c r="H62" s="59" t="s">
        <v>53</v>
      </c>
    </row>
    <row r="63">
      <c r="A63" s="10" t="s">
        <v>53</v>
      </c>
      <c r="B63" s="11" t="s">
        <v>53</v>
      </c>
      <c r="C63" s="11" t="s">
        <v>53</v>
      </c>
      <c r="D63" s="98" t="s">
        <v>1194</v>
      </c>
      <c r="E63" s="98" t="s">
        <v>1178</v>
      </c>
      <c r="F63" s="98"/>
      <c r="G63" s="99" t="n">
        <v>80.42</v>
      </c>
      <c r="H63" s="59" t="s">
        <v>53</v>
      </c>
    </row>
    <row r="64">
      <c r="A64" s="96" t="s">
        <v>53</v>
      </c>
      <c r="B64" s="52" t="s">
        <v>57</v>
      </c>
      <c r="C64" s="52" t="s">
        <v>127</v>
      </c>
      <c r="D64" s="52" t="s">
        <v>128</v>
      </c>
      <c r="E64" s="52"/>
      <c r="F64" s="52" t="s">
        <v>53</v>
      </c>
      <c r="G64" s="33" t="s">
        <v>53</v>
      </c>
      <c r="H64" s="56" t="s">
        <v>53</v>
      </c>
    </row>
    <row r="65">
      <c r="A65" s="10" t="s">
        <v>129</v>
      </c>
      <c r="B65" s="11" t="s">
        <v>57</v>
      </c>
      <c r="C65" s="11" t="s">
        <v>130</v>
      </c>
      <c r="D65" s="11" t="s">
        <v>131</v>
      </c>
      <c r="E65" s="11"/>
      <c r="F65" s="11" t="s">
        <v>61</v>
      </c>
      <c r="G65" s="57" t="n">
        <v>32.0055</v>
      </c>
      <c r="H65" s="97" t="n">
        <v>0</v>
      </c>
    </row>
    <row r="66">
      <c r="A66" s="62"/>
      <c r="D66" s="98" t="s">
        <v>1195</v>
      </c>
      <c r="E66" s="98" t="s">
        <v>1196</v>
      </c>
      <c r="F66" s="98"/>
      <c r="G66" s="99" t="n">
        <v>21.759</v>
      </c>
      <c r="H66" s="100"/>
    </row>
    <row r="67">
      <c r="A67" s="10" t="s">
        <v>53</v>
      </c>
      <c r="B67" s="11" t="s">
        <v>53</v>
      </c>
      <c r="C67" s="11" t="s">
        <v>53</v>
      </c>
      <c r="D67" s="98" t="s">
        <v>1197</v>
      </c>
      <c r="E67" s="98" t="s">
        <v>53</v>
      </c>
      <c r="F67" s="98"/>
      <c r="G67" s="99" t="n">
        <v>10.2465</v>
      </c>
      <c r="H67" s="59" t="s">
        <v>53</v>
      </c>
    </row>
    <row r="68">
      <c r="A68" s="10" t="s">
        <v>134</v>
      </c>
      <c r="B68" s="11" t="s">
        <v>57</v>
      </c>
      <c r="C68" s="11" t="s">
        <v>135</v>
      </c>
      <c r="D68" s="11" t="s">
        <v>136</v>
      </c>
      <c r="E68" s="11"/>
      <c r="F68" s="11" t="s">
        <v>61</v>
      </c>
      <c r="G68" s="57" t="n">
        <v>401.78892</v>
      </c>
      <c r="H68" s="97" t="n">
        <v>0</v>
      </c>
    </row>
    <row r="69">
      <c r="A69" s="62"/>
      <c r="D69" s="98" t="s">
        <v>1198</v>
      </c>
      <c r="E69" s="98" t="s">
        <v>1199</v>
      </c>
      <c r="F69" s="98"/>
      <c r="G69" s="99" t="n">
        <v>445.85517</v>
      </c>
      <c r="H69" s="100"/>
    </row>
    <row r="70">
      <c r="A70" s="10" t="s">
        <v>53</v>
      </c>
      <c r="B70" s="11" t="s">
        <v>53</v>
      </c>
      <c r="C70" s="11" t="s">
        <v>53</v>
      </c>
      <c r="D70" s="98" t="s">
        <v>1200</v>
      </c>
      <c r="E70" s="98" t="s">
        <v>1201</v>
      </c>
      <c r="F70" s="98"/>
      <c r="G70" s="99" t="n">
        <v>-33.6</v>
      </c>
      <c r="H70" s="59" t="s">
        <v>53</v>
      </c>
    </row>
    <row r="71">
      <c r="A71" s="10" t="s">
        <v>53</v>
      </c>
      <c r="B71" s="11" t="s">
        <v>53</v>
      </c>
      <c r="C71" s="11" t="s">
        <v>53</v>
      </c>
      <c r="D71" s="98" t="s">
        <v>1202</v>
      </c>
      <c r="E71" s="98" t="s">
        <v>1203</v>
      </c>
      <c r="F71" s="98"/>
      <c r="G71" s="99" t="n">
        <v>-39.75</v>
      </c>
      <c r="H71" s="59" t="s">
        <v>53</v>
      </c>
    </row>
    <row r="72">
      <c r="A72" s="10" t="s">
        <v>53</v>
      </c>
      <c r="B72" s="11" t="s">
        <v>53</v>
      </c>
      <c r="C72" s="11" t="s">
        <v>53</v>
      </c>
      <c r="D72" s="98" t="s">
        <v>1204</v>
      </c>
      <c r="E72" s="98" t="s">
        <v>1205</v>
      </c>
      <c r="F72" s="98"/>
      <c r="G72" s="99" t="n">
        <v>-8.25375</v>
      </c>
      <c r="H72" s="59" t="s">
        <v>53</v>
      </c>
    </row>
    <row r="73">
      <c r="A73" s="10" t="s">
        <v>53</v>
      </c>
      <c r="B73" s="11" t="s">
        <v>53</v>
      </c>
      <c r="C73" s="11" t="s">
        <v>53</v>
      </c>
      <c r="D73" s="98" t="s">
        <v>1206</v>
      </c>
      <c r="E73" s="98" t="s">
        <v>1207</v>
      </c>
      <c r="F73" s="98"/>
      <c r="G73" s="99" t="n">
        <v>-6.96</v>
      </c>
      <c r="H73" s="59" t="s">
        <v>53</v>
      </c>
    </row>
    <row r="74">
      <c r="A74" s="10" t="s">
        <v>53</v>
      </c>
      <c r="B74" s="11" t="s">
        <v>53</v>
      </c>
      <c r="C74" s="11" t="s">
        <v>53</v>
      </c>
      <c r="D74" s="98" t="s">
        <v>1208</v>
      </c>
      <c r="E74" s="98" t="s">
        <v>1209</v>
      </c>
      <c r="F74" s="98"/>
      <c r="G74" s="99" t="n">
        <v>44.4975</v>
      </c>
      <c r="H74" s="59" t="s">
        <v>53</v>
      </c>
    </row>
    <row r="75">
      <c r="A75" s="10" t="s">
        <v>79</v>
      </c>
      <c r="B75" s="11" t="s">
        <v>57</v>
      </c>
      <c r="C75" s="11" t="s">
        <v>138</v>
      </c>
      <c r="D75" s="11" t="s">
        <v>139</v>
      </c>
      <c r="E75" s="11"/>
      <c r="F75" s="11" t="s">
        <v>61</v>
      </c>
      <c r="G75" s="57" t="n">
        <v>401.78892</v>
      </c>
      <c r="H75" s="97" t="n">
        <v>0</v>
      </c>
    </row>
    <row r="76">
      <c r="A76" s="62"/>
      <c r="D76" s="98" t="s">
        <v>1198</v>
      </c>
      <c r="E76" s="98" t="s">
        <v>1199</v>
      </c>
      <c r="F76" s="98"/>
      <c r="G76" s="99" t="n">
        <v>445.85517</v>
      </c>
      <c r="H76" s="100"/>
    </row>
    <row r="77">
      <c r="A77" s="10" t="s">
        <v>53</v>
      </c>
      <c r="B77" s="11" t="s">
        <v>53</v>
      </c>
      <c r="C77" s="11" t="s">
        <v>53</v>
      </c>
      <c r="D77" s="98" t="s">
        <v>1200</v>
      </c>
      <c r="E77" s="98" t="s">
        <v>1201</v>
      </c>
      <c r="F77" s="98"/>
      <c r="G77" s="99" t="n">
        <v>-33.6</v>
      </c>
      <c r="H77" s="59" t="s">
        <v>53</v>
      </c>
    </row>
    <row r="78">
      <c r="A78" s="10" t="s">
        <v>53</v>
      </c>
      <c r="B78" s="11" t="s">
        <v>53</v>
      </c>
      <c r="C78" s="11" t="s">
        <v>53</v>
      </c>
      <c r="D78" s="98" t="s">
        <v>1202</v>
      </c>
      <c r="E78" s="98" t="s">
        <v>1203</v>
      </c>
      <c r="F78" s="98"/>
      <c r="G78" s="99" t="n">
        <v>-39.75</v>
      </c>
      <c r="H78" s="59" t="s">
        <v>53</v>
      </c>
    </row>
    <row r="79">
      <c r="A79" s="10" t="s">
        <v>53</v>
      </c>
      <c r="B79" s="11" t="s">
        <v>53</v>
      </c>
      <c r="C79" s="11" t="s">
        <v>53</v>
      </c>
      <c r="D79" s="98" t="s">
        <v>1204</v>
      </c>
      <c r="E79" s="98" t="s">
        <v>1205</v>
      </c>
      <c r="F79" s="98"/>
      <c r="G79" s="99" t="n">
        <v>-8.25375</v>
      </c>
      <c r="H79" s="59" t="s">
        <v>53</v>
      </c>
    </row>
    <row r="80">
      <c r="A80" s="10" t="s">
        <v>53</v>
      </c>
      <c r="B80" s="11" t="s">
        <v>53</v>
      </c>
      <c r="C80" s="11" t="s">
        <v>53</v>
      </c>
      <c r="D80" s="98" t="s">
        <v>1206</v>
      </c>
      <c r="E80" s="98" t="s">
        <v>1207</v>
      </c>
      <c r="F80" s="98"/>
      <c r="G80" s="99" t="n">
        <v>-6.96</v>
      </c>
      <c r="H80" s="59" t="s">
        <v>53</v>
      </c>
    </row>
    <row r="81">
      <c r="A81" s="10" t="s">
        <v>53</v>
      </c>
      <c r="B81" s="11" t="s">
        <v>53</v>
      </c>
      <c r="C81" s="11" t="s">
        <v>53</v>
      </c>
      <c r="D81" s="98" t="s">
        <v>1208</v>
      </c>
      <c r="E81" s="98" t="s">
        <v>1209</v>
      </c>
      <c r="F81" s="98"/>
      <c r="G81" s="99" t="n">
        <v>44.4975</v>
      </c>
      <c r="H81" s="59" t="s">
        <v>53</v>
      </c>
    </row>
    <row r="82">
      <c r="A82" s="10" t="s">
        <v>87</v>
      </c>
      <c r="B82" s="11" t="s">
        <v>57</v>
      </c>
      <c r="C82" s="11" t="s">
        <v>142</v>
      </c>
      <c r="D82" s="11" t="s">
        <v>143</v>
      </c>
      <c r="E82" s="11"/>
      <c r="F82" s="11" t="s">
        <v>61</v>
      </c>
      <c r="G82" s="57" t="n">
        <v>44.4975</v>
      </c>
      <c r="H82" s="97" t="n">
        <v>0</v>
      </c>
    </row>
    <row r="83">
      <c r="A83" s="62"/>
      <c r="D83" s="98" t="s">
        <v>1208</v>
      </c>
      <c r="E83" s="98" t="s">
        <v>1209</v>
      </c>
      <c r="F83" s="98"/>
      <c r="G83" s="99" t="n">
        <v>44.4975</v>
      </c>
      <c r="H83" s="100"/>
    </row>
    <row r="84">
      <c r="A84" s="10" t="s">
        <v>145</v>
      </c>
      <c r="B84" s="11" t="s">
        <v>57</v>
      </c>
      <c r="C84" s="11" t="s">
        <v>138</v>
      </c>
      <c r="D84" s="11" t="s">
        <v>146</v>
      </c>
      <c r="E84" s="11"/>
      <c r="F84" s="11" t="s">
        <v>61</v>
      </c>
      <c r="G84" s="57" t="n">
        <v>67.29</v>
      </c>
      <c r="H84" s="97" t="n">
        <v>0</v>
      </c>
    </row>
    <row r="85">
      <c r="A85" s="62"/>
      <c r="D85" s="98" t="s">
        <v>1210</v>
      </c>
      <c r="E85" s="98" t="s">
        <v>1211</v>
      </c>
      <c r="F85" s="98"/>
      <c r="G85" s="99" t="n">
        <v>67.29</v>
      </c>
      <c r="H85" s="100"/>
    </row>
    <row r="86">
      <c r="A86" s="96" t="s">
        <v>53</v>
      </c>
      <c r="B86" s="52" t="s">
        <v>57</v>
      </c>
      <c r="C86" s="52" t="s">
        <v>147</v>
      </c>
      <c r="D86" s="52" t="s">
        <v>148</v>
      </c>
      <c r="E86" s="52"/>
      <c r="F86" s="52" t="s">
        <v>53</v>
      </c>
      <c r="G86" s="33" t="s">
        <v>53</v>
      </c>
      <c r="H86" s="56" t="s">
        <v>53</v>
      </c>
    </row>
    <row r="87">
      <c r="A87" s="10" t="s">
        <v>149</v>
      </c>
      <c r="B87" s="11" t="s">
        <v>57</v>
      </c>
      <c r="C87" s="11" t="s">
        <v>150</v>
      </c>
      <c r="D87" s="11" t="s">
        <v>151</v>
      </c>
      <c r="E87" s="11"/>
      <c r="F87" s="11" t="s">
        <v>126</v>
      </c>
      <c r="G87" s="57" t="n">
        <v>96</v>
      </c>
      <c r="H87" s="97" t="n">
        <v>0</v>
      </c>
    </row>
    <row r="88">
      <c r="A88" s="62"/>
      <c r="D88" s="98" t="s">
        <v>1212</v>
      </c>
      <c r="E88" s="98" t="s">
        <v>1213</v>
      </c>
      <c r="F88" s="98"/>
      <c r="G88" s="99" t="n">
        <v>96</v>
      </c>
      <c r="H88" s="100"/>
    </row>
    <row r="89">
      <c r="A89" s="10" t="s">
        <v>155</v>
      </c>
      <c r="B89" s="11" t="s">
        <v>57</v>
      </c>
      <c r="C89" s="11" t="s">
        <v>156</v>
      </c>
      <c r="D89" s="11" t="s">
        <v>157</v>
      </c>
      <c r="E89" s="11"/>
      <c r="F89" s="11" t="s">
        <v>61</v>
      </c>
      <c r="G89" s="57" t="n">
        <v>38.4</v>
      </c>
      <c r="H89" s="97" t="n">
        <v>0</v>
      </c>
    </row>
    <row r="90">
      <c r="A90" s="62"/>
      <c r="D90" s="98" t="s">
        <v>1214</v>
      </c>
      <c r="E90" s="98" t="s">
        <v>1213</v>
      </c>
      <c r="F90" s="98"/>
      <c r="G90" s="99" t="n">
        <v>38.4</v>
      </c>
      <c r="H90" s="100"/>
    </row>
    <row r="91">
      <c r="A91" s="10" t="s">
        <v>158</v>
      </c>
      <c r="B91" s="11" t="s">
        <v>57</v>
      </c>
      <c r="C91" s="11" t="s">
        <v>159</v>
      </c>
      <c r="D91" s="11" t="s">
        <v>160</v>
      </c>
      <c r="E91" s="11"/>
      <c r="F91" s="11" t="s">
        <v>126</v>
      </c>
      <c r="G91" s="57" t="n">
        <v>96</v>
      </c>
      <c r="H91" s="97" t="n">
        <v>0</v>
      </c>
    </row>
    <row r="92">
      <c r="A92" s="62"/>
      <c r="D92" s="98" t="s">
        <v>1212</v>
      </c>
      <c r="E92" s="98" t="s">
        <v>1213</v>
      </c>
      <c r="F92" s="98"/>
      <c r="G92" s="99" t="n">
        <v>96</v>
      </c>
      <c r="H92" s="100"/>
    </row>
    <row r="93">
      <c r="A93" s="96" t="s">
        <v>53</v>
      </c>
      <c r="B93" s="52" t="s">
        <v>57</v>
      </c>
      <c r="C93" s="52" t="s">
        <v>161</v>
      </c>
      <c r="D93" s="52" t="s">
        <v>162</v>
      </c>
      <c r="E93" s="52"/>
      <c r="F93" s="52" t="s">
        <v>53</v>
      </c>
      <c r="G93" s="33" t="s">
        <v>53</v>
      </c>
      <c r="H93" s="56" t="s">
        <v>53</v>
      </c>
    </row>
    <row r="94">
      <c r="A94" s="10" t="s">
        <v>163</v>
      </c>
      <c r="B94" s="11" t="s">
        <v>57</v>
      </c>
      <c r="C94" s="11" t="s">
        <v>164</v>
      </c>
      <c r="D94" s="11" t="s">
        <v>165</v>
      </c>
      <c r="E94" s="11"/>
      <c r="F94" s="11" t="s">
        <v>61</v>
      </c>
      <c r="G94" s="57" t="n">
        <v>630.02475</v>
      </c>
      <c r="H94" s="97" t="n">
        <v>0</v>
      </c>
    </row>
    <row r="95">
      <c r="A95" s="62"/>
      <c r="D95" s="98" t="s">
        <v>1215</v>
      </c>
      <c r="E95" s="98" t="s">
        <v>1216</v>
      </c>
      <c r="F95" s="98"/>
      <c r="G95" s="99" t="n">
        <v>17.28</v>
      </c>
      <c r="H95" s="100"/>
    </row>
    <row r="96">
      <c r="A96" s="10" t="s">
        <v>53</v>
      </c>
      <c r="B96" s="11" t="s">
        <v>53</v>
      </c>
      <c r="C96" s="11" t="s">
        <v>53</v>
      </c>
      <c r="D96" s="98" t="s">
        <v>1217</v>
      </c>
      <c r="E96" s="98" t="s">
        <v>1201</v>
      </c>
      <c r="F96" s="98"/>
      <c r="G96" s="99" t="n">
        <v>283.5</v>
      </c>
      <c r="H96" s="59" t="s">
        <v>53</v>
      </c>
    </row>
    <row r="97">
      <c r="A97" s="10" t="s">
        <v>53</v>
      </c>
      <c r="B97" s="11" t="s">
        <v>53</v>
      </c>
      <c r="C97" s="11" t="s">
        <v>53</v>
      </c>
      <c r="D97" s="98" t="s">
        <v>1218</v>
      </c>
      <c r="E97" s="98" t="s">
        <v>1203</v>
      </c>
      <c r="F97" s="98"/>
      <c r="G97" s="99" t="n">
        <v>257.175</v>
      </c>
      <c r="H97" s="59" t="s">
        <v>53</v>
      </c>
    </row>
    <row r="98">
      <c r="A98" s="10" t="s">
        <v>53</v>
      </c>
      <c r="B98" s="11" t="s">
        <v>53</v>
      </c>
      <c r="C98" s="11" t="s">
        <v>53</v>
      </c>
      <c r="D98" s="98" t="s">
        <v>1219</v>
      </c>
      <c r="E98" s="98" t="s">
        <v>1220</v>
      </c>
      <c r="F98" s="98"/>
      <c r="G98" s="99" t="n">
        <v>1.68</v>
      </c>
      <c r="H98" s="59" t="s">
        <v>53</v>
      </c>
    </row>
    <row r="99">
      <c r="A99" s="10" t="s">
        <v>53</v>
      </c>
      <c r="B99" s="11" t="s">
        <v>53</v>
      </c>
      <c r="C99" s="11" t="s">
        <v>53</v>
      </c>
      <c r="D99" s="98" t="s">
        <v>1221</v>
      </c>
      <c r="E99" s="98" t="s">
        <v>1222</v>
      </c>
      <c r="F99" s="98"/>
      <c r="G99" s="99" t="n">
        <v>6.3</v>
      </c>
      <c r="H99" s="59" t="s">
        <v>53</v>
      </c>
    </row>
    <row r="100">
      <c r="A100" s="10" t="s">
        <v>53</v>
      </c>
      <c r="B100" s="11" t="s">
        <v>53</v>
      </c>
      <c r="C100" s="11" t="s">
        <v>53</v>
      </c>
      <c r="D100" s="98" t="s">
        <v>1223</v>
      </c>
      <c r="E100" s="98" t="s">
        <v>1224</v>
      </c>
      <c r="F100" s="98"/>
      <c r="G100" s="99" t="n">
        <v>2.7</v>
      </c>
      <c r="H100" s="59" t="s">
        <v>53</v>
      </c>
    </row>
    <row r="101">
      <c r="A101" s="10" t="s">
        <v>53</v>
      </c>
      <c r="B101" s="11" t="s">
        <v>53</v>
      </c>
      <c r="C101" s="11" t="s">
        <v>53</v>
      </c>
      <c r="D101" s="98" t="s">
        <v>1225</v>
      </c>
      <c r="E101" s="98" t="s">
        <v>1226</v>
      </c>
      <c r="F101" s="98"/>
      <c r="G101" s="99" t="n">
        <v>4.05</v>
      </c>
      <c r="H101" s="59" t="s">
        <v>53</v>
      </c>
    </row>
    <row r="102">
      <c r="A102" s="10" t="s">
        <v>53</v>
      </c>
      <c r="B102" s="11" t="s">
        <v>53</v>
      </c>
      <c r="C102" s="11" t="s">
        <v>53</v>
      </c>
      <c r="D102" s="98" t="s">
        <v>1227</v>
      </c>
      <c r="E102" s="98" t="s">
        <v>1228</v>
      </c>
      <c r="F102" s="98"/>
      <c r="G102" s="99" t="n">
        <v>21.6</v>
      </c>
      <c r="H102" s="59" t="s">
        <v>53</v>
      </c>
    </row>
    <row r="103">
      <c r="A103" s="10" t="s">
        <v>53</v>
      </c>
      <c r="B103" s="11" t="s">
        <v>53</v>
      </c>
      <c r="C103" s="11" t="s">
        <v>53</v>
      </c>
      <c r="D103" s="98" t="s">
        <v>1229</v>
      </c>
      <c r="E103" s="98" t="s">
        <v>1230</v>
      </c>
      <c r="F103" s="98"/>
      <c r="G103" s="99" t="n">
        <v>4.05</v>
      </c>
      <c r="H103" s="59" t="s">
        <v>53</v>
      </c>
    </row>
    <row r="104">
      <c r="A104" s="10" t="s">
        <v>53</v>
      </c>
      <c r="B104" s="11" t="s">
        <v>53</v>
      </c>
      <c r="C104" s="11" t="s">
        <v>53</v>
      </c>
      <c r="D104" s="98" t="s">
        <v>1231</v>
      </c>
      <c r="E104" s="98" t="s">
        <v>1232</v>
      </c>
      <c r="F104" s="98"/>
      <c r="G104" s="99" t="n">
        <v>3.536</v>
      </c>
      <c r="H104" s="59" t="s">
        <v>53</v>
      </c>
    </row>
    <row r="105">
      <c r="A105" s="10" t="s">
        <v>53</v>
      </c>
      <c r="B105" s="11" t="s">
        <v>53</v>
      </c>
      <c r="C105" s="11" t="s">
        <v>53</v>
      </c>
      <c r="D105" s="98" t="s">
        <v>1233</v>
      </c>
      <c r="E105" s="98" t="s">
        <v>1234</v>
      </c>
      <c r="F105" s="98"/>
      <c r="G105" s="99" t="n">
        <v>4.29</v>
      </c>
      <c r="H105" s="59" t="s">
        <v>53</v>
      </c>
    </row>
    <row r="106">
      <c r="A106" s="10" t="s">
        <v>53</v>
      </c>
      <c r="B106" s="11" t="s">
        <v>53</v>
      </c>
      <c r="C106" s="11" t="s">
        <v>53</v>
      </c>
      <c r="D106" s="98" t="s">
        <v>1235</v>
      </c>
      <c r="E106" s="98" t="s">
        <v>1236</v>
      </c>
      <c r="F106" s="98"/>
      <c r="G106" s="99" t="n">
        <v>4.81</v>
      </c>
      <c r="H106" s="59" t="s">
        <v>53</v>
      </c>
    </row>
    <row r="107">
      <c r="A107" s="10" t="s">
        <v>53</v>
      </c>
      <c r="B107" s="11" t="s">
        <v>53</v>
      </c>
      <c r="C107" s="11" t="s">
        <v>53</v>
      </c>
      <c r="D107" s="98" t="s">
        <v>1237</v>
      </c>
      <c r="E107" s="98" t="s">
        <v>1238</v>
      </c>
      <c r="F107" s="98"/>
      <c r="G107" s="99" t="n">
        <v>0.81</v>
      </c>
      <c r="H107" s="59" t="s">
        <v>53</v>
      </c>
    </row>
    <row r="108">
      <c r="A108" s="10" t="s">
        <v>53</v>
      </c>
      <c r="B108" s="11" t="s">
        <v>53</v>
      </c>
      <c r="C108" s="11" t="s">
        <v>53</v>
      </c>
      <c r="D108" s="98" t="s">
        <v>1239</v>
      </c>
      <c r="E108" s="98" t="s">
        <v>53</v>
      </c>
      <c r="F108" s="98"/>
      <c r="G108" s="99" t="n">
        <v>0.2025</v>
      </c>
      <c r="H108" s="59" t="s">
        <v>53</v>
      </c>
    </row>
    <row r="109">
      <c r="A109" s="10" t="s">
        <v>53</v>
      </c>
      <c r="B109" s="11" t="s">
        <v>53</v>
      </c>
      <c r="C109" s="11" t="s">
        <v>53</v>
      </c>
      <c r="D109" s="98" t="s">
        <v>1240</v>
      </c>
      <c r="E109" s="98" t="s">
        <v>53</v>
      </c>
      <c r="F109" s="98"/>
      <c r="G109" s="99" t="n">
        <v>0.27</v>
      </c>
      <c r="H109" s="59" t="s">
        <v>53</v>
      </c>
    </row>
    <row r="110">
      <c r="A110" s="10" t="s">
        <v>53</v>
      </c>
      <c r="B110" s="11" t="s">
        <v>53</v>
      </c>
      <c r="C110" s="11" t="s">
        <v>53</v>
      </c>
      <c r="D110" s="98" t="s">
        <v>1241</v>
      </c>
      <c r="E110" s="98" t="s">
        <v>1242</v>
      </c>
      <c r="F110" s="98"/>
      <c r="G110" s="99" t="n">
        <v>2.55</v>
      </c>
      <c r="H110" s="59" t="s">
        <v>53</v>
      </c>
    </row>
    <row r="111">
      <c r="A111" s="10" t="s">
        <v>53</v>
      </c>
      <c r="B111" s="11" t="s">
        <v>53</v>
      </c>
      <c r="C111" s="11" t="s">
        <v>53</v>
      </c>
      <c r="D111" s="98" t="s">
        <v>1243</v>
      </c>
      <c r="E111" s="98" t="s">
        <v>1205</v>
      </c>
      <c r="F111" s="98"/>
      <c r="G111" s="99" t="n">
        <v>15.22125</v>
      </c>
      <c r="H111" s="59" t="s">
        <v>53</v>
      </c>
    </row>
    <row r="112">
      <c r="A112" s="10" t="s">
        <v>168</v>
      </c>
      <c r="B112" s="11" t="s">
        <v>57</v>
      </c>
      <c r="C112" s="11" t="s">
        <v>169</v>
      </c>
      <c r="D112" s="11" t="s">
        <v>170</v>
      </c>
      <c r="E112" s="11"/>
      <c r="F112" s="11" t="s">
        <v>61</v>
      </c>
      <c r="G112" s="57" t="n">
        <v>310.73599</v>
      </c>
      <c r="H112" s="97" t="n">
        <v>0</v>
      </c>
    </row>
    <row r="113">
      <c r="A113" s="62"/>
      <c r="D113" s="98" t="s">
        <v>53</v>
      </c>
      <c r="E113" s="98" t="s">
        <v>1244</v>
      </c>
      <c r="F113" s="98"/>
      <c r="G113" s="99" t="n">
        <v>0</v>
      </c>
      <c r="H113" s="100"/>
    </row>
    <row r="114">
      <c r="A114" s="10" t="s">
        <v>53</v>
      </c>
      <c r="B114" s="11" t="s">
        <v>53</v>
      </c>
      <c r="C114" s="11" t="s">
        <v>53</v>
      </c>
      <c r="D114" s="98" t="s">
        <v>1245</v>
      </c>
      <c r="E114" s="98" t="s">
        <v>1199</v>
      </c>
      <c r="F114" s="98"/>
      <c r="G114" s="99" t="n">
        <v>44.58552</v>
      </c>
      <c r="H114" s="59" t="s">
        <v>53</v>
      </c>
    </row>
    <row r="115">
      <c r="A115" s="10" t="s">
        <v>53</v>
      </c>
      <c r="B115" s="11" t="s">
        <v>53</v>
      </c>
      <c r="C115" s="11" t="s">
        <v>53</v>
      </c>
      <c r="D115" s="98" t="s">
        <v>1246</v>
      </c>
      <c r="E115" s="98" t="s">
        <v>1247</v>
      </c>
      <c r="F115" s="98"/>
      <c r="G115" s="99" t="n">
        <v>132.67144</v>
      </c>
      <c r="H115" s="59" t="s">
        <v>53</v>
      </c>
    </row>
    <row r="116">
      <c r="A116" s="10" t="s">
        <v>53</v>
      </c>
      <c r="B116" s="11" t="s">
        <v>53</v>
      </c>
      <c r="C116" s="11" t="s">
        <v>53</v>
      </c>
      <c r="D116" s="98" t="s">
        <v>1248</v>
      </c>
      <c r="E116" s="98" t="s">
        <v>1249</v>
      </c>
      <c r="F116" s="98"/>
      <c r="G116" s="99" t="n">
        <v>22.95854</v>
      </c>
      <c r="H116" s="59" t="s">
        <v>53</v>
      </c>
    </row>
    <row r="117">
      <c r="A117" s="10" t="s">
        <v>53</v>
      </c>
      <c r="B117" s="11" t="s">
        <v>53</v>
      </c>
      <c r="C117" s="11" t="s">
        <v>53</v>
      </c>
      <c r="D117" s="98" t="s">
        <v>1250</v>
      </c>
      <c r="E117" s="98" t="s">
        <v>1251</v>
      </c>
      <c r="F117" s="98"/>
      <c r="G117" s="99" t="n">
        <v>78.29112</v>
      </c>
      <c r="H117" s="59" t="s">
        <v>53</v>
      </c>
    </row>
    <row r="118">
      <c r="A118" s="10" t="s">
        <v>53</v>
      </c>
      <c r="B118" s="11" t="s">
        <v>53</v>
      </c>
      <c r="C118" s="11" t="s">
        <v>53</v>
      </c>
      <c r="D118" s="98" t="s">
        <v>1252</v>
      </c>
      <c r="E118" s="98" t="s">
        <v>1253</v>
      </c>
      <c r="F118" s="98"/>
      <c r="G118" s="99" t="n">
        <v>7.0752</v>
      </c>
      <c r="H118" s="59" t="s">
        <v>53</v>
      </c>
    </row>
    <row r="119">
      <c r="A119" s="10" t="s">
        <v>53</v>
      </c>
      <c r="B119" s="11" t="s">
        <v>53</v>
      </c>
      <c r="C119" s="11" t="s">
        <v>53</v>
      </c>
      <c r="D119" s="98" t="s">
        <v>1254</v>
      </c>
      <c r="E119" s="98" t="s">
        <v>1255</v>
      </c>
      <c r="F119" s="98"/>
      <c r="G119" s="99" t="n">
        <v>9.08775</v>
      </c>
      <c r="H119" s="59" t="s">
        <v>53</v>
      </c>
    </row>
    <row r="120">
      <c r="A120" s="10" t="s">
        <v>53</v>
      </c>
      <c r="B120" s="11" t="s">
        <v>53</v>
      </c>
      <c r="C120" s="11" t="s">
        <v>53</v>
      </c>
      <c r="D120" s="98" t="s">
        <v>1256</v>
      </c>
      <c r="E120" s="98" t="s">
        <v>1211</v>
      </c>
      <c r="F120" s="98"/>
      <c r="G120" s="99" t="n">
        <v>10.32222</v>
      </c>
      <c r="H120" s="59" t="s">
        <v>53</v>
      </c>
    </row>
    <row r="121">
      <c r="A121" s="10" t="s">
        <v>53</v>
      </c>
      <c r="B121" s="11" t="s">
        <v>53</v>
      </c>
      <c r="C121" s="11" t="s">
        <v>53</v>
      </c>
      <c r="D121" s="98" t="s">
        <v>1257</v>
      </c>
      <c r="E121" s="98" t="s">
        <v>1211</v>
      </c>
      <c r="F121" s="98"/>
      <c r="G121" s="99" t="n">
        <v>5.7442</v>
      </c>
      <c r="H121" s="59" t="s">
        <v>53</v>
      </c>
    </row>
    <row r="122">
      <c r="A122" s="10" t="s">
        <v>171</v>
      </c>
      <c r="B122" s="11" t="s">
        <v>57</v>
      </c>
      <c r="C122" s="11" t="s">
        <v>172</v>
      </c>
      <c r="D122" s="11" t="s">
        <v>173</v>
      </c>
      <c r="E122" s="11"/>
      <c r="F122" s="11" t="s">
        <v>174</v>
      </c>
      <c r="G122" s="57" t="n">
        <v>5</v>
      </c>
      <c r="H122" s="97" t="n">
        <v>0</v>
      </c>
    </row>
    <row r="123">
      <c r="A123" s="62"/>
      <c r="D123" s="98" t="s">
        <v>70</v>
      </c>
      <c r="E123" s="98" t="s">
        <v>1258</v>
      </c>
      <c r="F123" s="98"/>
      <c r="G123" s="99" t="n">
        <v>3</v>
      </c>
      <c r="H123" s="100"/>
    </row>
    <row r="124">
      <c r="A124" s="10" t="s">
        <v>53</v>
      </c>
      <c r="B124" s="11" t="s">
        <v>53</v>
      </c>
      <c r="C124" s="11" t="s">
        <v>53</v>
      </c>
      <c r="D124" s="98" t="s">
        <v>1259</v>
      </c>
      <c r="E124" s="98" t="s">
        <v>1260</v>
      </c>
      <c r="F124" s="98"/>
      <c r="G124" s="99" t="n">
        <v>2</v>
      </c>
      <c r="H124" s="59" t="s">
        <v>53</v>
      </c>
    </row>
    <row r="125">
      <c r="A125" s="10" t="s">
        <v>176</v>
      </c>
      <c r="B125" s="11" t="s">
        <v>57</v>
      </c>
      <c r="C125" s="11" t="s">
        <v>177</v>
      </c>
      <c r="D125" s="11" t="s">
        <v>178</v>
      </c>
      <c r="E125" s="11"/>
      <c r="F125" s="11" t="s">
        <v>126</v>
      </c>
      <c r="G125" s="57" t="n">
        <v>59.27</v>
      </c>
      <c r="H125" s="97" t="n">
        <v>0</v>
      </c>
    </row>
    <row r="126">
      <c r="A126" s="62"/>
      <c r="D126" s="98" t="s">
        <v>1261</v>
      </c>
      <c r="E126" s="98" t="s">
        <v>1262</v>
      </c>
      <c r="F126" s="98"/>
      <c r="G126" s="99" t="n">
        <v>59.27</v>
      </c>
      <c r="H126" s="100"/>
    </row>
    <row r="127">
      <c r="A127" s="10" t="s">
        <v>179</v>
      </c>
      <c r="B127" s="11" t="s">
        <v>57</v>
      </c>
      <c r="C127" s="11" t="s">
        <v>180</v>
      </c>
      <c r="D127" s="11" t="s">
        <v>181</v>
      </c>
      <c r="E127" s="11"/>
      <c r="F127" s="11" t="s">
        <v>126</v>
      </c>
      <c r="G127" s="57" t="n">
        <v>67.2</v>
      </c>
      <c r="H127" s="97" t="n">
        <v>0</v>
      </c>
    </row>
    <row r="128">
      <c r="A128" s="62"/>
      <c r="D128" s="98" t="s">
        <v>1263</v>
      </c>
      <c r="E128" s="98" t="s">
        <v>53</v>
      </c>
      <c r="F128" s="98"/>
      <c r="G128" s="99" t="n">
        <v>67.2</v>
      </c>
      <c r="H128" s="100"/>
    </row>
    <row r="129">
      <c r="A129" s="10" t="s">
        <v>182</v>
      </c>
      <c r="B129" s="11" t="s">
        <v>57</v>
      </c>
      <c r="C129" s="11" t="s">
        <v>183</v>
      </c>
      <c r="D129" s="11" t="s">
        <v>184</v>
      </c>
      <c r="E129" s="11"/>
      <c r="F129" s="11" t="s">
        <v>126</v>
      </c>
      <c r="G129" s="57" t="n">
        <v>10.8</v>
      </c>
      <c r="H129" s="97" t="n">
        <v>0</v>
      </c>
    </row>
    <row r="130">
      <c r="A130" s="62"/>
      <c r="D130" s="98" t="s">
        <v>1264</v>
      </c>
      <c r="E130" s="98" t="s">
        <v>1265</v>
      </c>
      <c r="F130" s="98"/>
      <c r="G130" s="99" t="n">
        <v>10.8</v>
      </c>
      <c r="H130" s="100"/>
    </row>
    <row r="131">
      <c r="A131" s="10" t="s">
        <v>185</v>
      </c>
      <c r="B131" s="11" t="s">
        <v>57</v>
      </c>
      <c r="C131" s="11" t="s">
        <v>186</v>
      </c>
      <c r="D131" s="11" t="s">
        <v>187</v>
      </c>
      <c r="E131" s="11"/>
      <c r="F131" s="11" t="s">
        <v>61</v>
      </c>
      <c r="G131" s="57" t="n">
        <v>2257.48117</v>
      </c>
      <c r="H131" s="97" t="n">
        <v>0</v>
      </c>
    </row>
    <row r="132">
      <c r="A132" s="62"/>
      <c r="D132" s="98" t="s">
        <v>1198</v>
      </c>
      <c r="E132" s="98" t="s">
        <v>1199</v>
      </c>
      <c r="F132" s="98"/>
      <c r="G132" s="99" t="n">
        <v>445.85517</v>
      </c>
      <c r="H132" s="100"/>
    </row>
    <row r="133">
      <c r="A133" s="10" t="s">
        <v>53</v>
      </c>
      <c r="B133" s="11" t="s">
        <v>53</v>
      </c>
      <c r="C133" s="11" t="s">
        <v>53</v>
      </c>
      <c r="D133" s="98" t="s">
        <v>1200</v>
      </c>
      <c r="E133" s="98" t="s">
        <v>1201</v>
      </c>
      <c r="F133" s="98"/>
      <c r="G133" s="99" t="n">
        <v>-33.6</v>
      </c>
      <c r="H133" s="59" t="s">
        <v>53</v>
      </c>
    </row>
    <row r="134">
      <c r="A134" s="10" t="s">
        <v>53</v>
      </c>
      <c r="B134" s="11" t="s">
        <v>53</v>
      </c>
      <c r="C134" s="11" t="s">
        <v>53</v>
      </c>
      <c r="D134" s="98" t="s">
        <v>1202</v>
      </c>
      <c r="E134" s="98" t="s">
        <v>1203</v>
      </c>
      <c r="F134" s="98"/>
      <c r="G134" s="99" t="n">
        <v>-39.75</v>
      </c>
      <c r="H134" s="59" t="s">
        <v>53</v>
      </c>
    </row>
    <row r="135">
      <c r="A135" s="10" t="s">
        <v>53</v>
      </c>
      <c r="B135" s="11" t="s">
        <v>53</v>
      </c>
      <c r="C135" s="11" t="s">
        <v>53</v>
      </c>
      <c r="D135" s="98" t="s">
        <v>1204</v>
      </c>
      <c r="E135" s="98" t="s">
        <v>1205</v>
      </c>
      <c r="F135" s="98"/>
      <c r="G135" s="99" t="n">
        <v>-8.25375</v>
      </c>
      <c r="H135" s="59" t="s">
        <v>53</v>
      </c>
    </row>
    <row r="136">
      <c r="A136" s="10" t="s">
        <v>53</v>
      </c>
      <c r="B136" s="11" t="s">
        <v>53</v>
      </c>
      <c r="C136" s="11" t="s">
        <v>53</v>
      </c>
      <c r="D136" s="98" t="s">
        <v>1266</v>
      </c>
      <c r="E136" s="98" t="s">
        <v>1267</v>
      </c>
      <c r="F136" s="98"/>
      <c r="G136" s="99" t="n">
        <v>-11.805</v>
      </c>
      <c r="H136" s="59" t="s">
        <v>53</v>
      </c>
    </row>
    <row r="137">
      <c r="A137" s="10" t="s">
        <v>53</v>
      </c>
      <c r="B137" s="11" t="s">
        <v>53</v>
      </c>
      <c r="C137" s="11" t="s">
        <v>53</v>
      </c>
      <c r="D137" s="98" t="s">
        <v>1268</v>
      </c>
      <c r="E137" s="98" t="s">
        <v>1207</v>
      </c>
      <c r="F137" s="98"/>
      <c r="G137" s="99" t="n">
        <v>-9.96</v>
      </c>
      <c r="H137" s="59" t="s">
        <v>53</v>
      </c>
    </row>
    <row r="138">
      <c r="A138" s="10" t="s">
        <v>53</v>
      </c>
      <c r="B138" s="11" t="s">
        <v>53</v>
      </c>
      <c r="C138" s="11" t="s">
        <v>53</v>
      </c>
      <c r="D138" s="98" t="s">
        <v>1269</v>
      </c>
      <c r="E138" s="98" t="s">
        <v>1247</v>
      </c>
      <c r="F138" s="98"/>
      <c r="G138" s="99" t="n">
        <v>1326.7144</v>
      </c>
      <c r="H138" s="59" t="s">
        <v>53</v>
      </c>
    </row>
    <row r="139">
      <c r="A139" s="10" t="s">
        <v>53</v>
      </c>
      <c r="B139" s="11" t="s">
        <v>53</v>
      </c>
      <c r="C139" s="11" t="s">
        <v>53</v>
      </c>
      <c r="D139" s="98" t="s">
        <v>1270</v>
      </c>
      <c r="E139" s="98" t="s">
        <v>1201</v>
      </c>
      <c r="F139" s="98"/>
      <c r="G139" s="99" t="n">
        <v>-134.4</v>
      </c>
      <c r="H139" s="59" t="s">
        <v>53</v>
      </c>
    </row>
    <row r="140">
      <c r="A140" s="10" t="s">
        <v>53</v>
      </c>
      <c r="B140" s="11" t="s">
        <v>53</v>
      </c>
      <c r="C140" s="11" t="s">
        <v>53</v>
      </c>
      <c r="D140" s="98" t="s">
        <v>1271</v>
      </c>
      <c r="E140" s="98" t="s">
        <v>1203</v>
      </c>
      <c r="F140" s="98"/>
      <c r="G140" s="99" t="n">
        <v>-190.8</v>
      </c>
      <c r="H140" s="59" t="s">
        <v>53</v>
      </c>
    </row>
    <row r="141">
      <c r="A141" s="10" t="s">
        <v>53</v>
      </c>
      <c r="B141" s="11" t="s">
        <v>53</v>
      </c>
      <c r="C141" s="11" t="s">
        <v>53</v>
      </c>
      <c r="D141" s="98" t="s">
        <v>1272</v>
      </c>
      <c r="E141" s="98" t="s">
        <v>1273</v>
      </c>
      <c r="F141" s="98"/>
      <c r="G141" s="99" t="n">
        <v>-29.425</v>
      </c>
      <c r="H141" s="59" t="s">
        <v>53</v>
      </c>
    </row>
    <row r="142">
      <c r="A142" s="10" t="s">
        <v>53</v>
      </c>
      <c r="B142" s="11" t="s">
        <v>53</v>
      </c>
      <c r="C142" s="11" t="s">
        <v>53</v>
      </c>
      <c r="D142" s="98" t="s">
        <v>1274</v>
      </c>
      <c r="E142" s="98" t="s">
        <v>1249</v>
      </c>
      <c r="F142" s="98"/>
      <c r="G142" s="99" t="n">
        <v>229.5854</v>
      </c>
      <c r="H142" s="59" t="s">
        <v>53</v>
      </c>
    </row>
    <row r="143">
      <c r="A143" s="10" t="s">
        <v>53</v>
      </c>
      <c r="B143" s="11" t="s">
        <v>53</v>
      </c>
      <c r="C143" s="11" t="s">
        <v>53</v>
      </c>
      <c r="D143" s="98" t="s">
        <v>1275</v>
      </c>
      <c r="E143" s="98" t="s">
        <v>1251</v>
      </c>
      <c r="F143" s="98"/>
      <c r="G143" s="99" t="n">
        <v>782.91125</v>
      </c>
      <c r="H143" s="59" t="s">
        <v>53</v>
      </c>
    </row>
    <row r="144">
      <c r="A144" s="10" t="s">
        <v>53</v>
      </c>
      <c r="B144" s="11" t="s">
        <v>53</v>
      </c>
      <c r="C144" s="11" t="s">
        <v>53</v>
      </c>
      <c r="D144" s="98" t="s">
        <v>1276</v>
      </c>
      <c r="E144" s="98" t="s">
        <v>1201</v>
      </c>
      <c r="F144" s="98"/>
      <c r="G144" s="99" t="n">
        <v>-84</v>
      </c>
      <c r="H144" s="59" t="s">
        <v>53</v>
      </c>
    </row>
    <row r="145">
      <c r="A145" s="10" t="s">
        <v>53</v>
      </c>
      <c r="B145" s="11" t="s">
        <v>53</v>
      </c>
      <c r="C145" s="11" t="s">
        <v>53</v>
      </c>
      <c r="D145" s="98" t="s">
        <v>1277</v>
      </c>
      <c r="E145" s="98" t="s">
        <v>1203</v>
      </c>
      <c r="F145" s="98"/>
      <c r="G145" s="99" t="n">
        <v>-106</v>
      </c>
      <c r="H145" s="59" t="s">
        <v>53</v>
      </c>
    </row>
    <row r="146">
      <c r="A146" s="10" t="s">
        <v>53</v>
      </c>
      <c r="B146" s="11" t="s">
        <v>53</v>
      </c>
      <c r="C146" s="11" t="s">
        <v>53</v>
      </c>
      <c r="D146" s="98" t="s">
        <v>1278</v>
      </c>
      <c r="E146" s="98" t="s">
        <v>1220</v>
      </c>
      <c r="F146" s="98"/>
      <c r="G146" s="99" t="n">
        <v>-1.428</v>
      </c>
      <c r="H146" s="59" t="s">
        <v>53</v>
      </c>
    </row>
    <row r="147">
      <c r="A147" s="10" t="s">
        <v>53</v>
      </c>
      <c r="B147" s="11" t="s">
        <v>53</v>
      </c>
      <c r="C147" s="11" t="s">
        <v>53</v>
      </c>
      <c r="D147" s="98" t="s">
        <v>1279</v>
      </c>
      <c r="E147" s="98" t="s">
        <v>1222</v>
      </c>
      <c r="F147" s="98"/>
      <c r="G147" s="99" t="n">
        <v>-5.32</v>
      </c>
      <c r="H147" s="59" t="s">
        <v>53</v>
      </c>
    </row>
    <row r="148">
      <c r="A148" s="10" t="s">
        <v>53</v>
      </c>
      <c r="B148" s="11" t="s">
        <v>53</v>
      </c>
      <c r="C148" s="11" t="s">
        <v>53</v>
      </c>
      <c r="D148" s="98" t="s">
        <v>1280</v>
      </c>
      <c r="E148" s="98" t="s">
        <v>1224</v>
      </c>
      <c r="F148" s="98"/>
      <c r="G148" s="99" t="n">
        <v>-2</v>
      </c>
      <c r="H148" s="59" t="s">
        <v>53</v>
      </c>
    </row>
    <row r="149">
      <c r="A149" s="10" t="s">
        <v>53</v>
      </c>
      <c r="B149" s="11" t="s">
        <v>53</v>
      </c>
      <c r="C149" s="11" t="s">
        <v>53</v>
      </c>
      <c r="D149" s="98" t="s">
        <v>1281</v>
      </c>
      <c r="E149" s="98" t="s">
        <v>1226</v>
      </c>
      <c r="F149" s="98"/>
      <c r="G149" s="99" t="n">
        <v>-3.2</v>
      </c>
      <c r="H149" s="59" t="s">
        <v>53</v>
      </c>
    </row>
    <row r="150">
      <c r="A150" s="10" t="s">
        <v>53</v>
      </c>
      <c r="B150" s="11" t="s">
        <v>53</v>
      </c>
      <c r="C150" s="11" t="s">
        <v>53</v>
      </c>
      <c r="D150" s="98" t="s">
        <v>1282</v>
      </c>
      <c r="E150" s="98" t="s">
        <v>1228</v>
      </c>
      <c r="F150" s="98"/>
      <c r="G150" s="99" t="n">
        <v>-18.48</v>
      </c>
      <c r="H150" s="59" t="s">
        <v>53</v>
      </c>
    </row>
    <row r="151">
      <c r="A151" s="10" t="s">
        <v>53</v>
      </c>
      <c r="B151" s="11" t="s">
        <v>53</v>
      </c>
      <c r="C151" s="11" t="s">
        <v>53</v>
      </c>
      <c r="D151" s="98" t="s">
        <v>1283</v>
      </c>
      <c r="E151" s="98" t="s">
        <v>1230</v>
      </c>
      <c r="F151" s="98"/>
      <c r="G151" s="99" t="n">
        <v>-3.36</v>
      </c>
      <c r="H151" s="59" t="s">
        <v>53</v>
      </c>
    </row>
    <row r="152">
      <c r="A152" s="10" t="s">
        <v>53</v>
      </c>
      <c r="B152" s="11" t="s">
        <v>53</v>
      </c>
      <c r="C152" s="11" t="s">
        <v>53</v>
      </c>
      <c r="D152" s="98" t="s">
        <v>1284</v>
      </c>
      <c r="E152" s="98" t="s">
        <v>1232</v>
      </c>
      <c r="F152" s="98"/>
      <c r="G152" s="99" t="n">
        <v>-2.0538</v>
      </c>
      <c r="H152" s="59" t="s">
        <v>53</v>
      </c>
    </row>
    <row r="153">
      <c r="A153" s="10" t="s">
        <v>53</v>
      </c>
      <c r="B153" s="11" t="s">
        <v>53</v>
      </c>
      <c r="C153" s="11" t="s">
        <v>53</v>
      </c>
      <c r="D153" s="98" t="s">
        <v>1285</v>
      </c>
      <c r="E153" s="98" t="s">
        <v>1234</v>
      </c>
      <c r="F153" s="98"/>
      <c r="G153" s="99" t="n">
        <v>-2.5265</v>
      </c>
      <c r="H153" s="59" t="s">
        <v>53</v>
      </c>
    </row>
    <row r="154">
      <c r="A154" s="10" t="s">
        <v>53</v>
      </c>
      <c r="B154" s="11" t="s">
        <v>53</v>
      </c>
      <c r="C154" s="11" t="s">
        <v>53</v>
      </c>
      <c r="D154" s="98" t="s">
        <v>1286</v>
      </c>
      <c r="E154" s="98" t="s">
        <v>1236</v>
      </c>
      <c r="F154" s="98"/>
      <c r="G154" s="99" t="n">
        <v>-2.8525</v>
      </c>
      <c r="H154" s="59" t="s">
        <v>53</v>
      </c>
    </row>
    <row r="155">
      <c r="A155" s="10" t="s">
        <v>53</v>
      </c>
      <c r="B155" s="11" t="s">
        <v>53</v>
      </c>
      <c r="C155" s="11" t="s">
        <v>53</v>
      </c>
      <c r="D155" s="98" t="s">
        <v>1287</v>
      </c>
      <c r="E155" s="98" t="s">
        <v>1253</v>
      </c>
      <c r="F155" s="98"/>
      <c r="G155" s="99" t="n">
        <v>70.752</v>
      </c>
      <c r="H155" s="59" t="s">
        <v>53</v>
      </c>
    </row>
    <row r="156">
      <c r="A156" s="10" t="s">
        <v>53</v>
      </c>
      <c r="B156" s="11" t="s">
        <v>53</v>
      </c>
      <c r="C156" s="11" t="s">
        <v>53</v>
      </c>
      <c r="D156" s="98" t="s">
        <v>1288</v>
      </c>
      <c r="E156" s="98" t="s">
        <v>1255</v>
      </c>
      <c r="F156" s="98"/>
      <c r="G156" s="99" t="n">
        <v>90.8775</v>
      </c>
      <c r="H156" s="59" t="s">
        <v>53</v>
      </c>
    </row>
    <row r="157">
      <c r="A157" s="10" t="s">
        <v>189</v>
      </c>
      <c r="B157" s="11" t="s">
        <v>57</v>
      </c>
      <c r="C157" s="11" t="s">
        <v>138</v>
      </c>
      <c r="D157" s="11" t="s">
        <v>190</v>
      </c>
      <c r="E157" s="11"/>
      <c r="F157" s="11" t="s">
        <v>61</v>
      </c>
      <c r="G157" s="57" t="n">
        <v>342.48642</v>
      </c>
      <c r="H157" s="97" t="n">
        <v>0</v>
      </c>
    </row>
    <row r="158">
      <c r="A158" s="62"/>
      <c r="D158" s="98" t="s">
        <v>1198</v>
      </c>
      <c r="E158" s="98" t="s">
        <v>1199</v>
      </c>
      <c r="F158" s="98"/>
      <c r="G158" s="99" t="n">
        <v>445.85517</v>
      </c>
      <c r="H158" s="100"/>
    </row>
    <row r="159">
      <c r="A159" s="10" t="s">
        <v>53</v>
      </c>
      <c r="B159" s="11" t="s">
        <v>53</v>
      </c>
      <c r="C159" s="11" t="s">
        <v>53</v>
      </c>
      <c r="D159" s="98" t="s">
        <v>1200</v>
      </c>
      <c r="E159" s="98" t="s">
        <v>1201</v>
      </c>
      <c r="F159" s="98"/>
      <c r="G159" s="99" t="n">
        <v>-33.6</v>
      </c>
      <c r="H159" s="59" t="s">
        <v>53</v>
      </c>
    </row>
    <row r="160">
      <c r="A160" s="10" t="s">
        <v>53</v>
      </c>
      <c r="B160" s="11" t="s">
        <v>53</v>
      </c>
      <c r="C160" s="11" t="s">
        <v>53</v>
      </c>
      <c r="D160" s="98" t="s">
        <v>1202</v>
      </c>
      <c r="E160" s="98" t="s">
        <v>1203</v>
      </c>
      <c r="F160" s="98"/>
      <c r="G160" s="99" t="n">
        <v>-39.75</v>
      </c>
      <c r="H160" s="59" t="s">
        <v>53</v>
      </c>
    </row>
    <row r="161">
      <c r="A161" s="10" t="s">
        <v>53</v>
      </c>
      <c r="B161" s="11" t="s">
        <v>53</v>
      </c>
      <c r="C161" s="11" t="s">
        <v>53</v>
      </c>
      <c r="D161" s="98" t="s">
        <v>1204</v>
      </c>
      <c r="E161" s="98" t="s">
        <v>1205</v>
      </c>
      <c r="F161" s="98"/>
      <c r="G161" s="99" t="n">
        <v>-8.25375</v>
      </c>
      <c r="H161" s="59" t="s">
        <v>53</v>
      </c>
    </row>
    <row r="162">
      <c r="A162" s="10" t="s">
        <v>53</v>
      </c>
      <c r="B162" s="11" t="s">
        <v>53</v>
      </c>
      <c r="C162" s="11" t="s">
        <v>53</v>
      </c>
      <c r="D162" s="98" t="s">
        <v>1266</v>
      </c>
      <c r="E162" s="98" t="s">
        <v>1267</v>
      </c>
      <c r="F162" s="98"/>
      <c r="G162" s="99" t="n">
        <v>-11.805</v>
      </c>
      <c r="H162" s="59" t="s">
        <v>53</v>
      </c>
    </row>
    <row r="163">
      <c r="A163" s="10" t="s">
        <v>53</v>
      </c>
      <c r="B163" s="11" t="s">
        <v>53</v>
      </c>
      <c r="C163" s="11" t="s">
        <v>53</v>
      </c>
      <c r="D163" s="98" t="s">
        <v>1268</v>
      </c>
      <c r="E163" s="98" t="s">
        <v>1207</v>
      </c>
      <c r="F163" s="98"/>
      <c r="G163" s="99" t="n">
        <v>-9.96</v>
      </c>
      <c r="H163" s="59" t="s">
        <v>53</v>
      </c>
    </row>
    <row r="164">
      <c r="A164" s="10" t="s">
        <v>192</v>
      </c>
      <c r="B164" s="11" t="s">
        <v>57</v>
      </c>
      <c r="C164" s="11" t="s">
        <v>138</v>
      </c>
      <c r="D164" s="11" t="s">
        <v>139</v>
      </c>
      <c r="E164" s="11"/>
      <c r="F164" s="11" t="s">
        <v>61</v>
      </c>
      <c r="G164" s="57" t="n">
        <v>1914.99475</v>
      </c>
      <c r="H164" s="97" t="n">
        <v>0</v>
      </c>
    </row>
    <row r="165">
      <c r="A165" s="62"/>
      <c r="D165" s="98" t="s">
        <v>1269</v>
      </c>
      <c r="E165" s="98" t="s">
        <v>1247</v>
      </c>
      <c r="F165" s="98"/>
      <c r="G165" s="99" t="n">
        <v>1326.7144</v>
      </c>
      <c r="H165" s="100"/>
    </row>
    <row r="166">
      <c r="A166" s="10" t="s">
        <v>53</v>
      </c>
      <c r="B166" s="11" t="s">
        <v>53</v>
      </c>
      <c r="C166" s="11" t="s">
        <v>53</v>
      </c>
      <c r="D166" s="98" t="s">
        <v>1270</v>
      </c>
      <c r="E166" s="98" t="s">
        <v>1201</v>
      </c>
      <c r="F166" s="98"/>
      <c r="G166" s="99" t="n">
        <v>-134.4</v>
      </c>
      <c r="H166" s="59" t="s">
        <v>53</v>
      </c>
    </row>
    <row r="167">
      <c r="A167" s="10" t="s">
        <v>53</v>
      </c>
      <c r="B167" s="11" t="s">
        <v>53</v>
      </c>
      <c r="C167" s="11" t="s">
        <v>53</v>
      </c>
      <c r="D167" s="98" t="s">
        <v>1271</v>
      </c>
      <c r="E167" s="98" t="s">
        <v>1203</v>
      </c>
      <c r="F167" s="98"/>
      <c r="G167" s="99" t="n">
        <v>-190.8</v>
      </c>
      <c r="H167" s="59" t="s">
        <v>53</v>
      </c>
    </row>
    <row r="168">
      <c r="A168" s="10" t="s">
        <v>53</v>
      </c>
      <c r="B168" s="11" t="s">
        <v>53</v>
      </c>
      <c r="C168" s="11" t="s">
        <v>53</v>
      </c>
      <c r="D168" s="98" t="s">
        <v>1272</v>
      </c>
      <c r="E168" s="98" t="s">
        <v>1273</v>
      </c>
      <c r="F168" s="98"/>
      <c r="G168" s="99" t="n">
        <v>-29.425</v>
      </c>
      <c r="H168" s="59" t="s">
        <v>53</v>
      </c>
    </row>
    <row r="169">
      <c r="A169" s="10" t="s">
        <v>53</v>
      </c>
      <c r="B169" s="11" t="s">
        <v>53</v>
      </c>
      <c r="C169" s="11" t="s">
        <v>53</v>
      </c>
      <c r="D169" s="98" t="s">
        <v>1274</v>
      </c>
      <c r="E169" s="98" t="s">
        <v>1249</v>
      </c>
      <c r="F169" s="98"/>
      <c r="G169" s="99" t="n">
        <v>229.5854</v>
      </c>
      <c r="H169" s="59" t="s">
        <v>53</v>
      </c>
    </row>
    <row r="170">
      <c r="A170" s="10" t="s">
        <v>53</v>
      </c>
      <c r="B170" s="11" t="s">
        <v>53</v>
      </c>
      <c r="C170" s="11" t="s">
        <v>53</v>
      </c>
      <c r="D170" s="98" t="s">
        <v>1275</v>
      </c>
      <c r="E170" s="98" t="s">
        <v>1251</v>
      </c>
      <c r="F170" s="98"/>
      <c r="G170" s="99" t="n">
        <v>782.91125</v>
      </c>
      <c r="H170" s="59" t="s">
        <v>53</v>
      </c>
    </row>
    <row r="171">
      <c r="A171" s="10" t="s">
        <v>53</v>
      </c>
      <c r="B171" s="11" t="s">
        <v>53</v>
      </c>
      <c r="C171" s="11" t="s">
        <v>53</v>
      </c>
      <c r="D171" s="98" t="s">
        <v>1278</v>
      </c>
      <c r="E171" s="98" t="s">
        <v>1220</v>
      </c>
      <c r="F171" s="98"/>
      <c r="G171" s="99" t="n">
        <v>-1.428</v>
      </c>
      <c r="H171" s="59" t="s">
        <v>53</v>
      </c>
    </row>
    <row r="172">
      <c r="A172" s="10" t="s">
        <v>53</v>
      </c>
      <c r="B172" s="11" t="s">
        <v>53</v>
      </c>
      <c r="C172" s="11" t="s">
        <v>53</v>
      </c>
      <c r="D172" s="98" t="s">
        <v>1279</v>
      </c>
      <c r="E172" s="98" t="s">
        <v>1222</v>
      </c>
      <c r="F172" s="98"/>
      <c r="G172" s="99" t="n">
        <v>-5.32</v>
      </c>
      <c r="H172" s="59" t="s">
        <v>53</v>
      </c>
    </row>
    <row r="173">
      <c r="A173" s="10" t="s">
        <v>53</v>
      </c>
      <c r="B173" s="11" t="s">
        <v>53</v>
      </c>
      <c r="C173" s="11" t="s">
        <v>53</v>
      </c>
      <c r="D173" s="98" t="s">
        <v>1280</v>
      </c>
      <c r="E173" s="98" t="s">
        <v>1224</v>
      </c>
      <c r="F173" s="98"/>
      <c r="G173" s="99" t="n">
        <v>-2</v>
      </c>
      <c r="H173" s="59" t="s">
        <v>53</v>
      </c>
    </row>
    <row r="174">
      <c r="A174" s="10" t="s">
        <v>53</v>
      </c>
      <c r="B174" s="11" t="s">
        <v>53</v>
      </c>
      <c r="C174" s="11" t="s">
        <v>53</v>
      </c>
      <c r="D174" s="98" t="s">
        <v>1281</v>
      </c>
      <c r="E174" s="98" t="s">
        <v>1226</v>
      </c>
      <c r="F174" s="98"/>
      <c r="G174" s="99" t="n">
        <v>-3.2</v>
      </c>
      <c r="H174" s="59" t="s">
        <v>53</v>
      </c>
    </row>
    <row r="175">
      <c r="A175" s="10" t="s">
        <v>53</v>
      </c>
      <c r="B175" s="11" t="s">
        <v>53</v>
      </c>
      <c r="C175" s="11" t="s">
        <v>53</v>
      </c>
      <c r="D175" s="98" t="s">
        <v>1282</v>
      </c>
      <c r="E175" s="98" t="s">
        <v>1228</v>
      </c>
      <c r="F175" s="98"/>
      <c r="G175" s="99" t="n">
        <v>-18.48</v>
      </c>
      <c r="H175" s="59" t="s">
        <v>53</v>
      </c>
    </row>
    <row r="176">
      <c r="A176" s="10" t="s">
        <v>53</v>
      </c>
      <c r="B176" s="11" t="s">
        <v>53</v>
      </c>
      <c r="C176" s="11" t="s">
        <v>53</v>
      </c>
      <c r="D176" s="98" t="s">
        <v>1283</v>
      </c>
      <c r="E176" s="98" t="s">
        <v>1230</v>
      </c>
      <c r="F176" s="98"/>
      <c r="G176" s="99" t="n">
        <v>-3.36</v>
      </c>
      <c r="H176" s="59" t="s">
        <v>53</v>
      </c>
    </row>
    <row r="177">
      <c r="A177" s="10" t="s">
        <v>53</v>
      </c>
      <c r="B177" s="11" t="s">
        <v>53</v>
      </c>
      <c r="C177" s="11" t="s">
        <v>53</v>
      </c>
      <c r="D177" s="98" t="s">
        <v>1284</v>
      </c>
      <c r="E177" s="98" t="s">
        <v>1232</v>
      </c>
      <c r="F177" s="98"/>
      <c r="G177" s="99" t="n">
        <v>-2.0538</v>
      </c>
      <c r="H177" s="59" t="s">
        <v>53</v>
      </c>
    </row>
    <row r="178">
      <c r="A178" s="10" t="s">
        <v>53</v>
      </c>
      <c r="B178" s="11" t="s">
        <v>53</v>
      </c>
      <c r="C178" s="11" t="s">
        <v>53</v>
      </c>
      <c r="D178" s="98" t="s">
        <v>1285</v>
      </c>
      <c r="E178" s="98" t="s">
        <v>1234</v>
      </c>
      <c r="F178" s="98"/>
      <c r="G178" s="99" t="n">
        <v>-2.5265</v>
      </c>
      <c r="H178" s="59" t="s">
        <v>53</v>
      </c>
    </row>
    <row r="179">
      <c r="A179" s="10" t="s">
        <v>53</v>
      </c>
      <c r="B179" s="11" t="s">
        <v>53</v>
      </c>
      <c r="C179" s="11" t="s">
        <v>53</v>
      </c>
      <c r="D179" s="98" t="s">
        <v>1286</v>
      </c>
      <c r="E179" s="98" t="s">
        <v>1236</v>
      </c>
      <c r="F179" s="98"/>
      <c r="G179" s="99" t="n">
        <v>-2.8525</v>
      </c>
      <c r="H179" s="59" t="s">
        <v>53</v>
      </c>
    </row>
    <row r="180">
      <c r="A180" s="10" t="s">
        <v>53</v>
      </c>
      <c r="B180" s="11" t="s">
        <v>53</v>
      </c>
      <c r="C180" s="11" t="s">
        <v>53</v>
      </c>
      <c r="D180" s="98" t="s">
        <v>1287</v>
      </c>
      <c r="E180" s="98" t="s">
        <v>1253</v>
      </c>
      <c r="F180" s="98"/>
      <c r="G180" s="99" t="n">
        <v>70.752</v>
      </c>
      <c r="H180" s="59" t="s">
        <v>53</v>
      </c>
    </row>
    <row r="181">
      <c r="A181" s="10" t="s">
        <v>53</v>
      </c>
      <c r="B181" s="11" t="s">
        <v>53</v>
      </c>
      <c r="C181" s="11" t="s">
        <v>53</v>
      </c>
      <c r="D181" s="98" t="s">
        <v>1288</v>
      </c>
      <c r="E181" s="98" t="s">
        <v>1255</v>
      </c>
      <c r="F181" s="98"/>
      <c r="G181" s="99" t="n">
        <v>90.8775</v>
      </c>
      <c r="H181" s="59" t="s">
        <v>53</v>
      </c>
    </row>
    <row r="182">
      <c r="A182" s="10" t="s">
        <v>53</v>
      </c>
      <c r="B182" s="11" t="s">
        <v>53</v>
      </c>
      <c r="C182" s="11" t="s">
        <v>53</v>
      </c>
      <c r="D182" s="98" t="s">
        <v>1276</v>
      </c>
      <c r="E182" s="98" t="s">
        <v>1201</v>
      </c>
      <c r="F182" s="98"/>
      <c r="G182" s="99" t="n">
        <v>-84</v>
      </c>
      <c r="H182" s="59" t="s">
        <v>53</v>
      </c>
    </row>
    <row r="183">
      <c r="A183" s="10" t="s">
        <v>53</v>
      </c>
      <c r="B183" s="11" t="s">
        <v>53</v>
      </c>
      <c r="C183" s="11" t="s">
        <v>53</v>
      </c>
      <c r="D183" s="98" t="s">
        <v>1277</v>
      </c>
      <c r="E183" s="98" t="s">
        <v>1203</v>
      </c>
      <c r="F183" s="98"/>
      <c r="G183" s="99" t="n">
        <v>-106</v>
      </c>
      <c r="H183" s="59" t="s">
        <v>53</v>
      </c>
    </row>
    <row r="184">
      <c r="A184" s="10" t="s">
        <v>193</v>
      </c>
      <c r="B184" s="11" t="s">
        <v>57</v>
      </c>
      <c r="C184" s="11" t="s">
        <v>194</v>
      </c>
      <c r="D184" s="11" t="s">
        <v>195</v>
      </c>
      <c r="E184" s="11"/>
      <c r="F184" s="11" t="s">
        <v>61</v>
      </c>
      <c r="G184" s="57" t="n">
        <v>368.55</v>
      </c>
      <c r="H184" s="97" t="n">
        <v>0</v>
      </c>
    </row>
    <row r="185">
      <c r="A185" s="62"/>
      <c r="D185" s="98" t="s">
        <v>1289</v>
      </c>
      <c r="E185" s="98" t="s">
        <v>53</v>
      </c>
      <c r="F185" s="98"/>
      <c r="G185" s="99" t="n">
        <v>0</v>
      </c>
      <c r="H185" s="100"/>
    </row>
    <row r="186">
      <c r="A186" s="10" t="s">
        <v>53</v>
      </c>
      <c r="B186" s="11" t="s">
        <v>53</v>
      </c>
      <c r="C186" s="11" t="s">
        <v>53</v>
      </c>
      <c r="D186" s="98" t="s">
        <v>1290</v>
      </c>
      <c r="E186" s="98" t="s">
        <v>1201</v>
      </c>
      <c r="F186" s="98"/>
      <c r="G186" s="99" t="n">
        <v>137.7</v>
      </c>
      <c r="H186" s="59" t="s">
        <v>53</v>
      </c>
    </row>
    <row r="187">
      <c r="A187" s="10" t="s">
        <v>53</v>
      </c>
      <c r="B187" s="11" t="s">
        <v>53</v>
      </c>
      <c r="C187" s="11" t="s">
        <v>53</v>
      </c>
      <c r="D187" s="98" t="s">
        <v>1291</v>
      </c>
      <c r="E187" s="98" t="s">
        <v>1203</v>
      </c>
      <c r="F187" s="98"/>
      <c r="G187" s="99" t="n">
        <v>165.735</v>
      </c>
      <c r="H187" s="59" t="s">
        <v>53</v>
      </c>
    </row>
    <row r="188">
      <c r="A188" s="10" t="s">
        <v>53</v>
      </c>
      <c r="B188" s="11" t="s">
        <v>53</v>
      </c>
      <c r="C188" s="11" t="s">
        <v>53</v>
      </c>
      <c r="D188" s="98" t="s">
        <v>1292</v>
      </c>
      <c r="E188" s="98" t="s">
        <v>1220</v>
      </c>
      <c r="F188" s="98"/>
      <c r="G188" s="99" t="n">
        <v>1.236</v>
      </c>
      <c r="H188" s="59" t="s">
        <v>53</v>
      </c>
    </row>
    <row r="189">
      <c r="A189" s="10" t="s">
        <v>53</v>
      </c>
      <c r="B189" s="11" t="s">
        <v>53</v>
      </c>
      <c r="C189" s="11" t="s">
        <v>53</v>
      </c>
      <c r="D189" s="98" t="s">
        <v>1293</v>
      </c>
      <c r="E189" s="98" t="s">
        <v>1222</v>
      </c>
      <c r="F189" s="98"/>
      <c r="G189" s="99" t="n">
        <v>4.86</v>
      </c>
      <c r="H189" s="59" t="s">
        <v>53</v>
      </c>
    </row>
    <row r="190">
      <c r="A190" s="10" t="s">
        <v>53</v>
      </c>
      <c r="B190" s="11" t="s">
        <v>53</v>
      </c>
      <c r="C190" s="11" t="s">
        <v>53</v>
      </c>
      <c r="D190" s="98" t="s">
        <v>1294</v>
      </c>
      <c r="E190" s="98" t="s">
        <v>1224</v>
      </c>
      <c r="F190" s="98"/>
      <c r="G190" s="99" t="n">
        <v>3.6</v>
      </c>
      <c r="H190" s="59" t="s">
        <v>53</v>
      </c>
    </row>
    <row r="191">
      <c r="A191" s="10" t="s">
        <v>53</v>
      </c>
      <c r="B191" s="11" t="s">
        <v>53</v>
      </c>
      <c r="C191" s="11" t="s">
        <v>53</v>
      </c>
      <c r="D191" s="98" t="s">
        <v>1295</v>
      </c>
      <c r="E191" s="98" t="s">
        <v>1226</v>
      </c>
      <c r="F191" s="98"/>
      <c r="G191" s="99" t="n">
        <v>4.05</v>
      </c>
      <c r="H191" s="59" t="s">
        <v>53</v>
      </c>
    </row>
    <row r="192">
      <c r="A192" s="10" t="s">
        <v>53</v>
      </c>
      <c r="B192" s="11" t="s">
        <v>53</v>
      </c>
      <c r="C192" s="11" t="s">
        <v>53</v>
      </c>
      <c r="D192" s="98" t="s">
        <v>1296</v>
      </c>
      <c r="E192" s="98" t="s">
        <v>1228</v>
      </c>
      <c r="F192" s="98"/>
      <c r="G192" s="99" t="n">
        <v>18.72</v>
      </c>
      <c r="H192" s="59" t="s">
        <v>53</v>
      </c>
    </row>
    <row r="193">
      <c r="A193" s="10" t="s">
        <v>53</v>
      </c>
      <c r="B193" s="11" t="s">
        <v>53</v>
      </c>
      <c r="C193" s="11" t="s">
        <v>53</v>
      </c>
      <c r="D193" s="98" t="s">
        <v>1297</v>
      </c>
      <c r="E193" s="98" t="s">
        <v>1230</v>
      </c>
      <c r="F193" s="98"/>
      <c r="G193" s="99" t="n">
        <v>3.96</v>
      </c>
      <c r="H193" s="59" t="s">
        <v>53</v>
      </c>
    </row>
    <row r="194">
      <c r="A194" s="10" t="s">
        <v>53</v>
      </c>
      <c r="B194" s="11" t="s">
        <v>53</v>
      </c>
      <c r="C194" s="11" t="s">
        <v>53</v>
      </c>
      <c r="D194" s="98" t="s">
        <v>1298</v>
      </c>
      <c r="E194" s="98" t="s">
        <v>1205</v>
      </c>
      <c r="F194" s="98"/>
      <c r="G194" s="99" t="n">
        <v>8.451</v>
      </c>
      <c r="H194" s="59" t="s">
        <v>53</v>
      </c>
    </row>
    <row r="195">
      <c r="A195" s="10" t="s">
        <v>53</v>
      </c>
      <c r="B195" s="11" t="s">
        <v>53</v>
      </c>
      <c r="C195" s="11" t="s">
        <v>53</v>
      </c>
      <c r="D195" s="98" t="s">
        <v>1299</v>
      </c>
      <c r="E195" s="98" t="s">
        <v>1232</v>
      </c>
      <c r="F195" s="98"/>
      <c r="G195" s="99" t="n">
        <v>2.124</v>
      </c>
      <c r="H195" s="59" t="s">
        <v>53</v>
      </c>
    </row>
    <row r="196">
      <c r="A196" s="10" t="s">
        <v>53</v>
      </c>
      <c r="B196" s="11" t="s">
        <v>53</v>
      </c>
      <c r="C196" s="11" t="s">
        <v>53</v>
      </c>
      <c r="D196" s="98" t="s">
        <v>1300</v>
      </c>
      <c r="E196" s="98" t="s">
        <v>1234</v>
      </c>
      <c r="F196" s="98"/>
      <c r="G196" s="99" t="n">
        <v>2.2545</v>
      </c>
      <c r="H196" s="59" t="s">
        <v>53</v>
      </c>
    </row>
    <row r="197">
      <c r="A197" s="10" t="s">
        <v>53</v>
      </c>
      <c r="B197" s="11" t="s">
        <v>53</v>
      </c>
      <c r="C197" s="11" t="s">
        <v>53</v>
      </c>
      <c r="D197" s="98" t="s">
        <v>1301</v>
      </c>
      <c r="E197" s="98" t="s">
        <v>1236</v>
      </c>
      <c r="F197" s="98"/>
      <c r="G197" s="99" t="n">
        <v>2.3445</v>
      </c>
      <c r="H197" s="59" t="s">
        <v>53</v>
      </c>
    </row>
    <row r="198">
      <c r="A198" s="10" t="s">
        <v>53</v>
      </c>
      <c r="B198" s="11" t="s">
        <v>53</v>
      </c>
      <c r="C198" s="11" t="s">
        <v>53</v>
      </c>
      <c r="D198" s="98" t="s">
        <v>1302</v>
      </c>
      <c r="E198" s="98" t="s">
        <v>1303</v>
      </c>
      <c r="F198" s="98"/>
      <c r="G198" s="99" t="n">
        <v>13.41</v>
      </c>
      <c r="H198" s="59" t="s">
        <v>53</v>
      </c>
    </row>
    <row r="199">
      <c r="A199" s="10" t="s">
        <v>53</v>
      </c>
      <c r="B199" s="11" t="s">
        <v>53</v>
      </c>
      <c r="C199" s="11" t="s">
        <v>53</v>
      </c>
      <c r="D199" s="98" t="s">
        <v>1304</v>
      </c>
      <c r="E199" s="98" t="s">
        <v>1305</v>
      </c>
      <c r="F199" s="98"/>
      <c r="G199" s="99" t="n">
        <v>0.105</v>
      </c>
      <c r="H199" s="59" t="s">
        <v>53</v>
      </c>
    </row>
    <row r="200">
      <c r="A200" s="10" t="s">
        <v>196</v>
      </c>
      <c r="B200" s="11" t="s">
        <v>57</v>
      </c>
      <c r="C200" s="11" t="s">
        <v>138</v>
      </c>
      <c r="D200" s="11" t="s">
        <v>190</v>
      </c>
      <c r="E200" s="11"/>
      <c r="F200" s="11" t="s">
        <v>61</v>
      </c>
      <c r="G200" s="57" t="n">
        <v>8.451</v>
      </c>
      <c r="H200" s="97" t="n">
        <v>0</v>
      </c>
    </row>
    <row r="201">
      <c r="A201" s="62"/>
      <c r="D201" s="98" t="s">
        <v>1289</v>
      </c>
      <c r="E201" s="98" t="s">
        <v>53</v>
      </c>
      <c r="F201" s="98"/>
      <c r="G201" s="99" t="n">
        <v>0</v>
      </c>
      <c r="H201" s="100"/>
    </row>
    <row r="202">
      <c r="A202" s="10" t="s">
        <v>53</v>
      </c>
      <c r="B202" s="11" t="s">
        <v>53</v>
      </c>
      <c r="C202" s="11" t="s">
        <v>53</v>
      </c>
      <c r="D202" s="98" t="s">
        <v>1298</v>
      </c>
      <c r="E202" s="98" t="s">
        <v>1205</v>
      </c>
      <c r="F202" s="98"/>
      <c r="G202" s="99" t="n">
        <v>8.451</v>
      </c>
      <c r="H202" s="59" t="s">
        <v>53</v>
      </c>
    </row>
    <row r="203">
      <c r="A203" s="10" t="s">
        <v>197</v>
      </c>
      <c r="B203" s="11" t="s">
        <v>57</v>
      </c>
      <c r="C203" s="11" t="s">
        <v>138</v>
      </c>
      <c r="D203" s="11" t="s">
        <v>139</v>
      </c>
      <c r="E203" s="11"/>
      <c r="F203" s="11" t="s">
        <v>61</v>
      </c>
      <c r="G203" s="57" t="n">
        <v>360.099</v>
      </c>
      <c r="H203" s="97" t="n">
        <v>0</v>
      </c>
    </row>
    <row r="204">
      <c r="A204" s="62"/>
      <c r="D204" s="98" t="s">
        <v>1289</v>
      </c>
      <c r="E204" s="98" t="s">
        <v>53</v>
      </c>
      <c r="F204" s="98"/>
      <c r="G204" s="99" t="n">
        <v>0</v>
      </c>
      <c r="H204" s="100"/>
    </row>
    <row r="205">
      <c r="A205" s="10" t="s">
        <v>53</v>
      </c>
      <c r="B205" s="11" t="s">
        <v>53</v>
      </c>
      <c r="C205" s="11" t="s">
        <v>53</v>
      </c>
      <c r="D205" s="98" t="s">
        <v>1290</v>
      </c>
      <c r="E205" s="98" t="s">
        <v>1201</v>
      </c>
      <c r="F205" s="98"/>
      <c r="G205" s="99" t="n">
        <v>137.7</v>
      </c>
      <c r="H205" s="59" t="s">
        <v>53</v>
      </c>
    </row>
    <row r="206">
      <c r="A206" s="10" t="s">
        <v>53</v>
      </c>
      <c r="B206" s="11" t="s">
        <v>53</v>
      </c>
      <c r="C206" s="11" t="s">
        <v>53</v>
      </c>
      <c r="D206" s="98" t="s">
        <v>1291</v>
      </c>
      <c r="E206" s="98" t="s">
        <v>1203</v>
      </c>
      <c r="F206" s="98"/>
      <c r="G206" s="99" t="n">
        <v>165.735</v>
      </c>
      <c r="H206" s="59" t="s">
        <v>53</v>
      </c>
    </row>
    <row r="207">
      <c r="A207" s="10" t="s">
        <v>53</v>
      </c>
      <c r="B207" s="11" t="s">
        <v>53</v>
      </c>
      <c r="C207" s="11" t="s">
        <v>53</v>
      </c>
      <c r="D207" s="98" t="s">
        <v>1292</v>
      </c>
      <c r="E207" s="98" t="s">
        <v>1220</v>
      </c>
      <c r="F207" s="98"/>
      <c r="G207" s="99" t="n">
        <v>1.236</v>
      </c>
      <c r="H207" s="59" t="s">
        <v>53</v>
      </c>
    </row>
    <row r="208">
      <c r="A208" s="10" t="s">
        <v>53</v>
      </c>
      <c r="B208" s="11" t="s">
        <v>53</v>
      </c>
      <c r="C208" s="11" t="s">
        <v>53</v>
      </c>
      <c r="D208" s="98" t="s">
        <v>1293</v>
      </c>
      <c r="E208" s="98" t="s">
        <v>1222</v>
      </c>
      <c r="F208" s="98"/>
      <c r="G208" s="99" t="n">
        <v>4.86</v>
      </c>
      <c r="H208" s="59" t="s">
        <v>53</v>
      </c>
    </row>
    <row r="209">
      <c r="A209" s="10" t="s">
        <v>53</v>
      </c>
      <c r="B209" s="11" t="s">
        <v>53</v>
      </c>
      <c r="C209" s="11" t="s">
        <v>53</v>
      </c>
      <c r="D209" s="98" t="s">
        <v>1294</v>
      </c>
      <c r="E209" s="98" t="s">
        <v>1224</v>
      </c>
      <c r="F209" s="98"/>
      <c r="G209" s="99" t="n">
        <v>3.6</v>
      </c>
      <c r="H209" s="59" t="s">
        <v>53</v>
      </c>
    </row>
    <row r="210">
      <c r="A210" s="10" t="s">
        <v>53</v>
      </c>
      <c r="B210" s="11" t="s">
        <v>53</v>
      </c>
      <c r="C210" s="11" t="s">
        <v>53</v>
      </c>
      <c r="D210" s="98" t="s">
        <v>1295</v>
      </c>
      <c r="E210" s="98" t="s">
        <v>1226</v>
      </c>
      <c r="F210" s="98"/>
      <c r="G210" s="99" t="n">
        <v>4.05</v>
      </c>
      <c r="H210" s="59" t="s">
        <v>53</v>
      </c>
    </row>
    <row r="211">
      <c r="A211" s="10" t="s">
        <v>53</v>
      </c>
      <c r="B211" s="11" t="s">
        <v>53</v>
      </c>
      <c r="C211" s="11" t="s">
        <v>53</v>
      </c>
      <c r="D211" s="98" t="s">
        <v>1296</v>
      </c>
      <c r="E211" s="98" t="s">
        <v>1228</v>
      </c>
      <c r="F211" s="98"/>
      <c r="G211" s="99" t="n">
        <v>18.72</v>
      </c>
      <c r="H211" s="59" t="s">
        <v>53</v>
      </c>
    </row>
    <row r="212">
      <c r="A212" s="10" t="s">
        <v>53</v>
      </c>
      <c r="B212" s="11" t="s">
        <v>53</v>
      </c>
      <c r="C212" s="11" t="s">
        <v>53</v>
      </c>
      <c r="D212" s="98" t="s">
        <v>1297</v>
      </c>
      <c r="E212" s="98" t="s">
        <v>1230</v>
      </c>
      <c r="F212" s="98"/>
      <c r="G212" s="99" t="n">
        <v>3.96</v>
      </c>
      <c r="H212" s="59" t="s">
        <v>53</v>
      </c>
    </row>
    <row r="213">
      <c r="A213" s="10" t="s">
        <v>53</v>
      </c>
      <c r="B213" s="11" t="s">
        <v>53</v>
      </c>
      <c r="C213" s="11" t="s">
        <v>53</v>
      </c>
      <c r="D213" s="98" t="s">
        <v>1299</v>
      </c>
      <c r="E213" s="98" t="s">
        <v>1232</v>
      </c>
      <c r="F213" s="98"/>
      <c r="G213" s="99" t="n">
        <v>2.124</v>
      </c>
      <c r="H213" s="59" t="s">
        <v>53</v>
      </c>
    </row>
    <row r="214">
      <c r="A214" s="10" t="s">
        <v>53</v>
      </c>
      <c r="B214" s="11" t="s">
        <v>53</v>
      </c>
      <c r="C214" s="11" t="s">
        <v>53</v>
      </c>
      <c r="D214" s="98" t="s">
        <v>1300</v>
      </c>
      <c r="E214" s="98" t="s">
        <v>1234</v>
      </c>
      <c r="F214" s="98"/>
      <c r="G214" s="99" t="n">
        <v>2.2545</v>
      </c>
      <c r="H214" s="59" t="s">
        <v>53</v>
      </c>
    </row>
    <row r="215">
      <c r="A215" s="10" t="s">
        <v>53</v>
      </c>
      <c r="B215" s="11" t="s">
        <v>53</v>
      </c>
      <c r="C215" s="11" t="s">
        <v>53</v>
      </c>
      <c r="D215" s="98" t="s">
        <v>1301</v>
      </c>
      <c r="E215" s="98" t="s">
        <v>1236</v>
      </c>
      <c r="F215" s="98"/>
      <c r="G215" s="99" t="n">
        <v>2.3445</v>
      </c>
      <c r="H215" s="59" t="s">
        <v>53</v>
      </c>
    </row>
    <row r="216">
      <c r="A216" s="10" t="s">
        <v>53</v>
      </c>
      <c r="B216" s="11" t="s">
        <v>53</v>
      </c>
      <c r="C216" s="11" t="s">
        <v>53</v>
      </c>
      <c r="D216" s="98" t="s">
        <v>1302</v>
      </c>
      <c r="E216" s="98" t="s">
        <v>1303</v>
      </c>
      <c r="F216" s="98"/>
      <c r="G216" s="99" t="n">
        <v>13.41</v>
      </c>
      <c r="H216" s="59" t="s">
        <v>53</v>
      </c>
    </row>
    <row r="217">
      <c r="A217" s="10" t="s">
        <v>53</v>
      </c>
      <c r="B217" s="11" t="s">
        <v>53</v>
      </c>
      <c r="C217" s="11" t="s">
        <v>53</v>
      </c>
      <c r="D217" s="98" t="s">
        <v>1304</v>
      </c>
      <c r="E217" s="98" t="s">
        <v>1305</v>
      </c>
      <c r="F217" s="98"/>
      <c r="G217" s="99" t="n">
        <v>0.105</v>
      </c>
      <c r="H217" s="59" t="s">
        <v>53</v>
      </c>
    </row>
    <row r="218">
      <c r="A218" s="10" t="s">
        <v>198</v>
      </c>
      <c r="B218" s="11" t="s">
        <v>57</v>
      </c>
      <c r="C218" s="11" t="s">
        <v>199</v>
      </c>
      <c r="D218" s="11" t="s">
        <v>200</v>
      </c>
      <c r="E218" s="11"/>
      <c r="F218" s="11" t="s">
        <v>61</v>
      </c>
      <c r="G218" s="57" t="n">
        <v>95.22225</v>
      </c>
      <c r="H218" s="97" t="n">
        <v>0</v>
      </c>
    </row>
    <row r="219">
      <c r="A219" s="62"/>
      <c r="D219" s="98" t="s">
        <v>1306</v>
      </c>
      <c r="E219" s="98" t="s">
        <v>1211</v>
      </c>
      <c r="F219" s="98"/>
      <c r="G219" s="99" t="n">
        <v>103.22225</v>
      </c>
      <c r="H219" s="100"/>
    </row>
    <row r="220">
      <c r="A220" s="10" t="s">
        <v>53</v>
      </c>
      <c r="B220" s="11" t="s">
        <v>53</v>
      </c>
      <c r="C220" s="11" t="s">
        <v>53</v>
      </c>
      <c r="D220" s="98" t="s">
        <v>1307</v>
      </c>
      <c r="E220" s="98" t="s">
        <v>1216</v>
      </c>
      <c r="F220" s="98"/>
      <c r="G220" s="99" t="n">
        <v>-8</v>
      </c>
      <c r="H220" s="59" t="s">
        <v>53</v>
      </c>
    </row>
    <row r="221">
      <c r="A221" s="10" t="s">
        <v>202</v>
      </c>
      <c r="B221" s="11" t="s">
        <v>57</v>
      </c>
      <c r="C221" s="11" t="s">
        <v>203</v>
      </c>
      <c r="D221" s="11" t="s">
        <v>200</v>
      </c>
      <c r="E221" s="11"/>
      <c r="F221" s="11" t="s">
        <v>61</v>
      </c>
      <c r="G221" s="57" t="n">
        <v>32.5965</v>
      </c>
      <c r="H221" s="97" t="n">
        <v>0</v>
      </c>
    </row>
    <row r="222">
      <c r="A222" s="62"/>
      <c r="D222" s="98" t="s">
        <v>1308</v>
      </c>
      <c r="E222" s="98" t="s">
        <v>1309</v>
      </c>
      <c r="F222" s="98"/>
      <c r="G222" s="99" t="n">
        <v>32.5965</v>
      </c>
      <c r="H222" s="100"/>
    </row>
    <row r="223">
      <c r="A223" s="10" t="s">
        <v>205</v>
      </c>
      <c r="B223" s="11" t="s">
        <v>57</v>
      </c>
      <c r="C223" s="11" t="s">
        <v>206</v>
      </c>
      <c r="D223" s="11" t="s">
        <v>207</v>
      </c>
      <c r="E223" s="11"/>
      <c r="F223" s="11" t="s">
        <v>61</v>
      </c>
      <c r="G223" s="57" t="n">
        <v>52.642</v>
      </c>
      <c r="H223" s="97" t="n">
        <v>0</v>
      </c>
    </row>
    <row r="224">
      <c r="A224" s="62"/>
      <c r="D224" s="98" t="s">
        <v>1310</v>
      </c>
      <c r="E224" s="98" t="s">
        <v>1211</v>
      </c>
      <c r="F224" s="98"/>
      <c r="G224" s="99" t="n">
        <v>57.442</v>
      </c>
      <c r="H224" s="100"/>
    </row>
    <row r="225">
      <c r="A225" s="10" t="s">
        <v>53</v>
      </c>
      <c r="B225" s="11" t="s">
        <v>53</v>
      </c>
      <c r="C225" s="11" t="s">
        <v>53</v>
      </c>
      <c r="D225" s="98" t="s">
        <v>1311</v>
      </c>
      <c r="E225" s="98" t="s">
        <v>1216</v>
      </c>
      <c r="F225" s="98"/>
      <c r="G225" s="99" t="n">
        <v>-4.8</v>
      </c>
      <c r="H225" s="59" t="s">
        <v>53</v>
      </c>
    </row>
    <row r="226">
      <c r="A226" s="10" t="s">
        <v>208</v>
      </c>
      <c r="B226" s="11" t="s">
        <v>57</v>
      </c>
      <c r="C226" s="11" t="s">
        <v>209</v>
      </c>
      <c r="D226" s="11" t="s">
        <v>207</v>
      </c>
      <c r="E226" s="11"/>
      <c r="F226" s="11" t="s">
        <v>61</v>
      </c>
      <c r="G226" s="57" t="n">
        <v>17.871</v>
      </c>
      <c r="H226" s="97" t="n">
        <v>0</v>
      </c>
    </row>
    <row r="227">
      <c r="A227" s="62"/>
      <c r="D227" s="98" t="s">
        <v>1312</v>
      </c>
      <c r="E227" s="98" t="s">
        <v>1309</v>
      </c>
      <c r="F227" s="98"/>
      <c r="G227" s="99" t="n">
        <v>17.871</v>
      </c>
      <c r="H227" s="100"/>
    </row>
    <row r="228">
      <c r="A228" s="10" t="s">
        <v>210</v>
      </c>
      <c r="B228" s="11" t="s">
        <v>57</v>
      </c>
      <c r="C228" s="11" t="s">
        <v>211</v>
      </c>
      <c r="D228" s="11" t="s">
        <v>212</v>
      </c>
      <c r="E228" s="11"/>
      <c r="F228" s="11" t="s">
        <v>61</v>
      </c>
      <c r="G228" s="57" t="n">
        <v>24.723</v>
      </c>
      <c r="H228" s="97" t="n">
        <v>0</v>
      </c>
    </row>
    <row r="229">
      <c r="A229" s="62"/>
      <c r="D229" s="98" t="s">
        <v>1289</v>
      </c>
      <c r="E229" s="98" t="s">
        <v>53</v>
      </c>
      <c r="F229" s="98"/>
      <c r="G229" s="99" t="n">
        <v>0</v>
      </c>
      <c r="H229" s="100"/>
    </row>
    <row r="230">
      <c r="A230" s="10" t="s">
        <v>53</v>
      </c>
      <c r="B230" s="11" t="s">
        <v>53</v>
      </c>
      <c r="C230" s="11" t="s">
        <v>53</v>
      </c>
      <c r="D230" s="98" t="s">
        <v>1313</v>
      </c>
      <c r="E230" s="98" t="s">
        <v>1216</v>
      </c>
      <c r="F230" s="98"/>
      <c r="G230" s="99" t="n">
        <v>20.16</v>
      </c>
      <c r="H230" s="59" t="s">
        <v>53</v>
      </c>
    </row>
    <row r="231">
      <c r="A231" s="10" t="s">
        <v>53</v>
      </c>
      <c r="B231" s="11" t="s">
        <v>53</v>
      </c>
      <c r="C231" s="11" t="s">
        <v>53</v>
      </c>
      <c r="D231" s="98" t="s">
        <v>1314</v>
      </c>
      <c r="E231" s="98" t="s">
        <v>1205</v>
      </c>
      <c r="F231" s="98"/>
      <c r="G231" s="99" t="n">
        <v>2.079</v>
      </c>
      <c r="H231" s="59" t="s">
        <v>53</v>
      </c>
    </row>
    <row r="232">
      <c r="A232" s="10" t="s">
        <v>53</v>
      </c>
      <c r="B232" s="11" t="s">
        <v>53</v>
      </c>
      <c r="C232" s="11" t="s">
        <v>53</v>
      </c>
      <c r="D232" s="98" t="s">
        <v>1315</v>
      </c>
      <c r="E232" s="98" t="s">
        <v>1232</v>
      </c>
      <c r="F232" s="98"/>
      <c r="G232" s="99" t="n">
        <v>0.828</v>
      </c>
      <c r="H232" s="59" t="s">
        <v>53</v>
      </c>
    </row>
    <row r="233">
      <c r="A233" s="10" t="s">
        <v>53</v>
      </c>
      <c r="B233" s="11" t="s">
        <v>53</v>
      </c>
      <c r="C233" s="11" t="s">
        <v>53</v>
      </c>
      <c r="D233" s="98" t="s">
        <v>1315</v>
      </c>
      <c r="E233" s="98" t="s">
        <v>1234</v>
      </c>
      <c r="F233" s="98"/>
      <c r="G233" s="99" t="n">
        <v>0.828</v>
      </c>
      <c r="H233" s="59" t="s">
        <v>53</v>
      </c>
    </row>
    <row r="234">
      <c r="A234" s="10" t="s">
        <v>53</v>
      </c>
      <c r="B234" s="11" t="s">
        <v>53</v>
      </c>
      <c r="C234" s="11" t="s">
        <v>53</v>
      </c>
      <c r="D234" s="98" t="s">
        <v>1315</v>
      </c>
      <c r="E234" s="98" t="s">
        <v>1236</v>
      </c>
      <c r="F234" s="98"/>
      <c r="G234" s="99" t="n">
        <v>0.828</v>
      </c>
      <c r="H234" s="59" t="s">
        <v>53</v>
      </c>
    </row>
    <row r="235">
      <c r="A235" s="10" t="s">
        <v>213</v>
      </c>
      <c r="B235" s="11" t="s">
        <v>57</v>
      </c>
      <c r="C235" s="11" t="s">
        <v>214</v>
      </c>
      <c r="D235" s="11" t="s">
        <v>215</v>
      </c>
      <c r="E235" s="11"/>
      <c r="F235" s="11" t="s">
        <v>61</v>
      </c>
      <c r="G235" s="57" t="n">
        <v>129.621</v>
      </c>
      <c r="H235" s="97" t="n">
        <v>0</v>
      </c>
    </row>
    <row r="236">
      <c r="A236" s="62"/>
      <c r="D236" s="98" t="s">
        <v>1316</v>
      </c>
      <c r="E236" s="98" t="s">
        <v>1216</v>
      </c>
      <c r="F236" s="98"/>
      <c r="G236" s="99" t="n">
        <v>8.64</v>
      </c>
      <c r="H236" s="100"/>
    </row>
    <row r="237">
      <c r="A237" s="10" t="s">
        <v>53</v>
      </c>
      <c r="B237" s="11" t="s">
        <v>53</v>
      </c>
      <c r="C237" s="11" t="s">
        <v>53</v>
      </c>
      <c r="D237" s="98" t="s">
        <v>1317</v>
      </c>
      <c r="E237" s="98" t="s">
        <v>1201</v>
      </c>
      <c r="F237" s="98"/>
      <c r="G237" s="99" t="n">
        <v>56.7</v>
      </c>
      <c r="H237" s="59" t="s">
        <v>53</v>
      </c>
    </row>
    <row r="238">
      <c r="A238" s="10" t="s">
        <v>53</v>
      </c>
      <c r="B238" s="11" t="s">
        <v>53</v>
      </c>
      <c r="C238" s="11" t="s">
        <v>53</v>
      </c>
      <c r="D238" s="98" t="s">
        <v>1318</v>
      </c>
      <c r="E238" s="98" t="s">
        <v>1203</v>
      </c>
      <c r="F238" s="98"/>
      <c r="G238" s="99" t="n">
        <v>51.435</v>
      </c>
      <c r="H238" s="59" t="s">
        <v>53</v>
      </c>
    </row>
    <row r="239">
      <c r="A239" s="10" t="s">
        <v>53</v>
      </c>
      <c r="B239" s="11" t="s">
        <v>53</v>
      </c>
      <c r="C239" s="11" t="s">
        <v>53</v>
      </c>
      <c r="D239" s="98" t="s">
        <v>1319</v>
      </c>
      <c r="E239" s="98" t="s">
        <v>1220</v>
      </c>
      <c r="F239" s="98"/>
      <c r="G239" s="99" t="n">
        <v>0.336</v>
      </c>
      <c r="H239" s="59" t="s">
        <v>53</v>
      </c>
    </row>
    <row r="240">
      <c r="A240" s="10" t="s">
        <v>53</v>
      </c>
      <c r="B240" s="11" t="s">
        <v>53</v>
      </c>
      <c r="C240" s="11" t="s">
        <v>53</v>
      </c>
      <c r="D240" s="98" t="s">
        <v>1320</v>
      </c>
      <c r="E240" s="98" t="s">
        <v>1222</v>
      </c>
      <c r="F240" s="98"/>
      <c r="G240" s="99" t="n">
        <v>1.26</v>
      </c>
      <c r="H240" s="59" t="s">
        <v>53</v>
      </c>
    </row>
    <row r="241">
      <c r="A241" s="10" t="s">
        <v>53</v>
      </c>
      <c r="B241" s="11" t="s">
        <v>53</v>
      </c>
      <c r="C241" s="11" t="s">
        <v>53</v>
      </c>
      <c r="D241" s="98" t="s">
        <v>1321</v>
      </c>
      <c r="E241" s="98" t="s">
        <v>1224</v>
      </c>
      <c r="F241" s="98"/>
      <c r="G241" s="99" t="n">
        <v>0.9</v>
      </c>
      <c r="H241" s="59" t="s">
        <v>53</v>
      </c>
    </row>
    <row r="242">
      <c r="A242" s="10" t="s">
        <v>53</v>
      </c>
      <c r="B242" s="11" t="s">
        <v>53</v>
      </c>
      <c r="C242" s="11" t="s">
        <v>53</v>
      </c>
      <c r="D242" s="98" t="s">
        <v>1322</v>
      </c>
      <c r="E242" s="98" t="s">
        <v>1226</v>
      </c>
      <c r="F242" s="98"/>
      <c r="G242" s="99" t="n">
        <v>1.35</v>
      </c>
      <c r="H242" s="59" t="s">
        <v>53</v>
      </c>
    </row>
    <row r="243">
      <c r="A243" s="10" t="s">
        <v>53</v>
      </c>
      <c r="B243" s="11" t="s">
        <v>53</v>
      </c>
      <c r="C243" s="11" t="s">
        <v>53</v>
      </c>
      <c r="D243" s="98" t="s">
        <v>1323</v>
      </c>
      <c r="E243" s="98" t="s">
        <v>1228</v>
      </c>
      <c r="F243" s="98"/>
      <c r="G243" s="99" t="n">
        <v>7.2</v>
      </c>
      <c r="H243" s="59" t="s">
        <v>53</v>
      </c>
    </row>
    <row r="244">
      <c r="A244" s="10" t="s">
        <v>53</v>
      </c>
      <c r="B244" s="11" t="s">
        <v>53</v>
      </c>
      <c r="C244" s="11" t="s">
        <v>53</v>
      </c>
      <c r="D244" s="98" t="s">
        <v>1324</v>
      </c>
      <c r="E244" s="98" t="s">
        <v>1230</v>
      </c>
      <c r="F244" s="98"/>
      <c r="G244" s="99" t="n">
        <v>1.8</v>
      </c>
      <c r="H244" s="59" t="s">
        <v>53</v>
      </c>
    </row>
    <row r="245">
      <c r="A245" s="10" t="s">
        <v>216</v>
      </c>
      <c r="B245" s="11" t="s">
        <v>57</v>
      </c>
      <c r="C245" s="11" t="s">
        <v>217</v>
      </c>
      <c r="D245" s="11" t="s">
        <v>218</v>
      </c>
      <c r="E245" s="11"/>
      <c r="F245" s="11" t="s">
        <v>61</v>
      </c>
      <c r="G245" s="57" t="n">
        <v>41.23</v>
      </c>
      <c r="H245" s="97" t="n">
        <v>0</v>
      </c>
    </row>
    <row r="246">
      <c r="A246" s="62"/>
      <c r="D246" s="98" t="s">
        <v>1325</v>
      </c>
      <c r="E246" s="98" t="s">
        <v>1326</v>
      </c>
      <c r="F246" s="98"/>
      <c r="G246" s="99" t="n">
        <v>11.805</v>
      </c>
      <c r="H246" s="100"/>
    </row>
    <row r="247">
      <c r="A247" s="10" t="s">
        <v>53</v>
      </c>
      <c r="B247" s="11" t="s">
        <v>53</v>
      </c>
      <c r="C247" s="11" t="s">
        <v>53</v>
      </c>
      <c r="D247" s="98" t="s">
        <v>1327</v>
      </c>
      <c r="E247" s="98" t="s">
        <v>1328</v>
      </c>
      <c r="F247" s="98"/>
      <c r="G247" s="99" t="n">
        <v>29.425</v>
      </c>
      <c r="H247" s="59" t="s">
        <v>53</v>
      </c>
    </row>
    <row r="248">
      <c r="A248" s="10" t="s">
        <v>219</v>
      </c>
      <c r="B248" s="11" t="s">
        <v>57</v>
      </c>
      <c r="C248" s="11" t="s">
        <v>138</v>
      </c>
      <c r="D248" s="11" t="s">
        <v>190</v>
      </c>
      <c r="E248" s="11"/>
      <c r="F248" s="11" t="s">
        <v>61</v>
      </c>
      <c r="G248" s="57" t="n">
        <v>11.805</v>
      </c>
      <c r="H248" s="97" t="n">
        <v>0</v>
      </c>
    </row>
    <row r="249">
      <c r="A249" s="62"/>
      <c r="D249" s="98" t="s">
        <v>1325</v>
      </c>
      <c r="E249" s="98" t="s">
        <v>1326</v>
      </c>
      <c r="F249" s="98"/>
      <c r="G249" s="99" t="n">
        <v>11.805</v>
      </c>
      <c r="H249" s="100"/>
    </row>
    <row r="250">
      <c r="A250" s="10" t="s">
        <v>220</v>
      </c>
      <c r="B250" s="11" t="s">
        <v>57</v>
      </c>
      <c r="C250" s="11" t="s">
        <v>138</v>
      </c>
      <c r="D250" s="11" t="s">
        <v>139</v>
      </c>
      <c r="E250" s="11"/>
      <c r="F250" s="11" t="s">
        <v>61</v>
      </c>
      <c r="G250" s="57" t="n">
        <v>29.425</v>
      </c>
      <c r="H250" s="97" t="n">
        <v>0</v>
      </c>
    </row>
    <row r="251">
      <c r="A251" s="62"/>
      <c r="D251" s="98" t="s">
        <v>1327</v>
      </c>
      <c r="E251" s="98" t="s">
        <v>1328</v>
      </c>
      <c r="F251" s="98"/>
      <c r="G251" s="99" t="n">
        <v>29.425</v>
      </c>
      <c r="H251" s="100"/>
    </row>
    <row r="252">
      <c r="A252" s="10" t="s">
        <v>221</v>
      </c>
      <c r="B252" s="11" t="s">
        <v>57</v>
      </c>
      <c r="C252" s="11" t="s">
        <v>222</v>
      </c>
      <c r="D252" s="11" t="s">
        <v>218</v>
      </c>
      <c r="E252" s="11"/>
      <c r="F252" s="11" t="s">
        <v>61</v>
      </c>
      <c r="G252" s="57" t="n">
        <v>9.96</v>
      </c>
      <c r="H252" s="97" t="n">
        <v>0</v>
      </c>
    </row>
    <row r="253">
      <c r="A253" s="62"/>
      <c r="D253" s="98" t="s">
        <v>1329</v>
      </c>
      <c r="E253" s="98" t="s">
        <v>1330</v>
      </c>
      <c r="F253" s="98"/>
      <c r="G253" s="99" t="n">
        <v>9.96</v>
      </c>
      <c r="H253" s="100"/>
    </row>
    <row r="254">
      <c r="A254" s="10" t="s">
        <v>223</v>
      </c>
      <c r="B254" s="11" t="s">
        <v>57</v>
      </c>
      <c r="C254" s="11" t="s">
        <v>224</v>
      </c>
      <c r="D254" s="11" t="s">
        <v>225</v>
      </c>
      <c r="E254" s="11"/>
      <c r="F254" s="11" t="s">
        <v>61</v>
      </c>
      <c r="G254" s="57" t="n">
        <v>185.0475</v>
      </c>
      <c r="H254" s="97" t="n">
        <v>0</v>
      </c>
    </row>
    <row r="255">
      <c r="A255" s="62"/>
      <c r="D255" s="98" t="s">
        <v>1331</v>
      </c>
      <c r="E255" s="98" t="s">
        <v>1211</v>
      </c>
      <c r="F255" s="98"/>
      <c r="G255" s="99" t="n">
        <v>119.5205</v>
      </c>
      <c r="H255" s="100"/>
    </row>
    <row r="256">
      <c r="A256" s="10" t="s">
        <v>53</v>
      </c>
      <c r="B256" s="11" t="s">
        <v>53</v>
      </c>
      <c r="C256" s="11" t="s">
        <v>53</v>
      </c>
      <c r="D256" s="98" t="s">
        <v>1332</v>
      </c>
      <c r="E256" s="98" t="s">
        <v>1211</v>
      </c>
      <c r="F256" s="98"/>
      <c r="G256" s="99" t="n">
        <v>65.527</v>
      </c>
      <c r="H256" s="59" t="s">
        <v>53</v>
      </c>
    </row>
    <row r="257">
      <c r="A257" s="10" t="s">
        <v>226</v>
      </c>
      <c r="B257" s="11" t="s">
        <v>57</v>
      </c>
      <c r="C257" s="11" t="s">
        <v>227</v>
      </c>
      <c r="D257" s="11" t="s">
        <v>228</v>
      </c>
      <c r="E257" s="11"/>
      <c r="F257" s="11" t="s">
        <v>126</v>
      </c>
      <c r="G257" s="57" t="n">
        <v>662.4</v>
      </c>
      <c r="H257" s="97" t="n">
        <v>0</v>
      </c>
    </row>
    <row r="258">
      <c r="A258" s="62"/>
      <c r="D258" s="98" t="s">
        <v>1333</v>
      </c>
      <c r="E258" s="98" t="s">
        <v>1203</v>
      </c>
      <c r="F258" s="98"/>
      <c r="G258" s="99" t="n">
        <v>662.4</v>
      </c>
      <c r="H258" s="100"/>
    </row>
    <row r="259">
      <c r="A259" s="10" t="s">
        <v>230</v>
      </c>
      <c r="B259" s="11" t="s">
        <v>57</v>
      </c>
      <c r="C259" s="11" t="s">
        <v>231</v>
      </c>
      <c r="D259" s="11" t="s">
        <v>228</v>
      </c>
      <c r="E259" s="11"/>
      <c r="F259" s="11" t="s">
        <v>126</v>
      </c>
      <c r="G259" s="57" t="n">
        <v>156.1</v>
      </c>
      <c r="H259" s="97" t="n">
        <v>0</v>
      </c>
    </row>
    <row r="260">
      <c r="A260" s="62"/>
      <c r="D260" s="98" t="s">
        <v>1334</v>
      </c>
      <c r="E260" s="98" t="s">
        <v>1335</v>
      </c>
      <c r="F260" s="98"/>
      <c r="G260" s="99" t="n">
        <v>16.5</v>
      </c>
      <c r="H260" s="100"/>
    </row>
    <row r="261">
      <c r="A261" s="10" t="s">
        <v>53</v>
      </c>
      <c r="B261" s="11" t="s">
        <v>53</v>
      </c>
      <c r="C261" s="11" t="s">
        <v>53</v>
      </c>
      <c r="D261" s="98" t="s">
        <v>1336</v>
      </c>
      <c r="E261" s="98" t="s">
        <v>53</v>
      </c>
      <c r="F261" s="98"/>
      <c r="G261" s="99" t="n">
        <v>8.6</v>
      </c>
      <c r="H261" s="59" t="s">
        <v>53</v>
      </c>
    </row>
    <row r="262">
      <c r="A262" s="10" t="s">
        <v>53</v>
      </c>
      <c r="B262" s="11" t="s">
        <v>53</v>
      </c>
      <c r="C262" s="11" t="s">
        <v>53</v>
      </c>
      <c r="D262" s="98" t="s">
        <v>1337</v>
      </c>
      <c r="E262" s="98" t="s">
        <v>53</v>
      </c>
      <c r="F262" s="98"/>
      <c r="G262" s="99" t="n">
        <v>8.1</v>
      </c>
      <c r="H262" s="59" t="s">
        <v>53</v>
      </c>
    </row>
    <row r="263">
      <c r="A263" s="10" t="s">
        <v>53</v>
      </c>
      <c r="B263" s="11" t="s">
        <v>53</v>
      </c>
      <c r="C263" s="11" t="s">
        <v>53</v>
      </c>
      <c r="D263" s="98" t="s">
        <v>1338</v>
      </c>
      <c r="E263" s="98" t="s">
        <v>53</v>
      </c>
      <c r="F263" s="98"/>
      <c r="G263" s="99" t="n">
        <v>85.4</v>
      </c>
      <c r="H263" s="59" t="s">
        <v>53</v>
      </c>
    </row>
    <row r="264">
      <c r="A264" s="10" t="s">
        <v>53</v>
      </c>
      <c r="B264" s="11" t="s">
        <v>53</v>
      </c>
      <c r="C264" s="11" t="s">
        <v>53</v>
      </c>
      <c r="D264" s="98" t="s">
        <v>1339</v>
      </c>
      <c r="E264" s="98" t="s">
        <v>53</v>
      </c>
      <c r="F264" s="98"/>
      <c r="G264" s="99" t="n">
        <v>18.9</v>
      </c>
      <c r="H264" s="59" t="s">
        <v>53</v>
      </c>
    </row>
    <row r="265">
      <c r="A265" s="10" t="s">
        <v>53</v>
      </c>
      <c r="B265" s="11" t="s">
        <v>53</v>
      </c>
      <c r="C265" s="11" t="s">
        <v>53</v>
      </c>
      <c r="D265" s="98" t="s">
        <v>1340</v>
      </c>
      <c r="E265" s="98" t="s">
        <v>53</v>
      </c>
      <c r="F265" s="98"/>
      <c r="G265" s="99" t="n">
        <v>18.6</v>
      </c>
      <c r="H265" s="59" t="s">
        <v>53</v>
      </c>
    </row>
    <row r="266">
      <c r="A266" s="10" t="s">
        <v>233</v>
      </c>
      <c r="B266" s="11" t="s">
        <v>57</v>
      </c>
      <c r="C266" s="11" t="s">
        <v>138</v>
      </c>
      <c r="D266" s="11" t="s">
        <v>139</v>
      </c>
      <c r="E266" s="11"/>
      <c r="F266" s="11" t="s">
        <v>61</v>
      </c>
      <c r="G266" s="57" t="n">
        <v>163.32</v>
      </c>
      <c r="H266" s="97" t="n">
        <v>0</v>
      </c>
    </row>
    <row r="267">
      <c r="A267" s="62"/>
      <c r="D267" s="98" t="s">
        <v>1341</v>
      </c>
      <c r="E267" s="98" t="s">
        <v>1203</v>
      </c>
      <c r="F267" s="98"/>
      <c r="G267" s="99" t="n">
        <v>125.856</v>
      </c>
      <c r="H267" s="100"/>
    </row>
    <row r="268">
      <c r="A268" s="10" t="s">
        <v>53</v>
      </c>
      <c r="B268" s="11" t="s">
        <v>53</v>
      </c>
      <c r="C268" s="11" t="s">
        <v>53</v>
      </c>
      <c r="D268" s="98" t="s">
        <v>1342</v>
      </c>
      <c r="E268" s="98" t="s">
        <v>1335</v>
      </c>
      <c r="F268" s="98"/>
      <c r="G268" s="99" t="n">
        <v>3.96</v>
      </c>
      <c r="H268" s="59" t="s">
        <v>53</v>
      </c>
    </row>
    <row r="269">
      <c r="A269" s="10" t="s">
        <v>53</v>
      </c>
      <c r="B269" s="11" t="s">
        <v>53</v>
      </c>
      <c r="C269" s="11" t="s">
        <v>53</v>
      </c>
      <c r="D269" s="98" t="s">
        <v>1343</v>
      </c>
      <c r="E269" s="98" t="s">
        <v>53</v>
      </c>
      <c r="F269" s="98"/>
      <c r="G269" s="99" t="n">
        <v>2.064</v>
      </c>
      <c r="H269" s="59" t="s">
        <v>53</v>
      </c>
    </row>
    <row r="270">
      <c r="A270" s="10" t="s">
        <v>53</v>
      </c>
      <c r="B270" s="11" t="s">
        <v>53</v>
      </c>
      <c r="C270" s="11" t="s">
        <v>53</v>
      </c>
      <c r="D270" s="98" t="s">
        <v>1344</v>
      </c>
      <c r="E270" s="98" t="s">
        <v>53</v>
      </c>
      <c r="F270" s="98"/>
      <c r="G270" s="99" t="n">
        <v>1.944</v>
      </c>
      <c r="H270" s="59" t="s">
        <v>53</v>
      </c>
    </row>
    <row r="271">
      <c r="A271" s="10" t="s">
        <v>53</v>
      </c>
      <c r="B271" s="11" t="s">
        <v>53</v>
      </c>
      <c r="C271" s="11" t="s">
        <v>53</v>
      </c>
      <c r="D271" s="98" t="s">
        <v>1345</v>
      </c>
      <c r="E271" s="98" t="s">
        <v>53</v>
      </c>
      <c r="F271" s="98"/>
      <c r="G271" s="99" t="n">
        <v>20.496</v>
      </c>
      <c r="H271" s="59" t="s">
        <v>53</v>
      </c>
    </row>
    <row r="272">
      <c r="A272" s="10" t="s">
        <v>53</v>
      </c>
      <c r="B272" s="11" t="s">
        <v>53</v>
      </c>
      <c r="C272" s="11" t="s">
        <v>53</v>
      </c>
      <c r="D272" s="98" t="s">
        <v>1346</v>
      </c>
      <c r="E272" s="98" t="s">
        <v>53</v>
      </c>
      <c r="F272" s="98"/>
      <c r="G272" s="99" t="n">
        <v>4.536</v>
      </c>
      <c r="H272" s="59" t="s">
        <v>53</v>
      </c>
    </row>
    <row r="273">
      <c r="A273" s="10" t="s">
        <v>53</v>
      </c>
      <c r="B273" s="11" t="s">
        <v>53</v>
      </c>
      <c r="C273" s="11" t="s">
        <v>53</v>
      </c>
      <c r="D273" s="98" t="s">
        <v>1347</v>
      </c>
      <c r="E273" s="98" t="s">
        <v>53</v>
      </c>
      <c r="F273" s="98"/>
      <c r="G273" s="99" t="n">
        <v>4.464</v>
      </c>
      <c r="H273" s="59" t="s">
        <v>53</v>
      </c>
    </row>
    <row r="274">
      <c r="A274" s="10" t="s">
        <v>234</v>
      </c>
      <c r="B274" s="11" t="s">
        <v>57</v>
      </c>
      <c r="C274" s="11" t="s">
        <v>138</v>
      </c>
      <c r="D274" s="11" t="s">
        <v>235</v>
      </c>
      <c r="E274" s="11"/>
      <c r="F274" s="11" t="s">
        <v>126</v>
      </c>
      <c r="G274" s="57" t="n">
        <v>30.85</v>
      </c>
      <c r="H274" s="97" t="n">
        <v>0</v>
      </c>
    </row>
    <row r="275">
      <c r="A275" s="62"/>
      <c r="D275" s="98" t="s">
        <v>1348</v>
      </c>
      <c r="E275" s="98" t="s">
        <v>1196</v>
      </c>
      <c r="F275" s="98"/>
      <c r="G275" s="99" t="n">
        <v>8.85</v>
      </c>
      <c r="H275" s="100"/>
    </row>
    <row r="276">
      <c r="A276" s="10" t="s">
        <v>53</v>
      </c>
      <c r="B276" s="11" t="s">
        <v>53</v>
      </c>
      <c r="C276" s="11" t="s">
        <v>53</v>
      </c>
      <c r="D276" s="98" t="s">
        <v>1349</v>
      </c>
      <c r="E276" s="98" t="s">
        <v>53</v>
      </c>
      <c r="F276" s="98"/>
      <c r="G276" s="99" t="n">
        <v>7.6</v>
      </c>
      <c r="H276" s="59" t="s">
        <v>53</v>
      </c>
    </row>
    <row r="277">
      <c r="A277" s="10" t="s">
        <v>53</v>
      </c>
      <c r="B277" s="11" t="s">
        <v>53</v>
      </c>
      <c r="C277" s="11" t="s">
        <v>53</v>
      </c>
      <c r="D277" s="98" t="s">
        <v>1350</v>
      </c>
      <c r="E277" s="98" t="s">
        <v>53</v>
      </c>
      <c r="F277" s="98"/>
      <c r="G277" s="99" t="n">
        <v>14.4</v>
      </c>
      <c r="H277" s="59" t="s">
        <v>53</v>
      </c>
    </row>
    <row r="278">
      <c r="A278" s="10" t="s">
        <v>236</v>
      </c>
      <c r="B278" s="11" t="s">
        <v>57</v>
      </c>
      <c r="C278" s="11" t="s">
        <v>237</v>
      </c>
      <c r="D278" s="11" t="s">
        <v>238</v>
      </c>
      <c r="E278" s="11"/>
      <c r="F278" s="11" t="s">
        <v>61</v>
      </c>
      <c r="G278" s="57" t="n">
        <v>164.955</v>
      </c>
      <c r="H278" s="97" t="n">
        <v>0</v>
      </c>
    </row>
    <row r="279">
      <c r="A279" s="62"/>
      <c r="D279" s="98" t="s">
        <v>1351</v>
      </c>
      <c r="E279" s="98" t="s">
        <v>1209</v>
      </c>
      <c r="F279" s="98"/>
      <c r="G279" s="99" t="n">
        <v>88.995</v>
      </c>
      <c r="H279" s="100"/>
    </row>
    <row r="280">
      <c r="A280" s="10" t="s">
        <v>53</v>
      </c>
      <c r="B280" s="11" t="s">
        <v>53</v>
      </c>
      <c r="C280" s="11" t="s">
        <v>53</v>
      </c>
      <c r="D280" s="98" t="s">
        <v>1352</v>
      </c>
      <c r="E280" s="98" t="s">
        <v>1353</v>
      </c>
      <c r="F280" s="98"/>
      <c r="G280" s="99" t="n">
        <v>33.66</v>
      </c>
      <c r="H280" s="59" t="s">
        <v>53</v>
      </c>
    </row>
    <row r="281">
      <c r="A281" s="10" t="s">
        <v>53</v>
      </c>
      <c r="B281" s="11" t="s">
        <v>53</v>
      </c>
      <c r="C281" s="11" t="s">
        <v>53</v>
      </c>
      <c r="D281" s="98" t="s">
        <v>1354</v>
      </c>
      <c r="E281" s="98" t="s">
        <v>1355</v>
      </c>
      <c r="F281" s="98"/>
      <c r="G281" s="99" t="n">
        <v>42.3</v>
      </c>
      <c r="H281" s="59" t="s">
        <v>53</v>
      </c>
    </row>
    <row r="282">
      <c r="A282" s="10" t="s">
        <v>240</v>
      </c>
      <c r="B282" s="11" t="s">
        <v>57</v>
      </c>
      <c r="C282" s="11" t="s">
        <v>241</v>
      </c>
      <c r="D282" s="11" t="s">
        <v>242</v>
      </c>
      <c r="E282" s="11"/>
      <c r="F282" s="11" t="s">
        <v>61</v>
      </c>
      <c r="G282" s="57" t="n">
        <v>88.995</v>
      </c>
      <c r="H282" s="97" t="n">
        <v>0</v>
      </c>
    </row>
    <row r="283">
      <c r="A283" s="62"/>
      <c r="D283" s="98" t="s">
        <v>1356</v>
      </c>
      <c r="E283" s="98" t="s">
        <v>1209</v>
      </c>
      <c r="F283" s="98"/>
      <c r="G283" s="99" t="n">
        <v>88.995</v>
      </c>
      <c r="H283" s="100"/>
    </row>
    <row r="284">
      <c r="A284" s="10" t="s">
        <v>244</v>
      </c>
      <c r="B284" s="11" t="s">
        <v>57</v>
      </c>
      <c r="C284" s="11" t="s">
        <v>245</v>
      </c>
      <c r="D284" s="11" t="s">
        <v>246</v>
      </c>
      <c r="E284" s="11"/>
      <c r="F284" s="11" t="s">
        <v>126</v>
      </c>
      <c r="G284" s="57" t="n">
        <v>50.4</v>
      </c>
      <c r="H284" s="97" t="n">
        <v>0</v>
      </c>
    </row>
    <row r="285">
      <c r="A285" s="62"/>
      <c r="D285" s="98" t="s">
        <v>1357</v>
      </c>
      <c r="E285" s="98" t="s">
        <v>1358</v>
      </c>
      <c r="F285" s="98"/>
      <c r="G285" s="99" t="n">
        <v>50.4</v>
      </c>
      <c r="H285" s="100"/>
    </row>
    <row r="286">
      <c r="A286" s="10" t="s">
        <v>247</v>
      </c>
      <c r="B286" s="11" t="s">
        <v>57</v>
      </c>
      <c r="C286" s="11" t="s">
        <v>248</v>
      </c>
      <c r="D286" s="11" t="s">
        <v>249</v>
      </c>
      <c r="E286" s="11"/>
      <c r="F286" s="11" t="s">
        <v>97</v>
      </c>
      <c r="G286" s="57" t="n">
        <v>30.24</v>
      </c>
      <c r="H286" s="97" t="n">
        <v>0</v>
      </c>
    </row>
    <row r="287">
      <c r="A287" s="62"/>
      <c r="D287" s="98" t="s">
        <v>1359</v>
      </c>
      <c r="E287" s="98" t="s">
        <v>1360</v>
      </c>
      <c r="F287" s="98"/>
      <c r="G287" s="99" t="n">
        <v>30.24</v>
      </c>
      <c r="H287" s="100"/>
    </row>
    <row r="288">
      <c r="A288" s="10" t="s">
        <v>250</v>
      </c>
      <c r="B288" s="11" t="s">
        <v>57</v>
      </c>
      <c r="C288" s="11" t="s">
        <v>251</v>
      </c>
      <c r="D288" s="11" t="s">
        <v>252</v>
      </c>
      <c r="E288" s="11"/>
      <c r="F288" s="11" t="s">
        <v>126</v>
      </c>
      <c r="G288" s="57" t="n">
        <v>55.44</v>
      </c>
      <c r="H288" s="97" t="n">
        <v>0</v>
      </c>
    </row>
    <row r="289">
      <c r="A289" s="62"/>
      <c r="D289" s="98" t="s">
        <v>1357</v>
      </c>
      <c r="E289" s="98" t="s">
        <v>1358</v>
      </c>
      <c r="F289" s="98"/>
      <c r="G289" s="99" t="n">
        <v>50.4</v>
      </c>
      <c r="H289" s="100"/>
    </row>
    <row r="290">
      <c r="A290" s="10" t="s">
        <v>53</v>
      </c>
      <c r="B290" s="11" t="s">
        <v>53</v>
      </c>
      <c r="C290" s="11" t="s">
        <v>53</v>
      </c>
      <c r="D290" s="98" t="s">
        <v>1361</v>
      </c>
      <c r="E290" s="98" t="s">
        <v>53</v>
      </c>
      <c r="F290" s="98"/>
      <c r="G290" s="99" t="n">
        <v>5.04</v>
      </c>
      <c r="H290" s="59" t="s">
        <v>53</v>
      </c>
    </row>
    <row r="291">
      <c r="A291" s="10" t="s">
        <v>253</v>
      </c>
      <c r="B291" s="11" t="s">
        <v>57</v>
      </c>
      <c r="C291" s="11" t="s">
        <v>254</v>
      </c>
      <c r="D291" s="11" t="s">
        <v>255</v>
      </c>
      <c r="E291" s="11"/>
      <c r="F291" s="11" t="s">
        <v>126</v>
      </c>
      <c r="G291" s="57" t="n">
        <v>777.84</v>
      </c>
      <c r="H291" s="97" t="n">
        <v>0</v>
      </c>
    </row>
    <row r="292">
      <c r="A292" s="62"/>
      <c r="D292" s="98" t="s">
        <v>1362</v>
      </c>
      <c r="E292" s="98" t="s">
        <v>1363</v>
      </c>
      <c r="F292" s="98"/>
      <c r="G292" s="99" t="n">
        <v>177.99</v>
      </c>
      <c r="H292" s="100"/>
    </row>
    <row r="293">
      <c r="A293" s="10" t="s">
        <v>53</v>
      </c>
      <c r="B293" s="11" t="s">
        <v>53</v>
      </c>
      <c r="C293" s="11" t="s">
        <v>53</v>
      </c>
      <c r="D293" s="98" t="s">
        <v>1364</v>
      </c>
      <c r="E293" s="98" t="s">
        <v>1365</v>
      </c>
      <c r="F293" s="98"/>
      <c r="G293" s="99" t="n">
        <v>0.35</v>
      </c>
      <c r="H293" s="59" t="s">
        <v>53</v>
      </c>
    </row>
    <row r="294">
      <c r="A294" s="10" t="s">
        <v>53</v>
      </c>
      <c r="B294" s="11" t="s">
        <v>53</v>
      </c>
      <c r="C294" s="11" t="s">
        <v>53</v>
      </c>
      <c r="D294" s="98" t="s">
        <v>1366</v>
      </c>
      <c r="E294" s="98" t="s">
        <v>1367</v>
      </c>
      <c r="F294" s="98"/>
      <c r="G294" s="99" t="n">
        <v>112.8</v>
      </c>
      <c r="H294" s="59" t="s">
        <v>53</v>
      </c>
    </row>
    <row r="295">
      <c r="A295" s="10" t="s">
        <v>53</v>
      </c>
      <c r="B295" s="11" t="s">
        <v>53</v>
      </c>
      <c r="C295" s="11" t="s">
        <v>53</v>
      </c>
      <c r="D295" s="98" t="s">
        <v>1368</v>
      </c>
      <c r="E295" s="98" t="s">
        <v>1369</v>
      </c>
      <c r="F295" s="98"/>
      <c r="G295" s="99" t="n">
        <v>4.8</v>
      </c>
      <c r="H295" s="59" t="s">
        <v>53</v>
      </c>
    </row>
    <row r="296">
      <c r="A296" s="10" t="s">
        <v>53</v>
      </c>
      <c r="B296" s="11" t="s">
        <v>53</v>
      </c>
      <c r="C296" s="11" t="s">
        <v>53</v>
      </c>
      <c r="D296" s="98" t="s">
        <v>1370</v>
      </c>
      <c r="E296" s="98" t="s">
        <v>1367</v>
      </c>
      <c r="F296" s="98"/>
      <c r="G296" s="99" t="n">
        <v>58</v>
      </c>
      <c r="H296" s="59" t="s">
        <v>53</v>
      </c>
    </row>
    <row r="297">
      <c r="A297" s="10" t="s">
        <v>53</v>
      </c>
      <c r="B297" s="11" t="s">
        <v>53</v>
      </c>
      <c r="C297" s="11" t="s">
        <v>53</v>
      </c>
      <c r="D297" s="98" t="s">
        <v>1371</v>
      </c>
      <c r="E297" s="98" t="s">
        <v>1372</v>
      </c>
      <c r="F297" s="98"/>
      <c r="G297" s="99" t="n">
        <v>112.2</v>
      </c>
      <c r="H297" s="59" t="s">
        <v>53</v>
      </c>
    </row>
    <row r="298">
      <c r="A298" s="10" t="s">
        <v>53</v>
      </c>
      <c r="B298" s="11" t="s">
        <v>53</v>
      </c>
      <c r="C298" s="11" t="s">
        <v>53</v>
      </c>
      <c r="D298" s="98" t="s">
        <v>1366</v>
      </c>
      <c r="E298" s="98" t="s">
        <v>1373</v>
      </c>
      <c r="F298" s="98"/>
      <c r="G298" s="99" t="n">
        <v>112.8</v>
      </c>
      <c r="H298" s="59" t="s">
        <v>53</v>
      </c>
    </row>
    <row r="299">
      <c r="A299" s="10" t="s">
        <v>53</v>
      </c>
      <c r="B299" s="11" t="s">
        <v>53</v>
      </c>
      <c r="C299" s="11" t="s">
        <v>53</v>
      </c>
      <c r="D299" s="98" t="s">
        <v>1368</v>
      </c>
      <c r="E299" s="98" t="s">
        <v>1374</v>
      </c>
      <c r="F299" s="98"/>
      <c r="G299" s="99" t="n">
        <v>4.8</v>
      </c>
      <c r="H299" s="59" t="s">
        <v>53</v>
      </c>
    </row>
    <row r="300">
      <c r="A300" s="10" t="s">
        <v>53</v>
      </c>
      <c r="B300" s="11" t="s">
        <v>53</v>
      </c>
      <c r="C300" s="11" t="s">
        <v>53</v>
      </c>
      <c r="D300" s="98" t="s">
        <v>1370</v>
      </c>
      <c r="E300" s="98" t="s">
        <v>1375</v>
      </c>
      <c r="F300" s="98"/>
      <c r="G300" s="99" t="n">
        <v>58</v>
      </c>
      <c r="H300" s="59" t="s">
        <v>53</v>
      </c>
    </row>
    <row r="301">
      <c r="A301" s="10" t="s">
        <v>53</v>
      </c>
      <c r="B301" s="11" t="s">
        <v>53</v>
      </c>
      <c r="C301" s="11" t="s">
        <v>53</v>
      </c>
      <c r="D301" s="98" t="s">
        <v>1371</v>
      </c>
      <c r="E301" s="98" t="s">
        <v>1376</v>
      </c>
      <c r="F301" s="98"/>
      <c r="G301" s="99" t="n">
        <v>112.2</v>
      </c>
      <c r="H301" s="59" t="s">
        <v>53</v>
      </c>
    </row>
    <row r="302">
      <c r="A302" s="10" t="s">
        <v>53</v>
      </c>
      <c r="B302" s="11" t="s">
        <v>53</v>
      </c>
      <c r="C302" s="11" t="s">
        <v>53</v>
      </c>
      <c r="D302" s="98" t="s">
        <v>1377</v>
      </c>
      <c r="E302" s="98" t="s">
        <v>1378</v>
      </c>
      <c r="F302" s="98"/>
      <c r="G302" s="99" t="n">
        <v>23.9</v>
      </c>
      <c r="H302" s="59" t="s">
        <v>53</v>
      </c>
    </row>
    <row r="303">
      <c r="A303" s="10" t="s">
        <v>99</v>
      </c>
      <c r="B303" s="11" t="s">
        <v>57</v>
      </c>
      <c r="C303" s="11" t="s">
        <v>248</v>
      </c>
      <c r="D303" s="11" t="s">
        <v>249</v>
      </c>
      <c r="E303" s="11"/>
      <c r="F303" s="11" t="s">
        <v>97</v>
      </c>
      <c r="G303" s="57" t="n">
        <v>466.704</v>
      </c>
      <c r="H303" s="97" t="n">
        <v>0</v>
      </c>
    </row>
    <row r="304">
      <c r="A304" s="62"/>
      <c r="D304" s="98" t="s">
        <v>1379</v>
      </c>
      <c r="E304" s="98" t="s">
        <v>1360</v>
      </c>
      <c r="F304" s="98"/>
      <c r="G304" s="99" t="n">
        <v>466.704</v>
      </c>
      <c r="H304" s="100"/>
    </row>
    <row r="305">
      <c r="A305" s="10" t="s">
        <v>256</v>
      </c>
      <c r="B305" s="11" t="s">
        <v>57</v>
      </c>
      <c r="C305" s="11" t="s">
        <v>257</v>
      </c>
      <c r="D305" s="11" t="s">
        <v>258</v>
      </c>
      <c r="E305" s="11"/>
      <c r="F305" s="11" t="s">
        <v>126</v>
      </c>
      <c r="G305" s="57" t="n">
        <v>196.174</v>
      </c>
      <c r="H305" s="97" t="n">
        <v>0</v>
      </c>
    </row>
    <row r="306">
      <c r="A306" s="62"/>
      <c r="D306" s="98" t="s">
        <v>1362</v>
      </c>
      <c r="E306" s="98" t="s">
        <v>1363</v>
      </c>
      <c r="F306" s="98"/>
      <c r="G306" s="99" t="n">
        <v>177.99</v>
      </c>
      <c r="H306" s="100"/>
    </row>
    <row r="307">
      <c r="A307" s="10" t="s">
        <v>53</v>
      </c>
      <c r="B307" s="11" t="s">
        <v>53</v>
      </c>
      <c r="C307" s="11" t="s">
        <v>53</v>
      </c>
      <c r="D307" s="98" t="s">
        <v>1364</v>
      </c>
      <c r="E307" s="98" t="s">
        <v>1365</v>
      </c>
      <c r="F307" s="98"/>
      <c r="G307" s="99" t="n">
        <v>0.35</v>
      </c>
      <c r="H307" s="59" t="s">
        <v>53</v>
      </c>
    </row>
    <row r="308">
      <c r="A308" s="10" t="s">
        <v>53</v>
      </c>
      <c r="B308" s="11" t="s">
        <v>53</v>
      </c>
      <c r="C308" s="11" t="s">
        <v>53</v>
      </c>
      <c r="D308" s="98" t="s">
        <v>1380</v>
      </c>
      <c r="E308" s="98" t="s">
        <v>53</v>
      </c>
      <c r="F308" s="98"/>
      <c r="G308" s="99" t="n">
        <v>17.834</v>
      </c>
      <c r="H308" s="59" t="s">
        <v>53</v>
      </c>
    </row>
    <row r="309">
      <c r="A309" s="10" t="s">
        <v>259</v>
      </c>
      <c r="B309" s="11" t="s">
        <v>57</v>
      </c>
      <c r="C309" s="11" t="s">
        <v>260</v>
      </c>
      <c r="D309" s="11" t="s">
        <v>261</v>
      </c>
      <c r="E309" s="11"/>
      <c r="F309" s="11" t="s">
        <v>126</v>
      </c>
      <c r="G309" s="57" t="n">
        <v>316.58</v>
      </c>
      <c r="H309" s="97" t="n">
        <v>0</v>
      </c>
    </row>
    <row r="310">
      <c r="A310" s="62"/>
      <c r="D310" s="98" t="s">
        <v>1366</v>
      </c>
      <c r="E310" s="98" t="s">
        <v>1367</v>
      </c>
      <c r="F310" s="98"/>
      <c r="G310" s="99" t="n">
        <v>112.8</v>
      </c>
      <c r="H310" s="100"/>
    </row>
    <row r="311">
      <c r="A311" s="10" t="s">
        <v>53</v>
      </c>
      <c r="B311" s="11" t="s">
        <v>53</v>
      </c>
      <c r="C311" s="11" t="s">
        <v>53</v>
      </c>
      <c r="D311" s="98" t="s">
        <v>1368</v>
      </c>
      <c r="E311" s="98" t="s">
        <v>1369</v>
      </c>
      <c r="F311" s="98"/>
      <c r="G311" s="99" t="n">
        <v>4.8</v>
      </c>
      <c r="H311" s="59" t="s">
        <v>53</v>
      </c>
    </row>
    <row r="312">
      <c r="A312" s="10" t="s">
        <v>53</v>
      </c>
      <c r="B312" s="11" t="s">
        <v>53</v>
      </c>
      <c r="C312" s="11" t="s">
        <v>53</v>
      </c>
      <c r="D312" s="98" t="s">
        <v>1370</v>
      </c>
      <c r="E312" s="98" t="s">
        <v>1367</v>
      </c>
      <c r="F312" s="98"/>
      <c r="G312" s="99" t="n">
        <v>58</v>
      </c>
      <c r="H312" s="59" t="s">
        <v>53</v>
      </c>
    </row>
    <row r="313">
      <c r="A313" s="10" t="s">
        <v>53</v>
      </c>
      <c r="B313" s="11" t="s">
        <v>53</v>
      </c>
      <c r="C313" s="11" t="s">
        <v>53</v>
      </c>
      <c r="D313" s="98" t="s">
        <v>1371</v>
      </c>
      <c r="E313" s="98" t="s">
        <v>1372</v>
      </c>
      <c r="F313" s="98"/>
      <c r="G313" s="99" t="n">
        <v>112.2</v>
      </c>
      <c r="H313" s="59" t="s">
        <v>53</v>
      </c>
    </row>
    <row r="314">
      <c r="A314" s="10" t="s">
        <v>53</v>
      </c>
      <c r="B314" s="11" t="s">
        <v>53</v>
      </c>
      <c r="C314" s="11" t="s">
        <v>53</v>
      </c>
      <c r="D314" s="98" t="s">
        <v>1381</v>
      </c>
      <c r="E314" s="98" t="s">
        <v>53</v>
      </c>
      <c r="F314" s="98"/>
      <c r="G314" s="99" t="n">
        <v>28.78</v>
      </c>
      <c r="H314" s="59" t="s">
        <v>53</v>
      </c>
    </row>
    <row r="315">
      <c r="A315" s="10" t="s">
        <v>108</v>
      </c>
      <c r="B315" s="11" t="s">
        <v>57</v>
      </c>
      <c r="C315" s="11" t="s">
        <v>262</v>
      </c>
      <c r="D315" s="11" t="s">
        <v>263</v>
      </c>
      <c r="E315" s="11"/>
      <c r="F315" s="11" t="s">
        <v>126</v>
      </c>
      <c r="G315" s="57" t="n">
        <v>342.87</v>
      </c>
      <c r="H315" s="97" t="n">
        <v>0</v>
      </c>
    </row>
    <row r="316">
      <c r="A316" s="62"/>
      <c r="D316" s="98" t="s">
        <v>1366</v>
      </c>
      <c r="E316" s="98" t="s">
        <v>1373</v>
      </c>
      <c r="F316" s="98"/>
      <c r="G316" s="99" t="n">
        <v>112.8</v>
      </c>
      <c r="H316" s="100"/>
    </row>
    <row r="317">
      <c r="A317" s="10" t="s">
        <v>53</v>
      </c>
      <c r="B317" s="11" t="s">
        <v>53</v>
      </c>
      <c r="C317" s="11" t="s">
        <v>53</v>
      </c>
      <c r="D317" s="98" t="s">
        <v>1368</v>
      </c>
      <c r="E317" s="98" t="s">
        <v>1374</v>
      </c>
      <c r="F317" s="98"/>
      <c r="G317" s="99" t="n">
        <v>4.8</v>
      </c>
      <c r="H317" s="59" t="s">
        <v>53</v>
      </c>
    </row>
    <row r="318">
      <c r="A318" s="10" t="s">
        <v>53</v>
      </c>
      <c r="B318" s="11" t="s">
        <v>53</v>
      </c>
      <c r="C318" s="11" t="s">
        <v>53</v>
      </c>
      <c r="D318" s="98" t="s">
        <v>1370</v>
      </c>
      <c r="E318" s="98" t="s">
        <v>1375</v>
      </c>
      <c r="F318" s="98"/>
      <c r="G318" s="99" t="n">
        <v>58</v>
      </c>
      <c r="H318" s="59" t="s">
        <v>53</v>
      </c>
    </row>
    <row r="319">
      <c r="A319" s="10" t="s">
        <v>53</v>
      </c>
      <c r="B319" s="11" t="s">
        <v>53</v>
      </c>
      <c r="C319" s="11" t="s">
        <v>53</v>
      </c>
      <c r="D319" s="98" t="s">
        <v>1371</v>
      </c>
      <c r="E319" s="98" t="s">
        <v>1376</v>
      </c>
      <c r="F319" s="98"/>
      <c r="G319" s="99" t="n">
        <v>112.2</v>
      </c>
      <c r="H319" s="59" t="s">
        <v>53</v>
      </c>
    </row>
    <row r="320">
      <c r="A320" s="10" t="s">
        <v>53</v>
      </c>
      <c r="B320" s="11" t="s">
        <v>53</v>
      </c>
      <c r="C320" s="11" t="s">
        <v>53</v>
      </c>
      <c r="D320" s="98" t="s">
        <v>1377</v>
      </c>
      <c r="E320" s="98" t="s">
        <v>1378</v>
      </c>
      <c r="F320" s="98"/>
      <c r="G320" s="99" t="n">
        <v>23.9</v>
      </c>
      <c r="H320" s="59" t="s">
        <v>53</v>
      </c>
    </row>
    <row r="321">
      <c r="A321" s="10" t="s">
        <v>53</v>
      </c>
      <c r="B321" s="11" t="s">
        <v>53</v>
      </c>
      <c r="C321" s="11" t="s">
        <v>53</v>
      </c>
      <c r="D321" s="98" t="s">
        <v>1382</v>
      </c>
      <c r="E321" s="98" t="s">
        <v>53</v>
      </c>
      <c r="F321" s="98"/>
      <c r="G321" s="99" t="n">
        <v>31.17</v>
      </c>
      <c r="H321" s="59" t="s">
        <v>53</v>
      </c>
    </row>
    <row r="322">
      <c r="A322" s="10" t="s">
        <v>127</v>
      </c>
      <c r="B322" s="11" t="s">
        <v>57</v>
      </c>
      <c r="C322" s="11" t="s">
        <v>264</v>
      </c>
      <c r="D322" s="11" t="s">
        <v>265</v>
      </c>
      <c r="E322" s="11"/>
      <c r="F322" s="11" t="s">
        <v>126</v>
      </c>
      <c r="G322" s="57" t="n">
        <v>177.99</v>
      </c>
      <c r="H322" s="97" t="n">
        <v>0</v>
      </c>
    </row>
    <row r="323">
      <c r="A323" s="62"/>
      <c r="D323" s="98" t="s">
        <v>1362</v>
      </c>
      <c r="E323" s="98" t="s">
        <v>1209</v>
      </c>
      <c r="F323" s="98"/>
      <c r="G323" s="99" t="n">
        <v>177.99</v>
      </c>
      <c r="H323" s="100"/>
    </row>
    <row r="324">
      <c r="A324" s="10" t="s">
        <v>147</v>
      </c>
      <c r="B324" s="11" t="s">
        <v>57</v>
      </c>
      <c r="C324" s="11" t="s">
        <v>138</v>
      </c>
      <c r="D324" s="11" t="s">
        <v>266</v>
      </c>
      <c r="E324" s="11"/>
      <c r="F324" s="11" t="s">
        <v>126</v>
      </c>
      <c r="G324" s="57" t="n">
        <v>195.789</v>
      </c>
      <c r="H324" s="97" t="n">
        <v>0</v>
      </c>
    </row>
    <row r="325">
      <c r="A325" s="62"/>
      <c r="D325" s="98" t="s">
        <v>1362</v>
      </c>
      <c r="E325" s="98" t="s">
        <v>1209</v>
      </c>
      <c r="F325" s="98"/>
      <c r="G325" s="99" t="n">
        <v>177.99</v>
      </c>
      <c r="H325" s="100"/>
    </row>
    <row r="326">
      <c r="A326" s="10" t="s">
        <v>53</v>
      </c>
      <c r="B326" s="11" t="s">
        <v>53</v>
      </c>
      <c r="C326" s="11" t="s">
        <v>53</v>
      </c>
      <c r="D326" s="98" t="s">
        <v>1383</v>
      </c>
      <c r="E326" s="98" t="s">
        <v>53</v>
      </c>
      <c r="F326" s="98"/>
      <c r="G326" s="99" t="n">
        <v>17.799</v>
      </c>
      <c r="H326" s="59" t="s">
        <v>53</v>
      </c>
    </row>
    <row r="327">
      <c r="A327" s="10" t="s">
        <v>161</v>
      </c>
      <c r="B327" s="11" t="s">
        <v>57</v>
      </c>
      <c r="C327" s="11" t="s">
        <v>267</v>
      </c>
      <c r="D327" s="11" t="s">
        <v>268</v>
      </c>
      <c r="E327" s="11"/>
      <c r="F327" s="11" t="s">
        <v>126</v>
      </c>
      <c r="G327" s="57" t="n">
        <v>112.2</v>
      </c>
      <c r="H327" s="97" t="n">
        <v>0</v>
      </c>
    </row>
    <row r="328">
      <c r="A328" s="62"/>
      <c r="D328" s="98" t="s">
        <v>1371</v>
      </c>
      <c r="E328" s="98" t="s">
        <v>1353</v>
      </c>
      <c r="F328" s="98"/>
      <c r="G328" s="99" t="n">
        <v>112.2</v>
      </c>
      <c r="H328" s="100"/>
    </row>
    <row r="329">
      <c r="A329" s="10" t="s">
        <v>269</v>
      </c>
      <c r="B329" s="11" t="s">
        <v>57</v>
      </c>
      <c r="C329" s="11" t="s">
        <v>138</v>
      </c>
      <c r="D329" s="11" t="s">
        <v>270</v>
      </c>
      <c r="E329" s="11"/>
      <c r="F329" s="11" t="s">
        <v>126</v>
      </c>
      <c r="G329" s="57" t="n">
        <v>123.42</v>
      </c>
      <c r="H329" s="97" t="n">
        <v>0</v>
      </c>
    </row>
    <row r="330">
      <c r="A330" s="62"/>
      <c r="D330" s="98" t="s">
        <v>1371</v>
      </c>
      <c r="E330" s="98" t="s">
        <v>1353</v>
      </c>
      <c r="F330" s="98"/>
      <c r="G330" s="99" t="n">
        <v>112.2</v>
      </c>
      <c r="H330" s="100"/>
    </row>
    <row r="331">
      <c r="A331" s="10" t="s">
        <v>53</v>
      </c>
      <c r="B331" s="11" t="s">
        <v>53</v>
      </c>
      <c r="C331" s="11" t="s">
        <v>53</v>
      </c>
      <c r="D331" s="98" t="s">
        <v>1384</v>
      </c>
      <c r="E331" s="98" t="s">
        <v>53</v>
      </c>
      <c r="F331" s="98"/>
      <c r="G331" s="99" t="n">
        <v>11.22</v>
      </c>
      <c r="H331" s="59" t="s">
        <v>53</v>
      </c>
    </row>
    <row r="332">
      <c r="A332" s="10" t="s">
        <v>271</v>
      </c>
      <c r="B332" s="11" t="s">
        <v>57</v>
      </c>
      <c r="C332" s="11" t="s">
        <v>272</v>
      </c>
      <c r="D332" s="11" t="s">
        <v>273</v>
      </c>
      <c r="E332" s="11"/>
      <c r="F332" s="11" t="s">
        <v>126</v>
      </c>
      <c r="G332" s="57" t="n">
        <v>112.8</v>
      </c>
      <c r="H332" s="97" t="n">
        <v>0</v>
      </c>
    </row>
    <row r="333">
      <c r="A333" s="62"/>
      <c r="D333" s="98" t="s">
        <v>1366</v>
      </c>
      <c r="E333" s="98" t="s">
        <v>1355</v>
      </c>
      <c r="F333" s="98"/>
      <c r="G333" s="99" t="n">
        <v>112.8</v>
      </c>
      <c r="H333" s="100"/>
    </row>
    <row r="334">
      <c r="A334" s="10" t="s">
        <v>274</v>
      </c>
      <c r="B334" s="11" t="s">
        <v>57</v>
      </c>
      <c r="C334" s="11" t="s">
        <v>138</v>
      </c>
      <c r="D334" s="11" t="s">
        <v>275</v>
      </c>
      <c r="E334" s="11"/>
      <c r="F334" s="11" t="s">
        <v>126</v>
      </c>
      <c r="G334" s="57" t="n">
        <v>124.08</v>
      </c>
      <c r="H334" s="97" t="n">
        <v>0</v>
      </c>
    </row>
    <row r="335">
      <c r="A335" s="62"/>
      <c r="D335" s="98" t="s">
        <v>1366</v>
      </c>
      <c r="E335" s="98" t="s">
        <v>1355</v>
      </c>
      <c r="F335" s="98"/>
      <c r="G335" s="99" t="n">
        <v>112.8</v>
      </c>
      <c r="H335" s="100"/>
    </row>
    <row r="336">
      <c r="A336" s="10" t="s">
        <v>53</v>
      </c>
      <c r="B336" s="11" t="s">
        <v>53</v>
      </c>
      <c r="C336" s="11" t="s">
        <v>53</v>
      </c>
      <c r="D336" s="98" t="s">
        <v>1385</v>
      </c>
      <c r="E336" s="98" t="s">
        <v>53</v>
      </c>
      <c r="F336" s="98"/>
      <c r="G336" s="99" t="n">
        <v>11.28</v>
      </c>
      <c r="H336" s="59" t="s">
        <v>53</v>
      </c>
    </row>
    <row r="337">
      <c r="A337" s="10" t="s">
        <v>276</v>
      </c>
      <c r="B337" s="11" t="s">
        <v>57</v>
      </c>
      <c r="C337" s="11" t="s">
        <v>138</v>
      </c>
      <c r="D337" s="11" t="s">
        <v>277</v>
      </c>
      <c r="E337" s="11"/>
      <c r="F337" s="11" t="s">
        <v>126</v>
      </c>
      <c r="G337" s="57" t="n">
        <v>46.48</v>
      </c>
      <c r="H337" s="97" t="n">
        <v>0</v>
      </c>
    </row>
    <row r="338">
      <c r="A338" s="62"/>
      <c r="D338" s="98" t="s">
        <v>1386</v>
      </c>
      <c r="E338" s="98" t="s">
        <v>1387</v>
      </c>
      <c r="F338" s="98"/>
      <c r="G338" s="99" t="n">
        <v>46.48</v>
      </c>
      <c r="H338" s="100"/>
    </row>
    <row r="339">
      <c r="A339" s="10" t="s">
        <v>278</v>
      </c>
      <c r="B339" s="11" t="s">
        <v>57</v>
      </c>
      <c r="C339" s="11" t="s">
        <v>138</v>
      </c>
      <c r="D339" s="11" t="s">
        <v>279</v>
      </c>
      <c r="E339" s="11"/>
      <c r="F339" s="11" t="s">
        <v>126</v>
      </c>
      <c r="G339" s="57" t="n">
        <v>51.128</v>
      </c>
      <c r="H339" s="97" t="n">
        <v>0</v>
      </c>
    </row>
    <row r="340">
      <c r="A340" s="62"/>
      <c r="D340" s="98" t="s">
        <v>1386</v>
      </c>
      <c r="E340" s="98" t="s">
        <v>1387</v>
      </c>
      <c r="F340" s="98"/>
      <c r="G340" s="99" t="n">
        <v>46.48</v>
      </c>
      <c r="H340" s="100"/>
    </row>
    <row r="341">
      <c r="A341" s="10" t="s">
        <v>53</v>
      </c>
      <c r="B341" s="11" t="s">
        <v>53</v>
      </c>
      <c r="C341" s="11" t="s">
        <v>53</v>
      </c>
      <c r="D341" s="98" t="s">
        <v>1388</v>
      </c>
      <c r="E341" s="98" t="s">
        <v>53</v>
      </c>
      <c r="F341" s="98"/>
      <c r="G341" s="99" t="n">
        <v>4.648</v>
      </c>
      <c r="H341" s="59" t="s">
        <v>53</v>
      </c>
    </row>
    <row r="342">
      <c r="A342" s="10" t="s">
        <v>280</v>
      </c>
      <c r="B342" s="11" t="s">
        <v>57</v>
      </c>
      <c r="C342" s="11" t="s">
        <v>138</v>
      </c>
      <c r="D342" s="11" t="s">
        <v>281</v>
      </c>
      <c r="E342" s="11"/>
      <c r="F342" s="11" t="s">
        <v>126</v>
      </c>
      <c r="G342" s="57" t="n">
        <v>444.585</v>
      </c>
      <c r="H342" s="97" t="n">
        <v>0</v>
      </c>
    </row>
    <row r="343">
      <c r="A343" s="62"/>
      <c r="D343" s="98" t="s">
        <v>1389</v>
      </c>
      <c r="E343" s="98" t="s">
        <v>1390</v>
      </c>
      <c r="F343" s="98"/>
      <c r="G343" s="99" t="n">
        <v>104.905</v>
      </c>
      <c r="H343" s="100"/>
    </row>
    <row r="344">
      <c r="A344" s="10" t="s">
        <v>53</v>
      </c>
      <c r="B344" s="11" t="s">
        <v>53</v>
      </c>
      <c r="C344" s="11" t="s">
        <v>53</v>
      </c>
      <c r="D344" s="98" t="s">
        <v>1391</v>
      </c>
      <c r="E344" s="98" t="s">
        <v>1392</v>
      </c>
      <c r="F344" s="98"/>
      <c r="G344" s="99" t="n">
        <v>53.72</v>
      </c>
      <c r="H344" s="59" t="s">
        <v>53</v>
      </c>
    </row>
    <row r="345">
      <c r="A345" s="10" t="s">
        <v>53</v>
      </c>
      <c r="B345" s="11" t="s">
        <v>53</v>
      </c>
      <c r="C345" s="11" t="s">
        <v>53</v>
      </c>
      <c r="D345" s="98" t="s">
        <v>1393</v>
      </c>
      <c r="E345" s="98" t="s">
        <v>1392</v>
      </c>
      <c r="F345" s="98"/>
      <c r="G345" s="99" t="n">
        <v>154.9</v>
      </c>
      <c r="H345" s="59" t="s">
        <v>53</v>
      </c>
    </row>
    <row r="346">
      <c r="A346" s="10" t="s">
        <v>53</v>
      </c>
      <c r="B346" s="11" t="s">
        <v>53</v>
      </c>
      <c r="C346" s="11" t="s">
        <v>53</v>
      </c>
      <c r="D346" s="98" t="s">
        <v>1394</v>
      </c>
      <c r="E346" s="98" t="s">
        <v>1392</v>
      </c>
      <c r="F346" s="98"/>
      <c r="G346" s="99" t="n">
        <v>36.2</v>
      </c>
      <c r="H346" s="59" t="s">
        <v>53</v>
      </c>
    </row>
    <row r="347">
      <c r="A347" s="10" t="s">
        <v>53</v>
      </c>
      <c r="B347" s="11" t="s">
        <v>53</v>
      </c>
      <c r="C347" s="11" t="s">
        <v>53</v>
      </c>
      <c r="D347" s="98" t="s">
        <v>1395</v>
      </c>
      <c r="E347" s="98" t="s">
        <v>1196</v>
      </c>
      <c r="F347" s="98"/>
      <c r="G347" s="99" t="n">
        <v>70.86</v>
      </c>
      <c r="H347" s="59" t="s">
        <v>53</v>
      </c>
    </row>
    <row r="348">
      <c r="A348" s="10" t="s">
        <v>53</v>
      </c>
      <c r="B348" s="11" t="s">
        <v>53</v>
      </c>
      <c r="C348" s="11" t="s">
        <v>53</v>
      </c>
      <c r="D348" s="98" t="s">
        <v>1396</v>
      </c>
      <c r="E348" s="98" t="s">
        <v>1397</v>
      </c>
      <c r="F348" s="98"/>
      <c r="G348" s="99" t="n">
        <v>24</v>
      </c>
      <c r="H348" s="59" t="s">
        <v>53</v>
      </c>
    </row>
    <row r="349">
      <c r="A349" s="10" t="s">
        <v>282</v>
      </c>
      <c r="B349" s="11" t="s">
        <v>57</v>
      </c>
      <c r="C349" s="11" t="s">
        <v>283</v>
      </c>
      <c r="D349" s="11" t="s">
        <v>284</v>
      </c>
      <c r="E349" s="11"/>
      <c r="F349" s="11" t="s">
        <v>61</v>
      </c>
      <c r="G349" s="57" t="n">
        <v>3107.35997</v>
      </c>
      <c r="H349" s="97" t="n">
        <v>0</v>
      </c>
    </row>
    <row r="350">
      <c r="A350" s="62"/>
      <c r="D350" s="98" t="s">
        <v>1198</v>
      </c>
      <c r="E350" s="98" t="s">
        <v>1199</v>
      </c>
      <c r="F350" s="98"/>
      <c r="G350" s="99" t="n">
        <v>445.85517</v>
      </c>
      <c r="H350" s="100"/>
    </row>
    <row r="351">
      <c r="A351" s="10" t="s">
        <v>53</v>
      </c>
      <c r="B351" s="11" t="s">
        <v>53</v>
      </c>
      <c r="C351" s="11" t="s">
        <v>53</v>
      </c>
      <c r="D351" s="98" t="s">
        <v>1269</v>
      </c>
      <c r="E351" s="98" t="s">
        <v>1247</v>
      </c>
      <c r="F351" s="98"/>
      <c r="G351" s="99" t="n">
        <v>1326.7144</v>
      </c>
      <c r="H351" s="59" t="s">
        <v>53</v>
      </c>
    </row>
    <row r="352">
      <c r="A352" s="10" t="s">
        <v>53</v>
      </c>
      <c r="B352" s="11" t="s">
        <v>53</v>
      </c>
      <c r="C352" s="11" t="s">
        <v>53</v>
      </c>
      <c r="D352" s="98" t="s">
        <v>1274</v>
      </c>
      <c r="E352" s="98" t="s">
        <v>1249</v>
      </c>
      <c r="F352" s="98"/>
      <c r="G352" s="99" t="n">
        <v>229.5854</v>
      </c>
      <c r="H352" s="59" t="s">
        <v>53</v>
      </c>
    </row>
    <row r="353">
      <c r="A353" s="10" t="s">
        <v>53</v>
      </c>
      <c r="B353" s="11" t="s">
        <v>53</v>
      </c>
      <c r="C353" s="11" t="s">
        <v>53</v>
      </c>
      <c r="D353" s="98" t="s">
        <v>1275</v>
      </c>
      <c r="E353" s="98" t="s">
        <v>1251</v>
      </c>
      <c r="F353" s="98"/>
      <c r="G353" s="99" t="n">
        <v>782.91125</v>
      </c>
      <c r="H353" s="59" t="s">
        <v>53</v>
      </c>
    </row>
    <row r="354">
      <c r="A354" s="10" t="s">
        <v>53</v>
      </c>
      <c r="B354" s="11" t="s">
        <v>53</v>
      </c>
      <c r="C354" s="11" t="s">
        <v>53</v>
      </c>
      <c r="D354" s="98" t="s">
        <v>1287</v>
      </c>
      <c r="E354" s="98" t="s">
        <v>1253</v>
      </c>
      <c r="F354" s="98"/>
      <c r="G354" s="99" t="n">
        <v>70.752</v>
      </c>
      <c r="H354" s="59" t="s">
        <v>53</v>
      </c>
    </row>
    <row r="355">
      <c r="A355" s="10" t="s">
        <v>53</v>
      </c>
      <c r="B355" s="11" t="s">
        <v>53</v>
      </c>
      <c r="C355" s="11" t="s">
        <v>53</v>
      </c>
      <c r="D355" s="98" t="s">
        <v>1288</v>
      </c>
      <c r="E355" s="98" t="s">
        <v>1255</v>
      </c>
      <c r="F355" s="98"/>
      <c r="G355" s="99" t="n">
        <v>90.8775</v>
      </c>
      <c r="H355" s="59" t="s">
        <v>53</v>
      </c>
    </row>
    <row r="356">
      <c r="A356" s="10" t="s">
        <v>53</v>
      </c>
      <c r="B356" s="11" t="s">
        <v>53</v>
      </c>
      <c r="C356" s="11" t="s">
        <v>53</v>
      </c>
      <c r="D356" s="98" t="s">
        <v>1306</v>
      </c>
      <c r="E356" s="98" t="s">
        <v>1211</v>
      </c>
      <c r="F356" s="98"/>
      <c r="G356" s="99" t="n">
        <v>103.22225</v>
      </c>
      <c r="H356" s="59" t="s">
        <v>53</v>
      </c>
    </row>
    <row r="357">
      <c r="A357" s="10" t="s">
        <v>53</v>
      </c>
      <c r="B357" s="11" t="s">
        <v>53</v>
      </c>
      <c r="C357" s="11" t="s">
        <v>53</v>
      </c>
      <c r="D357" s="98" t="s">
        <v>1310</v>
      </c>
      <c r="E357" s="98" t="s">
        <v>1211</v>
      </c>
      <c r="F357" s="98"/>
      <c r="G357" s="99" t="n">
        <v>57.442</v>
      </c>
      <c r="H357" s="59" t="s">
        <v>53</v>
      </c>
    </row>
    <row r="358">
      <c r="A358" s="10" t="s">
        <v>285</v>
      </c>
      <c r="B358" s="11" t="s">
        <v>57</v>
      </c>
      <c r="C358" s="11" t="s">
        <v>286</v>
      </c>
      <c r="D358" s="11" t="s">
        <v>287</v>
      </c>
      <c r="E358" s="11"/>
      <c r="F358" s="11" t="s">
        <v>61</v>
      </c>
      <c r="G358" s="57" t="n">
        <v>42.05625</v>
      </c>
      <c r="H358" s="97" t="n">
        <v>0</v>
      </c>
    </row>
    <row r="359">
      <c r="A359" s="62"/>
      <c r="D359" s="98" t="s">
        <v>1398</v>
      </c>
      <c r="E359" s="98" t="s">
        <v>1399</v>
      </c>
      <c r="F359" s="98"/>
      <c r="G359" s="99" t="n">
        <v>42.05625</v>
      </c>
      <c r="H359" s="100"/>
    </row>
    <row r="360">
      <c r="A360" s="96" t="s">
        <v>53</v>
      </c>
      <c r="B360" s="52" t="s">
        <v>57</v>
      </c>
      <c r="C360" s="52" t="s">
        <v>288</v>
      </c>
      <c r="D360" s="52" t="s">
        <v>289</v>
      </c>
      <c r="E360" s="52"/>
      <c r="F360" s="52" t="s">
        <v>53</v>
      </c>
      <c r="G360" s="33" t="s">
        <v>53</v>
      </c>
      <c r="H360" s="56" t="s">
        <v>53</v>
      </c>
    </row>
    <row r="361">
      <c r="A361" s="10" t="s">
        <v>290</v>
      </c>
      <c r="B361" s="11" t="s">
        <v>57</v>
      </c>
      <c r="C361" s="11" t="s">
        <v>291</v>
      </c>
      <c r="D361" s="11" t="s">
        <v>292</v>
      </c>
      <c r="E361" s="11"/>
      <c r="F361" s="11" t="s">
        <v>61</v>
      </c>
      <c r="G361" s="57" t="n">
        <v>100.935</v>
      </c>
      <c r="H361" s="97" t="n">
        <v>0</v>
      </c>
    </row>
    <row r="362">
      <c r="A362" s="62"/>
      <c r="D362" s="98" t="s">
        <v>1400</v>
      </c>
      <c r="E362" s="98" t="s">
        <v>1211</v>
      </c>
      <c r="F362" s="98"/>
      <c r="G362" s="99" t="n">
        <v>100.935</v>
      </c>
      <c r="H362" s="100"/>
    </row>
    <row r="363">
      <c r="A363" s="10" t="s">
        <v>295</v>
      </c>
      <c r="B363" s="11" t="s">
        <v>57</v>
      </c>
      <c r="C363" s="11" t="s">
        <v>296</v>
      </c>
      <c r="D363" s="11" t="s">
        <v>297</v>
      </c>
      <c r="E363" s="11"/>
      <c r="F363" s="11" t="s">
        <v>97</v>
      </c>
      <c r="G363" s="57" t="n">
        <v>40.374</v>
      </c>
      <c r="H363" s="97" t="n">
        <v>0</v>
      </c>
    </row>
    <row r="364">
      <c r="A364" s="62"/>
      <c r="D364" s="98" t="s">
        <v>1401</v>
      </c>
      <c r="E364" s="98" t="s">
        <v>53</v>
      </c>
      <c r="F364" s="98"/>
      <c r="G364" s="99" t="n">
        <v>0</v>
      </c>
      <c r="H364" s="100"/>
    </row>
    <row r="365">
      <c r="A365" s="10" t="s">
        <v>53</v>
      </c>
      <c r="B365" s="11" t="s">
        <v>53</v>
      </c>
      <c r="C365" s="11" t="s">
        <v>53</v>
      </c>
      <c r="D365" s="98" t="s">
        <v>1402</v>
      </c>
      <c r="E365" s="98" t="s">
        <v>1211</v>
      </c>
      <c r="F365" s="98"/>
      <c r="G365" s="99" t="n">
        <v>40.374</v>
      </c>
      <c r="H365" s="59" t="s">
        <v>53</v>
      </c>
    </row>
    <row r="366">
      <c r="A366" s="10" t="s">
        <v>298</v>
      </c>
      <c r="B366" s="11" t="s">
        <v>57</v>
      </c>
      <c r="C366" s="11" t="s">
        <v>299</v>
      </c>
      <c r="D366" s="11" t="s">
        <v>300</v>
      </c>
      <c r="E366" s="11"/>
      <c r="F366" s="11" t="s">
        <v>61</v>
      </c>
      <c r="G366" s="57" t="n">
        <v>67.29</v>
      </c>
      <c r="H366" s="97" t="n">
        <v>0</v>
      </c>
    </row>
    <row r="367">
      <c r="A367" s="62"/>
      <c r="D367" s="98" t="s">
        <v>1210</v>
      </c>
      <c r="E367" s="98" t="s">
        <v>1211</v>
      </c>
      <c r="F367" s="98"/>
      <c r="G367" s="99" t="n">
        <v>67.29</v>
      </c>
      <c r="H367" s="100"/>
    </row>
    <row r="368">
      <c r="A368" s="10" t="s">
        <v>301</v>
      </c>
      <c r="B368" s="11" t="s">
        <v>57</v>
      </c>
      <c r="C368" s="11" t="s">
        <v>302</v>
      </c>
      <c r="D368" s="11" t="s">
        <v>303</v>
      </c>
      <c r="E368" s="11"/>
      <c r="F368" s="11" t="s">
        <v>61</v>
      </c>
      <c r="G368" s="57" t="n">
        <v>84.1125</v>
      </c>
      <c r="H368" s="97" t="n">
        <v>0</v>
      </c>
    </row>
    <row r="369">
      <c r="A369" s="62"/>
      <c r="D369" s="98" t="s">
        <v>1403</v>
      </c>
      <c r="E369" s="98" t="s">
        <v>1211</v>
      </c>
      <c r="F369" s="98"/>
      <c r="G369" s="99" t="n">
        <v>84.1125</v>
      </c>
      <c r="H369" s="100"/>
    </row>
    <row r="370">
      <c r="A370" s="10" t="s">
        <v>304</v>
      </c>
      <c r="B370" s="11" t="s">
        <v>57</v>
      </c>
      <c r="C370" s="11" t="s">
        <v>305</v>
      </c>
      <c r="D370" s="11" t="s">
        <v>306</v>
      </c>
      <c r="E370" s="11"/>
      <c r="F370" s="11" t="s">
        <v>61</v>
      </c>
      <c r="G370" s="57" t="n">
        <v>92.52375</v>
      </c>
      <c r="H370" s="97" t="n">
        <v>0</v>
      </c>
    </row>
    <row r="371">
      <c r="A371" s="62"/>
      <c r="D371" s="98" t="s">
        <v>1403</v>
      </c>
      <c r="E371" s="98" t="s">
        <v>1211</v>
      </c>
      <c r="F371" s="98"/>
      <c r="G371" s="99" t="n">
        <v>84.1125</v>
      </c>
      <c r="H371" s="100"/>
    </row>
    <row r="372">
      <c r="A372" s="10" t="s">
        <v>53</v>
      </c>
      <c r="B372" s="11" t="s">
        <v>53</v>
      </c>
      <c r="C372" s="11" t="s">
        <v>53</v>
      </c>
      <c r="D372" s="98" t="s">
        <v>1404</v>
      </c>
      <c r="E372" s="98" t="s">
        <v>53</v>
      </c>
      <c r="F372" s="98"/>
      <c r="G372" s="99" t="n">
        <v>8.41125</v>
      </c>
      <c r="H372" s="59" t="s">
        <v>53</v>
      </c>
    </row>
    <row r="373">
      <c r="A373" s="10" t="s">
        <v>307</v>
      </c>
      <c r="B373" s="11" t="s">
        <v>57</v>
      </c>
      <c r="C373" s="11" t="s">
        <v>308</v>
      </c>
      <c r="D373" s="11" t="s">
        <v>309</v>
      </c>
      <c r="E373" s="11"/>
      <c r="F373" s="11" t="s">
        <v>61</v>
      </c>
      <c r="G373" s="57" t="n">
        <v>84.1125</v>
      </c>
      <c r="H373" s="97" t="n">
        <v>0</v>
      </c>
    </row>
    <row r="374">
      <c r="A374" s="62"/>
      <c r="D374" s="98" t="s">
        <v>1403</v>
      </c>
      <c r="E374" s="98" t="s">
        <v>1211</v>
      </c>
      <c r="F374" s="98"/>
      <c r="G374" s="99" t="n">
        <v>84.1125</v>
      </c>
      <c r="H374" s="100"/>
    </row>
    <row r="375">
      <c r="A375" s="10" t="s">
        <v>311</v>
      </c>
      <c r="B375" s="11" t="s">
        <v>57</v>
      </c>
      <c r="C375" s="11" t="s">
        <v>312</v>
      </c>
      <c r="D375" s="11" t="s">
        <v>313</v>
      </c>
      <c r="E375" s="11"/>
      <c r="F375" s="11" t="s">
        <v>314</v>
      </c>
      <c r="G375" s="57" t="n">
        <v>0.55497</v>
      </c>
      <c r="H375" s="97" t="n">
        <v>0</v>
      </c>
    </row>
    <row r="376">
      <c r="A376" s="96" t="s">
        <v>53</v>
      </c>
      <c r="B376" s="52" t="s">
        <v>57</v>
      </c>
      <c r="C376" s="52" t="s">
        <v>315</v>
      </c>
      <c r="D376" s="52" t="s">
        <v>316</v>
      </c>
      <c r="E376" s="52"/>
      <c r="F376" s="52" t="s">
        <v>53</v>
      </c>
      <c r="G376" s="33" t="s">
        <v>53</v>
      </c>
      <c r="H376" s="56" t="s">
        <v>53</v>
      </c>
    </row>
    <row r="377">
      <c r="A377" s="10" t="s">
        <v>317</v>
      </c>
      <c r="B377" s="11" t="s">
        <v>57</v>
      </c>
      <c r="C377" s="11" t="s">
        <v>138</v>
      </c>
      <c r="D377" s="11" t="s">
        <v>318</v>
      </c>
      <c r="E377" s="11"/>
      <c r="F377" s="11" t="s">
        <v>174</v>
      </c>
      <c r="G377" s="57" t="n">
        <v>9</v>
      </c>
      <c r="H377" s="97" t="n">
        <v>0</v>
      </c>
    </row>
    <row r="378">
      <c r="A378" s="10" t="s">
        <v>321</v>
      </c>
      <c r="B378" s="11" t="s">
        <v>57</v>
      </c>
      <c r="C378" s="11" t="s">
        <v>322</v>
      </c>
      <c r="D378" s="11" t="s">
        <v>323</v>
      </c>
      <c r="E378" s="11"/>
      <c r="F378" s="11" t="s">
        <v>174</v>
      </c>
      <c r="G378" s="57" t="n">
        <v>9</v>
      </c>
      <c r="H378" s="97" t="n">
        <v>0</v>
      </c>
    </row>
    <row r="379">
      <c r="A379" s="10" t="s">
        <v>324</v>
      </c>
      <c r="B379" s="11" t="s">
        <v>57</v>
      </c>
      <c r="C379" s="11" t="s">
        <v>325</v>
      </c>
      <c r="D379" s="11" t="s">
        <v>326</v>
      </c>
      <c r="E379" s="11"/>
      <c r="F379" s="11" t="s">
        <v>314</v>
      </c>
      <c r="G379" s="57" t="n">
        <v>0.19017</v>
      </c>
      <c r="H379" s="97" t="n">
        <v>0</v>
      </c>
    </row>
    <row r="380">
      <c r="A380" s="96" t="s">
        <v>53</v>
      </c>
      <c r="B380" s="52" t="s">
        <v>57</v>
      </c>
      <c r="C380" s="52" t="s">
        <v>327</v>
      </c>
      <c r="D380" s="52" t="s">
        <v>328</v>
      </c>
      <c r="E380" s="52"/>
      <c r="F380" s="52" t="s">
        <v>53</v>
      </c>
      <c r="G380" s="33" t="s">
        <v>53</v>
      </c>
      <c r="H380" s="56" t="s">
        <v>53</v>
      </c>
    </row>
    <row r="381">
      <c r="A381" s="10" t="s">
        <v>329</v>
      </c>
      <c r="B381" s="11" t="s">
        <v>57</v>
      </c>
      <c r="C381" s="11" t="s">
        <v>330</v>
      </c>
      <c r="D381" s="11" t="s">
        <v>331</v>
      </c>
      <c r="E381" s="11"/>
      <c r="F381" s="11" t="s">
        <v>126</v>
      </c>
      <c r="G381" s="57" t="n">
        <v>30</v>
      </c>
      <c r="H381" s="97" t="n">
        <v>0</v>
      </c>
    </row>
    <row r="382">
      <c r="A382" s="62"/>
      <c r="D382" s="98" t="s">
        <v>1405</v>
      </c>
      <c r="E382" s="98" t="s">
        <v>53</v>
      </c>
      <c r="F382" s="98"/>
      <c r="G382" s="99" t="n">
        <v>30</v>
      </c>
      <c r="H382" s="100"/>
    </row>
    <row r="383">
      <c r="A383" s="10" t="s">
        <v>334</v>
      </c>
      <c r="B383" s="11" t="s">
        <v>57</v>
      </c>
      <c r="C383" s="11" t="s">
        <v>138</v>
      </c>
      <c r="D383" s="11" t="s">
        <v>335</v>
      </c>
      <c r="E383" s="11"/>
      <c r="F383" s="11" t="s">
        <v>174</v>
      </c>
      <c r="G383" s="57" t="n">
        <v>60</v>
      </c>
      <c r="H383" s="97" t="n">
        <v>0</v>
      </c>
    </row>
    <row r="384">
      <c r="A384" s="10" t="s">
        <v>336</v>
      </c>
      <c r="B384" s="11" t="s">
        <v>57</v>
      </c>
      <c r="C384" s="11" t="s">
        <v>337</v>
      </c>
      <c r="D384" s="11" t="s">
        <v>338</v>
      </c>
      <c r="E384" s="11"/>
      <c r="F384" s="11" t="s">
        <v>174</v>
      </c>
      <c r="G384" s="57" t="n">
        <v>60</v>
      </c>
      <c r="H384" s="97" t="n">
        <v>0</v>
      </c>
    </row>
    <row r="385">
      <c r="A385" s="10" t="s">
        <v>339</v>
      </c>
      <c r="B385" s="11" t="s">
        <v>57</v>
      </c>
      <c r="C385" s="11" t="s">
        <v>340</v>
      </c>
      <c r="D385" s="11" t="s">
        <v>341</v>
      </c>
      <c r="E385" s="11"/>
      <c r="F385" s="11" t="s">
        <v>174</v>
      </c>
      <c r="G385" s="57" t="n">
        <v>60</v>
      </c>
      <c r="H385" s="97" t="n">
        <v>0</v>
      </c>
    </row>
    <row r="386">
      <c r="A386" s="10" t="s">
        <v>342</v>
      </c>
      <c r="B386" s="11" t="s">
        <v>57</v>
      </c>
      <c r="C386" s="11" t="s">
        <v>343</v>
      </c>
      <c r="D386" s="11" t="s">
        <v>344</v>
      </c>
      <c r="E386" s="11"/>
      <c r="F386" s="11" t="s">
        <v>174</v>
      </c>
      <c r="G386" s="57" t="n">
        <v>2</v>
      </c>
      <c r="H386" s="97" t="n">
        <v>0</v>
      </c>
    </row>
    <row r="387">
      <c r="A387" s="10" t="s">
        <v>345</v>
      </c>
      <c r="B387" s="11" t="s">
        <v>57</v>
      </c>
      <c r="C387" s="11" t="s">
        <v>138</v>
      </c>
      <c r="D387" s="11" t="s">
        <v>346</v>
      </c>
      <c r="E387" s="11"/>
      <c r="F387" s="11" t="s">
        <v>174</v>
      </c>
      <c r="G387" s="57" t="n">
        <v>2</v>
      </c>
      <c r="H387" s="97" t="n">
        <v>0</v>
      </c>
    </row>
    <row r="388">
      <c r="A388" s="10" t="s">
        <v>347</v>
      </c>
      <c r="B388" s="11" t="s">
        <v>57</v>
      </c>
      <c r="C388" s="11" t="s">
        <v>348</v>
      </c>
      <c r="D388" s="11" t="s">
        <v>349</v>
      </c>
      <c r="E388" s="11"/>
      <c r="F388" s="11" t="s">
        <v>174</v>
      </c>
      <c r="G388" s="57" t="n">
        <v>60</v>
      </c>
      <c r="H388" s="97" t="n">
        <v>0</v>
      </c>
    </row>
    <row r="389">
      <c r="A389" s="10" t="s">
        <v>350</v>
      </c>
      <c r="B389" s="11" t="s">
        <v>57</v>
      </c>
      <c r="C389" s="11" t="s">
        <v>351</v>
      </c>
      <c r="D389" s="11" t="s">
        <v>352</v>
      </c>
      <c r="E389" s="11"/>
      <c r="F389" s="11" t="s">
        <v>174</v>
      </c>
      <c r="G389" s="57" t="n">
        <v>60</v>
      </c>
      <c r="H389" s="97" t="n">
        <v>0</v>
      </c>
    </row>
    <row r="390">
      <c r="A390" s="10" t="s">
        <v>353</v>
      </c>
      <c r="B390" s="11" t="s">
        <v>57</v>
      </c>
      <c r="C390" s="11" t="s">
        <v>354</v>
      </c>
      <c r="D390" s="11" t="s">
        <v>355</v>
      </c>
      <c r="E390" s="11"/>
      <c r="F390" s="11" t="s">
        <v>174</v>
      </c>
      <c r="G390" s="57" t="n">
        <v>60</v>
      </c>
      <c r="H390" s="97" t="n">
        <v>0</v>
      </c>
    </row>
    <row r="391">
      <c r="A391" s="10" t="s">
        <v>356</v>
      </c>
      <c r="B391" s="11" t="s">
        <v>57</v>
      </c>
      <c r="C391" s="11" t="s">
        <v>357</v>
      </c>
      <c r="D391" s="11" t="s">
        <v>358</v>
      </c>
      <c r="E391" s="11"/>
      <c r="F391" s="11" t="s">
        <v>174</v>
      </c>
      <c r="G391" s="57" t="n">
        <v>2</v>
      </c>
      <c r="H391" s="97" t="n">
        <v>0</v>
      </c>
    </row>
    <row r="392">
      <c r="A392" s="10" t="s">
        <v>359</v>
      </c>
      <c r="B392" s="11" t="s">
        <v>57</v>
      </c>
      <c r="C392" s="11" t="s">
        <v>360</v>
      </c>
      <c r="D392" s="11" t="s">
        <v>361</v>
      </c>
      <c r="E392" s="11"/>
      <c r="F392" s="11" t="s">
        <v>314</v>
      </c>
      <c r="G392" s="57" t="n">
        <v>0.084</v>
      </c>
      <c r="H392" s="97" t="n">
        <v>0</v>
      </c>
    </row>
    <row r="393">
      <c r="A393" s="96" t="s">
        <v>53</v>
      </c>
      <c r="B393" s="52" t="s">
        <v>57</v>
      </c>
      <c r="C393" s="52" t="s">
        <v>362</v>
      </c>
      <c r="D393" s="52" t="s">
        <v>363</v>
      </c>
      <c r="E393" s="52"/>
      <c r="F393" s="52" t="s">
        <v>53</v>
      </c>
      <c r="G393" s="33" t="s">
        <v>53</v>
      </c>
      <c r="H393" s="56" t="s">
        <v>53</v>
      </c>
    </row>
    <row r="394">
      <c r="A394" s="10" t="s">
        <v>364</v>
      </c>
      <c r="B394" s="11" t="s">
        <v>57</v>
      </c>
      <c r="C394" s="11" t="s">
        <v>365</v>
      </c>
      <c r="D394" s="11" t="s">
        <v>366</v>
      </c>
      <c r="E394" s="11"/>
      <c r="F394" s="11" t="s">
        <v>126</v>
      </c>
      <c r="G394" s="57" t="n">
        <v>683.57</v>
      </c>
      <c r="H394" s="97" t="n">
        <v>0</v>
      </c>
    </row>
    <row r="395">
      <c r="A395" s="62"/>
      <c r="D395" s="98" t="s">
        <v>1406</v>
      </c>
      <c r="E395" s="98" t="s">
        <v>53</v>
      </c>
      <c r="F395" s="98"/>
      <c r="G395" s="99" t="n">
        <v>0</v>
      </c>
      <c r="H395" s="100"/>
    </row>
    <row r="396">
      <c r="A396" s="10" t="s">
        <v>53</v>
      </c>
      <c r="B396" s="11" t="s">
        <v>53</v>
      </c>
      <c r="C396" s="11" t="s">
        <v>53</v>
      </c>
      <c r="D396" s="98" t="s">
        <v>1407</v>
      </c>
      <c r="E396" s="98" t="s">
        <v>1201</v>
      </c>
      <c r="F396" s="98"/>
      <c r="G396" s="99" t="n">
        <v>189</v>
      </c>
      <c r="H396" s="59" t="s">
        <v>53</v>
      </c>
    </row>
    <row r="397">
      <c r="A397" s="10" t="s">
        <v>53</v>
      </c>
      <c r="B397" s="11" t="s">
        <v>53</v>
      </c>
      <c r="C397" s="11" t="s">
        <v>53</v>
      </c>
      <c r="D397" s="98" t="s">
        <v>1408</v>
      </c>
      <c r="E397" s="98" t="s">
        <v>1203</v>
      </c>
      <c r="F397" s="98"/>
      <c r="G397" s="99" t="n">
        <v>41.85</v>
      </c>
      <c r="H397" s="59" t="s">
        <v>53</v>
      </c>
    </row>
    <row r="398">
      <c r="A398" s="10" t="s">
        <v>53</v>
      </c>
      <c r="B398" s="11" t="s">
        <v>53</v>
      </c>
      <c r="C398" s="11" t="s">
        <v>53</v>
      </c>
      <c r="D398" s="98" t="s">
        <v>1409</v>
      </c>
      <c r="E398" s="98" t="s">
        <v>1220</v>
      </c>
      <c r="F398" s="98"/>
      <c r="G398" s="99" t="n">
        <v>1.12</v>
      </c>
      <c r="H398" s="59" t="s">
        <v>53</v>
      </c>
    </row>
    <row r="399">
      <c r="A399" s="10" t="s">
        <v>53</v>
      </c>
      <c r="B399" s="11" t="s">
        <v>53</v>
      </c>
      <c r="C399" s="11" t="s">
        <v>53</v>
      </c>
      <c r="D399" s="98" t="s">
        <v>1410</v>
      </c>
      <c r="E399" s="98" t="s">
        <v>1222</v>
      </c>
      <c r="F399" s="98"/>
      <c r="G399" s="99" t="n">
        <v>4.2</v>
      </c>
      <c r="H399" s="59" t="s">
        <v>53</v>
      </c>
    </row>
    <row r="400">
      <c r="A400" s="10" t="s">
        <v>53</v>
      </c>
      <c r="B400" s="11" t="s">
        <v>53</v>
      </c>
      <c r="C400" s="11" t="s">
        <v>53</v>
      </c>
      <c r="D400" s="98" t="s">
        <v>1411</v>
      </c>
      <c r="E400" s="98" t="s">
        <v>1224</v>
      </c>
      <c r="F400" s="98"/>
      <c r="G400" s="99" t="n">
        <v>3</v>
      </c>
      <c r="H400" s="59" t="s">
        <v>53</v>
      </c>
    </row>
    <row r="401">
      <c r="A401" s="10" t="s">
        <v>53</v>
      </c>
      <c r="B401" s="11" t="s">
        <v>53</v>
      </c>
      <c r="C401" s="11" t="s">
        <v>53</v>
      </c>
      <c r="D401" s="98" t="s">
        <v>1412</v>
      </c>
      <c r="E401" s="98" t="s">
        <v>1226</v>
      </c>
      <c r="F401" s="98"/>
      <c r="G401" s="99" t="n">
        <v>4.5</v>
      </c>
      <c r="H401" s="59" t="s">
        <v>53</v>
      </c>
    </row>
    <row r="402">
      <c r="A402" s="10" t="s">
        <v>53</v>
      </c>
      <c r="B402" s="11" t="s">
        <v>53</v>
      </c>
      <c r="C402" s="11" t="s">
        <v>53</v>
      </c>
      <c r="D402" s="98" t="s">
        <v>1413</v>
      </c>
      <c r="E402" s="98" t="s">
        <v>1228</v>
      </c>
      <c r="F402" s="98"/>
      <c r="G402" s="99" t="n">
        <v>18</v>
      </c>
      <c r="H402" s="59" t="s">
        <v>53</v>
      </c>
    </row>
    <row r="403">
      <c r="A403" s="10" t="s">
        <v>53</v>
      </c>
      <c r="B403" s="11" t="s">
        <v>53</v>
      </c>
      <c r="C403" s="11" t="s">
        <v>53</v>
      </c>
      <c r="D403" s="98" t="s">
        <v>1414</v>
      </c>
      <c r="E403" s="98" t="s">
        <v>1230</v>
      </c>
      <c r="F403" s="98"/>
      <c r="G403" s="99" t="n">
        <v>4.5</v>
      </c>
      <c r="H403" s="59" t="s">
        <v>53</v>
      </c>
    </row>
    <row r="404">
      <c r="A404" s="10" t="s">
        <v>53</v>
      </c>
      <c r="B404" s="11" t="s">
        <v>53</v>
      </c>
      <c r="C404" s="11" t="s">
        <v>53</v>
      </c>
      <c r="D404" s="98" t="s">
        <v>1415</v>
      </c>
      <c r="E404" s="98" t="s">
        <v>53</v>
      </c>
      <c r="F404" s="98"/>
      <c r="G404" s="99" t="n">
        <v>0</v>
      </c>
      <c r="H404" s="59" t="s">
        <v>53</v>
      </c>
    </row>
    <row r="405">
      <c r="A405" s="10" t="s">
        <v>53</v>
      </c>
      <c r="B405" s="11" t="s">
        <v>53</v>
      </c>
      <c r="C405" s="11" t="s">
        <v>53</v>
      </c>
      <c r="D405" s="98" t="s">
        <v>1416</v>
      </c>
      <c r="E405" s="98" t="s">
        <v>1203</v>
      </c>
      <c r="F405" s="98"/>
      <c r="G405" s="99" t="n">
        <v>129.6</v>
      </c>
      <c r="H405" s="59" t="s">
        <v>53</v>
      </c>
    </row>
    <row r="406">
      <c r="A406" s="10" t="s">
        <v>53</v>
      </c>
      <c r="B406" s="11" t="s">
        <v>53</v>
      </c>
      <c r="C406" s="11" t="s">
        <v>53</v>
      </c>
      <c r="D406" s="98" t="s">
        <v>1417</v>
      </c>
      <c r="E406" s="98" t="s">
        <v>53</v>
      </c>
      <c r="F406" s="98"/>
      <c r="G406" s="99" t="n">
        <v>0</v>
      </c>
      <c r="H406" s="59" t="s">
        <v>53</v>
      </c>
    </row>
    <row r="407">
      <c r="A407" s="10" t="s">
        <v>53</v>
      </c>
      <c r="B407" s="11" t="s">
        <v>53</v>
      </c>
      <c r="C407" s="11" t="s">
        <v>53</v>
      </c>
      <c r="D407" s="98" t="s">
        <v>1366</v>
      </c>
      <c r="E407" s="98" t="s">
        <v>1355</v>
      </c>
      <c r="F407" s="98"/>
      <c r="G407" s="99" t="n">
        <v>112.8</v>
      </c>
      <c r="H407" s="59" t="s">
        <v>53</v>
      </c>
    </row>
    <row r="408">
      <c r="A408" s="10" t="s">
        <v>53</v>
      </c>
      <c r="B408" s="11" t="s">
        <v>53</v>
      </c>
      <c r="C408" s="11" t="s">
        <v>53</v>
      </c>
      <c r="D408" s="98" t="s">
        <v>1368</v>
      </c>
      <c r="E408" s="98" t="s">
        <v>1418</v>
      </c>
      <c r="F408" s="98"/>
      <c r="G408" s="99" t="n">
        <v>4.8</v>
      </c>
      <c r="H408" s="59" t="s">
        <v>53</v>
      </c>
    </row>
    <row r="409">
      <c r="A409" s="10" t="s">
        <v>53</v>
      </c>
      <c r="B409" s="11" t="s">
        <v>53</v>
      </c>
      <c r="C409" s="11" t="s">
        <v>53</v>
      </c>
      <c r="D409" s="98" t="s">
        <v>1419</v>
      </c>
      <c r="E409" s="98" t="s">
        <v>53</v>
      </c>
      <c r="F409" s="98"/>
      <c r="G409" s="99" t="n">
        <v>0</v>
      </c>
      <c r="H409" s="59" t="s">
        <v>53</v>
      </c>
    </row>
    <row r="410">
      <c r="A410" s="10" t="s">
        <v>53</v>
      </c>
      <c r="B410" s="11" t="s">
        <v>53</v>
      </c>
      <c r="C410" s="11" t="s">
        <v>53</v>
      </c>
      <c r="D410" s="98" t="s">
        <v>1370</v>
      </c>
      <c r="E410" s="98" t="s">
        <v>1355</v>
      </c>
      <c r="F410" s="98"/>
      <c r="G410" s="99" t="n">
        <v>58</v>
      </c>
      <c r="H410" s="59" t="s">
        <v>53</v>
      </c>
    </row>
    <row r="411">
      <c r="A411" s="10" t="s">
        <v>53</v>
      </c>
      <c r="B411" s="11" t="s">
        <v>53</v>
      </c>
      <c r="C411" s="11" t="s">
        <v>53</v>
      </c>
      <c r="D411" s="98" t="s">
        <v>1371</v>
      </c>
      <c r="E411" s="98" t="s">
        <v>1353</v>
      </c>
      <c r="F411" s="98"/>
      <c r="G411" s="99" t="n">
        <v>112.2</v>
      </c>
      <c r="H411" s="59" t="s">
        <v>53</v>
      </c>
    </row>
    <row r="412">
      <c r="A412" s="10" t="s">
        <v>369</v>
      </c>
      <c r="B412" s="11" t="s">
        <v>57</v>
      </c>
      <c r="C412" s="11" t="s">
        <v>370</v>
      </c>
      <c r="D412" s="11" t="s">
        <v>371</v>
      </c>
      <c r="E412" s="11"/>
      <c r="F412" s="11" t="s">
        <v>126</v>
      </c>
      <c r="G412" s="57" t="n">
        <v>170.2</v>
      </c>
      <c r="H412" s="97" t="n">
        <v>0</v>
      </c>
    </row>
    <row r="413">
      <c r="A413" s="62"/>
      <c r="D413" s="98" t="s">
        <v>1419</v>
      </c>
      <c r="E413" s="98" t="s">
        <v>53</v>
      </c>
      <c r="F413" s="98"/>
      <c r="G413" s="99" t="n">
        <v>0</v>
      </c>
      <c r="H413" s="100"/>
    </row>
    <row r="414">
      <c r="A414" s="10" t="s">
        <v>53</v>
      </c>
      <c r="B414" s="11" t="s">
        <v>53</v>
      </c>
      <c r="C414" s="11" t="s">
        <v>53</v>
      </c>
      <c r="D414" s="98" t="s">
        <v>1370</v>
      </c>
      <c r="E414" s="98" t="s">
        <v>1355</v>
      </c>
      <c r="F414" s="98"/>
      <c r="G414" s="99" t="n">
        <v>58</v>
      </c>
      <c r="H414" s="59" t="s">
        <v>53</v>
      </c>
    </row>
    <row r="415">
      <c r="A415" s="10" t="s">
        <v>53</v>
      </c>
      <c r="B415" s="11" t="s">
        <v>53</v>
      </c>
      <c r="C415" s="11" t="s">
        <v>53</v>
      </c>
      <c r="D415" s="98" t="s">
        <v>1371</v>
      </c>
      <c r="E415" s="98" t="s">
        <v>1353</v>
      </c>
      <c r="F415" s="98"/>
      <c r="G415" s="99" t="n">
        <v>112.2</v>
      </c>
      <c r="H415" s="59" t="s">
        <v>53</v>
      </c>
    </row>
    <row r="416">
      <c r="A416" s="10" t="s">
        <v>372</v>
      </c>
      <c r="B416" s="11" t="s">
        <v>57</v>
      </c>
      <c r="C416" s="11" t="s">
        <v>370</v>
      </c>
      <c r="D416" s="11" t="s">
        <v>371</v>
      </c>
      <c r="E416" s="11"/>
      <c r="F416" s="11" t="s">
        <v>126</v>
      </c>
      <c r="G416" s="57" t="n">
        <v>10.8</v>
      </c>
      <c r="H416" s="97" t="n">
        <v>0</v>
      </c>
    </row>
    <row r="417">
      <c r="A417" s="62"/>
      <c r="D417" s="98" t="s">
        <v>1420</v>
      </c>
      <c r="E417" s="98" t="s">
        <v>53</v>
      </c>
      <c r="F417" s="98"/>
      <c r="G417" s="99" t="n">
        <v>0</v>
      </c>
      <c r="H417" s="100"/>
    </row>
    <row r="418">
      <c r="A418" s="10" t="s">
        <v>53</v>
      </c>
      <c r="B418" s="11" t="s">
        <v>53</v>
      </c>
      <c r="C418" s="11" t="s">
        <v>53</v>
      </c>
      <c r="D418" s="98" t="s">
        <v>1421</v>
      </c>
      <c r="E418" s="98" t="s">
        <v>1216</v>
      </c>
      <c r="F418" s="98"/>
      <c r="G418" s="99" t="n">
        <v>10.8</v>
      </c>
      <c r="H418" s="59" t="s">
        <v>53</v>
      </c>
    </row>
    <row r="419">
      <c r="A419" s="10" t="s">
        <v>373</v>
      </c>
      <c r="B419" s="11" t="s">
        <v>57</v>
      </c>
      <c r="C419" s="11" t="s">
        <v>374</v>
      </c>
      <c r="D419" s="11" t="s">
        <v>375</v>
      </c>
      <c r="E419" s="11"/>
      <c r="F419" s="11" t="s">
        <v>126</v>
      </c>
      <c r="G419" s="57" t="n">
        <v>284.17</v>
      </c>
      <c r="H419" s="97" t="n">
        <v>0</v>
      </c>
    </row>
    <row r="420">
      <c r="A420" s="62"/>
      <c r="D420" s="98" t="s">
        <v>1406</v>
      </c>
      <c r="E420" s="98" t="s">
        <v>53</v>
      </c>
      <c r="F420" s="98"/>
      <c r="G420" s="99" t="n">
        <v>0</v>
      </c>
      <c r="H420" s="100"/>
    </row>
    <row r="421">
      <c r="A421" s="10" t="s">
        <v>53</v>
      </c>
      <c r="B421" s="11" t="s">
        <v>53</v>
      </c>
      <c r="C421" s="11" t="s">
        <v>53</v>
      </c>
      <c r="D421" s="98" t="s">
        <v>1407</v>
      </c>
      <c r="E421" s="98" t="s">
        <v>1201</v>
      </c>
      <c r="F421" s="98"/>
      <c r="G421" s="99" t="n">
        <v>189</v>
      </c>
      <c r="H421" s="59" t="s">
        <v>53</v>
      </c>
    </row>
    <row r="422">
      <c r="A422" s="10" t="s">
        <v>53</v>
      </c>
      <c r="B422" s="11" t="s">
        <v>53</v>
      </c>
      <c r="C422" s="11" t="s">
        <v>53</v>
      </c>
      <c r="D422" s="98" t="s">
        <v>1408</v>
      </c>
      <c r="E422" s="98" t="s">
        <v>1203</v>
      </c>
      <c r="F422" s="98"/>
      <c r="G422" s="99" t="n">
        <v>41.85</v>
      </c>
      <c r="H422" s="59" t="s">
        <v>53</v>
      </c>
    </row>
    <row r="423">
      <c r="A423" s="10" t="s">
        <v>53</v>
      </c>
      <c r="B423" s="11" t="s">
        <v>53</v>
      </c>
      <c r="C423" s="11" t="s">
        <v>53</v>
      </c>
      <c r="D423" s="98" t="s">
        <v>1409</v>
      </c>
      <c r="E423" s="98" t="s">
        <v>1220</v>
      </c>
      <c r="F423" s="98"/>
      <c r="G423" s="99" t="n">
        <v>1.12</v>
      </c>
      <c r="H423" s="59" t="s">
        <v>53</v>
      </c>
    </row>
    <row r="424">
      <c r="A424" s="10" t="s">
        <v>53</v>
      </c>
      <c r="B424" s="11" t="s">
        <v>53</v>
      </c>
      <c r="C424" s="11" t="s">
        <v>53</v>
      </c>
      <c r="D424" s="98" t="s">
        <v>1410</v>
      </c>
      <c r="E424" s="98" t="s">
        <v>1222</v>
      </c>
      <c r="F424" s="98"/>
      <c r="G424" s="99" t="n">
        <v>4.2</v>
      </c>
      <c r="H424" s="59" t="s">
        <v>53</v>
      </c>
    </row>
    <row r="425">
      <c r="A425" s="10" t="s">
        <v>53</v>
      </c>
      <c r="B425" s="11" t="s">
        <v>53</v>
      </c>
      <c r="C425" s="11" t="s">
        <v>53</v>
      </c>
      <c r="D425" s="98" t="s">
        <v>1411</v>
      </c>
      <c r="E425" s="98" t="s">
        <v>1224</v>
      </c>
      <c r="F425" s="98"/>
      <c r="G425" s="99" t="n">
        <v>3</v>
      </c>
      <c r="H425" s="59" t="s">
        <v>53</v>
      </c>
    </row>
    <row r="426">
      <c r="A426" s="10" t="s">
        <v>53</v>
      </c>
      <c r="B426" s="11" t="s">
        <v>53</v>
      </c>
      <c r="C426" s="11" t="s">
        <v>53</v>
      </c>
      <c r="D426" s="98" t="s">
        <v>1412</v>
      </c>
      <c r="E426" s="98" t="s">
        <v>1226</v>
      </c>
      <c r="F426" s="98"/>
      <c r="G426" s="99" t="n">
        <v>4.5</v>
      </c>
      <c r="H426" s="59" t="s">
        <v>53</v>
      </c>
    </row>
    <row r="427">
      <c r="A427" s="10" t="s">
        <v>53</v>
      </c>
      <c r="B427" s="11" t="s">
        <v>53</v>
      </c>
      <c r="C427" s="11" t="s">
        <v>53</v>
      </c>
      <c r="D427" s="98" t="s">
        <v>1413</v>
      </c>
      <c r="E427" s="98" t="s">
        <v>1228</v>
      </c>
      <c r="F427" s="98"/>
      <c r="G427" s="99" t="n">
        <v>18</v>
      </c>
      <c r="H427" s="59" t="s">
        <v>53</v>
      </c>
    </row>
    <row r="428">
      <c r="A428" s="10" t="s">
        <v>53</v>
      </c>
      <c r="B428" s="11" t="s">
        <v>53</v>
      </c>
      <c r="C428" s="11" t="s">
        <v>53</v>
      </c>
      <c r="D428" s="98" t="s">
        <v>1414</v>
      </c>
      <c r="E428" s="98" t="s">
        <v>1230</v>
      </c>
      <c r="F428" s="98"/>
      <c r="G428" s="99" t="n">
        <v>4.5</v>
      </c>
      <c r="H428" s="59" t="s">
        <v>53</v>
      </c>
    </row>
    <row r="429">
      <c r="A429" s="10" t="s">
        <v>53</v>
      </c>
      <c r="B429" s="11" t="s">
        <v>53</v>
      </c>
      <c r="C429" s="11" t="s">
        <v>53</v>
      </c>
      <c r="D429" s="98" t="s">
        <v>1422</v>
      </c>
      <c r="E429" s="98" t="s">
        <v>1216</v>
      </c>
      <c r="F429" s="98"/>
      <c r="G429" s="99" t="n">
        <v>18</v>
      </c>
      <c r="H429" s="59" t="s">
        <v>53</v>
      </c>
    </row>
    <row r="430">
      <c r="A430" s="10" t="s">
        <v>376</v>
      </c>
      <c r="B430" s="11" t="s">
        <v>57</v>
      </c>
      <c r="C430" s="11" t="s">
        <v>374</v>
      </c>
      <c r="D430" s="11" t="s">
        <v>375</v>
      </c>
      <c r="E430" s="11"/>
      <c r="F430" s="11" t="s">
        <v>126</v>
      </c>
      <c r="G430" s="57" t="n">
        <v>117.6</v>
      </c>
      <c r="H430" s="97" t="n">
        <v>0</v>
      </c>
    </row>
    <row r="431">
      <c r="A431" s="62"/>
      <c r="D431" s="98" t="s">
        <v>1417</v>
      </c>
      <c r="E431" s="98" t="s">
        <v>53</v>
      </c>
      <c r="F431" s="98"/>
      <c r="G431" s="99" t="n">
        <v>0</v>
      </c>
      <c r="H431" s="100"/>
    </row>
    <row r="432">
      <c r="A432" s="10" t="s">
        <v>53</v>
      </c>
      <c r="B432" s="11" t="s">
        <v>53</v>
      </c>
      <c r="C432" s="11" t="s">
        <v>53</v>
      </c>
      <c r="D432" s="98" t="s">
        <v>1366</v>
      </c>
      <c r="E432" s="98" t="s">
        <v>1355</v>
      </c>
      <c r="F432" s="98"/>
      <c r="G432" s="99" t="n">
        <v>112.8</v>
      </c>
      <c r="H432" s="59" t="s">
        <v>53</v>
      </c>
    </row>
    <row r="433">
      <c r="A433" s="10" t="s">
        <v>53</v>
      </c>
      <c r="B433" s="11" t="s">
        <v>53</v>
      </c>
      <c r="C433" s="11" t="s">
        <v>53</v>
      </c>
      <c r="D433" s="98" t="s">
        <v>1368</v>
      </c>
      <c r="E433" s="98" t="s">
        <v>1418</v>
      </c>
      <c r="F433" s="98"/>
      <c r="G433" s="99" t="n">
        <v>4.8</v>
      </c>
      <c r="H433" s="59" t="s">
        <v>53</v>
      </c>
    </row>
    <row r="434">
      <c r="A434" s="10" t="s">
        <v>377</v>
      </c>
      <c r="B434" s="11" t="s">
        <v>57</v>
      </c>
      <c r="C434" s="11" t="s">
        <v>378</v>
      </c>
      <c r="D434" s="11" t="s">
        <v>379</v>
      </c>
      <c r="E434" s="11"/>
      <c r="F434" s="11" t="s">
        <v>126</v>
      </c>
      <c r="G434" s="57" t="n">
        <v>129.6</v>
      </c>
      <c r="H434" s="97" t="n">
        <v>0</v>
      </c>
    </row>
    <row r="435">
      <c r="A435" s="62"/>
      <c r="D435" s="98" t="s">
        <v>1415</v>
      </c>
      <c r="E435" s="98" t="s">
        <v>53</v>
      </c>
      <c r="F435" s="98"/>
      <c r="G435" s="99" t="n">
        <v>0</v>
      </c>
      <c r="H435" s="100"/>
    </row>
    <row r="436">
      <c r="A436" s="10" t="s">
        <v>53</v>
      </c>
      <c r="B436" s="11" t="s">
        <v>53</v>
      </c>
      <c r="C436" s="11" t="s">
        <v>53</v>
      </c>
      <c r="D436" s="98" t="s">
        <v>1416</v>
      </c>
      <c r="E436" s="98" t="s">
        <v>1203</v>
      </c>
      <c r="F436" s="98"/>
      <c r="G436" s="99" t="n">
        <v>129.6</v>
      </c>
      <c r="H436" s="59" t="s">
        <v>53</v>
      </c>
    </row>
    <row r="437">
      <c r="A437" s="10" t="s">
        <v>380</v>
      </c>
      <c r="B437" s="11" t="s">
        <v>57</v>
      </c>
      <c r="C437" s="11" t="s">
        <v>381</v>
      </c>
      <c r="D437" s="11" t="s">
        <v>382</v>
      </c>
      <c r="E437" s="11"/>
      <c r="F437" s="11" t="s">
        <v>126</v>
      </c>
      <c r="G437" s="57" t="n">
        <v>153.4</v>
      </c>
      <c r="H437" s="97" t="n">
        <v>0</v>
      </c>
    </row>
    <row r="438">
      <c r="A438" s="62"/>
      <c r="D438" s="98" t="s">
        <v>1423</v>
      </c>
      <c r="E438" s="98" t="s">
        <v>53</v>
      </c>
      <c r="F438" s="98"/>
      <c r="G438" s="99" t="n">
        <v>141.3</v>
      </c>
      <c r="H438" s="100"/>
    </row>
    <row r="439">
      <c r="A439" s="10" t="s">
        <v>53</v>
      </c>
      <c r="B439" s="11" t="s">
        <v>53</v>
      </c>
      <c r="C439" s="11" t="s">
        <v>53</v>
      </c>
      <c r="D439" s="98" t="s">
        <v>1424</v>
      </c>
      <c r="E439" s="98" t="s">
        <v>53</v>
      </c>
      <c r="F439" s="98"/>
      <c r="G439" s="99" t="n">
        <v>12.1</v>
      </c>
      <c r="H439" s="59" t="s">
        <v>53</v>
      </c>
    </row>
    <row r="440">
      <c r="A440" s="10" t="s">
        <v>383</v>
      </c>
      <c r="B440" s="11" t="s">
        <v>57</v>
      </c>
      <c r="C440" s="11" t="s">
        <v>384</v>
      </c>
      <c r="D440" s="11" t="s">
        <v>385</v>
      </c>
      <c r="E440" s="11"/>
      <c r="F440" s="11" t="s">
        <v>126</v>
      </c>
      <c r="G440" s="57" t="n">
        <v>153.4</v>
      </c>
      <c r="H440" s="97" t="n">
        <v>0</v>
      </c>
    </row>
    <row r="441">
      <c r="A441" s="62"/>
      <c r="D441" s="98" t="s">
        <v>1423</v>
      </c>
      <c r="E441" s="98" t="s">
        <v>53</v>
      </c>
      <c r="F441" s="98"/>
      <c r="G441" s="99" t="n">
        <v>141.3</v>
      </c>
      <c r="H441" s="100"/>
    </row>
    <row r="442">
      <c r="A442" s="10" t="s">
        <v>53</v>
      </c>
      <c r="B442" s="11" t="s">
        <v>53</v>
      </c>
      <c r="C442" s="11" t="s">
        <v>53</v>
      </c>
      <c r="D442" s="98" t="s">
        <v>1424</v>
      </c>
      <c r="E442" s="98" t="s">
        <v>53</v>
      </c>
      <c r="F442" s="98"/>
      <c r="G442" s="99" t="n">
        <v>12.1</v>
      </c>
      <c r="H442" s="59" t="s">
        <v>53</v>
      </c>
    </row>
    <row r="443">
      <c r="A443" s="10" t="s">
        <v>386</v>
      </c>
      <c r="B443" s="11" t="s">
        <v>57</v>
      </c>
      <c r="C443" s="11" t="s">
        <v>387</v>
      </c>
      <c r="D443" s="11" t="s">
        <v>388</v>
      </c>
      <c r="E443" s="11"/>
      <c r="F443" s="11" t="s">
        <v>126</v>
      </c>
      <c r="G443" s="57" t="n">
        <v>23.9</v>
      </c>
      <c r="H443" s="97" t="n">
        <v>0</v>
      </c>
    </row>
    <row r="444">
      <c r="A444" s="62"/>
      <c r="D444" s="98" t="s">
        <v>1377</v>
      </c>
      <c r="E444" s="98" t="s">
        <v>1378</v>
      </c>
      <c r="F444" s="98"/>
      <c r="G444" s="99" t="n">
        <v>23.9</v>
      </c>
      <c r="H444" s="100"/>
    </row>
    <row r="445">
      <c r="A445" s="10" t="s">
        <v>389</v>
      </c>
      <c r="B445" s="11" t="s">
        <v>57</v>
      </c>
      <c r="C445" s="11" t="s">
        <v>138</v>
      </c>
      <c r="D445" s="11" t="s">
        <v>390</v>
      </c>
      <c r="E445" s="11"/>
      <c r="F445" s="11" t="s">
        <v>174</v>
      </c>
      <c r="G445" s="57" t="n">
        <v>13.145</v>
      </c>
      <c r="H445" s="97" t="n">
        <v>0</v>
      </c>
    </row>
    <row r="446">
      <c r="A446" s="62"/>
      <c r="D446" s="98" t="s">
        <v>1425</v>
      </c>
      <c r="E446" s="98" t="s">
        <v>1378</v>
      </c>
      <c r="F446" s="98"/>
      <c r="G446" s="99" t="n">
        <v>11.95</v>
      </c>
      <c r="H446" s="100"/>
    </row>
    <row r="447">
      <c r="A447" s="10" t="s">
        <v>53</v>
      </c>
      <c r="B447" s="11" t="s">
        <v>53</v>
      </c>
      <c r="C447" s="11" t="s">
        <v>53</v>
      </c>
      <c r="D447" s="98" t="s">
        <v>1426</v>
      </c>
      <c r="E447" s="98" t="s">
        <v>53</v>
      </c>
      <c r="F447" s="98"/>
      <c r="G447" s="99" t="n">
        <v>1.195</v>
      </c>
      <c r="H447" s="59" t="s">
        <v>53</v>
      </c>
    </row>
    <row r="448">
      <c r="A448" s="10" t="s">
        <v>391</v>
      </c>
      <c r="B448" s="11" t="s">
        <v>57</v>
      </c>
      <c r="C448" s="11" t="s">
        <v>392</v>
      </c>
      <c r="D448" s="11" t="s">
        <v>393</v>
      </c>
      <c r="E448" s="11"/>
      <c r="F448" s="11" t="s">
        <v>314</v>
      </c>
      <c r="G448" s="57" t="n">
        <v>4.04074</v>
      </c>
      <c r="H448" s="97" t="n">
        <v>0</v>
      </c>
    </row>
    <row r="449">
      <c r="A449" s="96" t="s">
        <v>53</v>
      </c>
      <c r="B449" s="52" t="s">
        <v>57</v>
      </c>
      <c r="C449" s="52" t="s">
        <v>394</v>
      </c>
      <c r="D449" s="52" t="s">
        <v>395</v>
      </c>
      <c r="E449" s="52"/>
      <c r="F449" s="52" t="s">
        <v>53</v>
      </c>
      <c r="G449" s="33" t="s">
        <v>53</v>
      </c>
      <c r="H449" s="56" t="s">
        <v>53</v>
      </c>
    </row>
    <row r="450">
      <c r="A450" s="10" t="s">
        <v>396</v>
      </c>
      <c r="B450" s="11" t="s">
        <v>57</v>
      </c>
      <c r="C450" s="11" t="s">
        <v>397</v>
      </c>
      <c r="D450" s="11" t="s">
        <v>398</v>
      </c>
      <c r="E450" s="11"/>
      <c r="F450" s="11" t="s">
        <v>126</v>
      </c>
      <c r="G450" s="57" t="n">
        <v>424.57</v>
      </c>
      <c r="H450" s="97" t="n">
        <v>0</v>
      </c>
    </row>
    <row r="451">
      <c r="A451" s="62"/>
      <c r="D451" s="98" t="s">
        <v>1420</v>
      </c>
      <c r="E451" s="98" t="s">
        <v>53</v>
      </c>
      <c r="F451" s="98"/>
      <c r="G451" s="99" t="n">
        <v>0</v>
      </c>
      <c r="H451" s="100"/>
    </row>
    <row r="452">
      <c r="A452" s="10" t="s">
        <v>53</v>
      </c>
      <c r="B452" s="11" t="s">
        <v>53</v>
      </c>
      <c r="C452" s="11" t="s">
        <v>53</v>
      </c>
      <c r="D452" s="98" t="s">
        <v>1421</v>
      </c>
      <c r="E452" s="98" t="s">
        <v>1216</v>
      </c>
      <c r="F452" s="98"/>
      <c r="G452" s="99" t="n">
        <v>10.8</v>
      </c>
      <c r="H452" s="59" t="s">
        <v>53</v>
      </c>
    </row>
    <row r="453">
      <c r="A453" s="10" t="s">
        <v>53</v>
      </c>
      <c r="B453" s="11" t="s">
        <v>53</v>
      </c>
      <c r="C453" s="11" t="s">
        <v>53</v>
      </c>
      <c r="D453" s="98" t="s">
        <v>1422</v>
      </c>
      <c r="E453" s="98" t="s">
        <v>1216</v>
      </c>
      <c r="F453" s="98"/>
      <c r="G453" s="99" t="n">
        <v>18</v>
      </c>
      <c r="H453" s="59" t="s">
        <v>53</v>
      </c>
    </row>
    <row r="454">
      <c r="A454" s="10" t="s">
        <v>53</v>
      </c>
      <c r="B454" s="11" t="s">
        <v>53</v>
      </c>
      <c r="C454" s="11" t="s">
        <v>53</v>
      </c>
      <c r="D454" s="98" t="s">
        <v>1406</v>
      </c>
      <c r="E454" s="98" t="s">
        <v>53</v>
      </c>
      <c r="F454" s="98"/>
      <c r="G454" s="99" t="n">
        <v>0</v>
      </c>
      <c r="H454" s="59" t="s">
        <v>53</v>
      </c>
    </row>
    <row r="455">
      <c r="A455" s="10" t="s">
        <v>53</v>
      </c>
      <c r="B455" s="11" t="s">
        <v>53</v>
      </c>
      <c r="C455" s="11" t="s">
        <v>53</v>
      </c>
      <c r="D455" s="98" t="s">
        <v>1407</v>
      </c>
      <c r="E455" s="98" t="s">
        <v>1201</v>
      </c>
      <c r="F455" s="98"/>
      <c r="G455" s="99" t="n">
        <v>189</v>
      </c>
      <c r="H455" s="59" t="s">
        <v>53</v>
      </c>
    </row>
    <row r="456">
      <c r="A456" s="10" t="s">
        <v>53</v>
      </c>
      <c r="B456" s="11" t="s">
        <v>53</v>
      </c>
      <c r="C456" s="11" t="s">
        <v>53</v>
      </c>
      <c r="D456" s="98" t="s">
        <v>1408</v>
      </c>
      <c r="E456" s="98" t="s">
        <v>1203</v>
      </c>
      <c r="F456" s="98"/>
      <c r="G456" s="99" t="n">
        <v>41.85</v>
      </c>
      <c r="H456" s="59" t="s">
        <v>53</v>
      </c>
    </row>
    <row r="457">
      <c r="A457" s="10" t="s">
        <v>53</v>
      </c>
      <c r="B457" s="11" t="s">
        <v>53</v>
      </c>
      <c r="C457" s="11" t="s">
        <v>53</v>
      </c>
      <c r="D457" s="98" t="s">
        <v>1409</v>
      </c>
      <c r="E457" s="98" t="s">
        <v>1220</v>
      </c>
      <c r="F457" s="98"/>
      <c r="G457" s="99" t="n">
        <v>1.12</v>
      </c>
      <c r="H457" s="59" t="s">
        <v>53</v>
      </c>
    </row>
    <row r="458">
      <c r="A458" s="10" t="s">
        <v>53</v>
      </c>
      <c r="B458" s="11" t="s">
        <v>53</v>
      </c>
      <c r="C458" s="11" t="s">
        <v>53</v>
      </c>
      <c r="D458" s="98" t="s">
        <v>1410</v>
      </c>
      <c r="E458" s="98" t="s">
        <v>1222</v>
      </c>
      <c r="F458" s="98"/>
      <c r="G458" s="99" t="n">
        <v>4.2</v>
      </c>
      <c r="H458" s="59" t="s">
        <v>53</v>
      </c>
    </row>
    <row r="459">
      <c r="A459" s="10" t="s">
        <v>53</v>
      </c>
      <c r="B459" s="11" t="s">
        <v>53</v>
      </c>
      <c r="C459" s="11" t="s">
        <v>53</v>
      </c>
      <c r="D459" s="98" t="s">
        <v>1411</v>
      </c>
      <c r="E459" s="98" t="s">
        <v>1224</v>
      </c>
      <c r="F459" s="98"/>
      <c r="G459" s="99" t="n">
        <v>3</v>
      </c>
      <c r="H459" s="59" t="s">
        <v>53</v>
      </c>
    </row>
    <row r="460">
      <c r="A460" s="10" t="s">
        <v>53</v>
      </c>
      <c r="B460" s="11" t="s">
        <v>53</v>
      </c>
      <c r="C460" s="11" t="s">
        <v>53</v>
      </c>
      <c r="D460" s="98" t="s">
        <v>1412</v>
      </c>
      <c r="E460" s="98" t="s">
        <v>1226</v>
      </c>
      <c r="F460" s="98"/>
      <c r="G460" s="99" t="n">
        <v>4.5</v>
      </c>
      <c r="H460" s="59" t="s">
        <v>53</v>
      </c>
    </row>
    <row r="461">
      <c r="A461" s="10" t="s">
        <v>53</v>
      </c>
      <c r="B461" s="11" t="s">
        <v>53</v>
      </c>
      <c r="C461" s="11" t="s">
        <v>53</v>
      </c>
      <c r="D461" s="98" t="s">
        <v>1413</v>
      </c>
      <c r="E461" s="98" t="s">
        <v>1228</v>
      </c>
      <c r="F461" s="98"/>
      <c r="G461" s="99" t="n">
        <v>18</v>
      </c>
      <c r="H461" s="59" t="s">
        <v>53</v>
      </c>
    </row>
    <row r="462">
      <c r="A462" s="10" t="s">
        <v>53</v>
      </c>
      <c r="B462" s="11" t="s">
        <v>53</v>
      </c>
      <c r="C462" s="11" t="s">
        <v>53</v>
      </c>
      <c r="D462" s="98" t="s">
        <v>1414</v>
      </c>
      <c r="E462" s="98" t="s">
        <v>1230</v>
      </c>
      <c r="F462" s="98"/>
      <c r="G462" s="99" t="n">
        <v>4.5</v>
      </c>
      <c r="H462" s="59" t="s">
        <v>53</v>
      </c>
    </row>
    <row r="463">
      <c r="A463" s="10" t="s">
        <v>53</v>
      </c>
      <c r="B463" s="11" t="s">
        <v>53</v>
      </c>
      <c r="C463" s="11" t="s">
        <v>53</v>
      </c>
      <c r="D463" s="98" t="s">
        <v>1415</v>
      </c>
      <c r="E463" s="98" t="s">
        <v>53</v>
      </c>
      <c r="F463" s="98"/>
      <c r="G463" s="99" t="n">
        <v>0</v>
      </c>
      <c r="H463" s="59" t="s">
        <v>53</v>
      </c>
    </row>
    <row r="464">
      <c r="A464" s="10" t="s">
        <v>53</v>
      </c>
      <c r="B464" s="11" t="s">
        <v>53</v>
      </c>
      <c r="C464" s="11" t="s">
        <v>53</v>
      </c>
      <c r="D464" s="98" t="s">
        <v>1416</v>
      </c>
      <c r="E464" s="98" t="s">
        <v>1203</v>
      </c>
      <c r="F464" s="98"/>
      <c r="G464" s="99" t="n">
        <v>129.6</v>
      </c>
      <c r="H464" s="59" t="s">
        <v>53</v>
      </c>
    </row>
    <row r="465">
      <c r="A465" s="10" t="s">
        <v>401</v>
      </c>
      <c r="B465" s="11" t="s">
        <v>57</v>
      </c>
      <c r="C465" s="11" t="s">
        <v>402</v>
      </c>
      <c r="D465" s="11" t="s">
        <v>403</v>
      </c>
      <c r="E465" s="11"/>
      <c r="F465" s="11" t="s">
        <v>126</v>
      </c>
      <c r="G465" s="57" t="n">
        <v>467.027</v>
      </c>
      <c r="H465" s="97" t="n">
        <v>0</v>
      </c>
    </row>
    <row r="466">
      <c r="A466" s="62"/>
      <c r="D466" s="98" t="s">
        <v>1420</v>
      </c>
      <c r="E466" s="98" t="s">
        <v>53</v>
      </c>
      <c r="F466" s="98"/>
      <c r="G466" s="99" t="n">
        <v>0</v>
      </c>
      <c r="H466" s="100"/>
    </row>
    <row r="467">
      <c r="A467" s="10" t="s">
        <v>53</v>
      </c>
      <c r="B467" s="11" t="s">
        <v>53</v>
      </c>
      <c r="C467" s="11" t="s">
        <v>53</v>
      </c>
      <c r="D467" s="98" t="s">
        <v>1421</v>
      </c>
      <c r="E467" s="98" t="s">
        <v>1216</v>
      </c>
      <c r="F467" s="98"/>
      <c r="G467" s="99" t="n">
        <v>10.8</v>
      </c>
      <c r="H467" s="59" t="s">
        <v>53</v>
      </c>
    </row>
    <row r="468">
      <c r="A468" s="10" t="s">
        <v>53</v>
      </c>
      <c r="B468" s="11" t="s">
        <v>53</v>
      </c>
      <c r="C468" s="11" t="s">
        <v>53</v>
      </c>
      <c r="D468" s="98" t="s">
        <v>1406</v>
      </c>
      <c r="E468" s="98" t="s">
        <v>53</v>
      </c>
      <c r="F468" s="98"/>
      <c r="G468" s="99" t="n">
        <v>0</v>
      </c>
      <c r="H468" s="59" t="s">
        <v>53</v>
      </c>
    </row>
    <row r="469">
      <c r="A469" s="10" t="s">
        <v>53</v>
      </c>
      <c r="B469" s="11" t="s">
        <v>53</v>
      </c>
      <c r="C469" s="11" t="s">
        <v>53</v>
      </c>
      <c r="D469" s="98" t="s">
        <v>1422</v>
      </c>
      <c r="E469" s="98" t="s">
        <v>1216</v>
      </c>
      <c r="F469" s="98"/>
      <c r="G469" s="99" t="n">
        <v>18</v>
      </c>
      <c r="H469" s="59" t="s">
        <v>53</v>
      </c>
    </row>
    <row r="470">
      <c r="A470" s="10" t="s">
        <v>53</v>
      </c>
      <c r="B470" s="11" t="s">
        <v>53</v>
      </c>
      <c r="C470" s="11" t="s">
        <v>53</v>
      </c>
      <c r="D470" s="98" t="s">
        <v>1407</v>
      </c>
      <c r="E470" s="98" t="s">
        <v>1201</v>
      </c>
      <c r="F470" s="98"/>
      <c r="G470" s="99" t="n">
        <v>189</v>
      </c>
      <c r="H470" s="59" t="s">
        <v>53</v>
      </c>
    </row>
    <row r="471">
      <c r="A471" s="10" t="s">
        <v>53</v>
      </c>
      <c r="B471" s="11" t="s">
        <v>53</v>
      </c>
      <c r="C471" s="11" t="s">
        <v>53</v>
      </c>
      <c r="D471" s="98" t="s">
        <v>1408</v>
      </c>
      <c r="E471" s="98" t="s">
        <v>1203</v>
      </c>
      <c r="F471" s="98"/>
      <c r="G471" s="99" t="n">
        <v>41.85</v>
      </c>
      <c r="H471" s="59" t="s">
        <v>53</v>
      </c>
    </row>
    <row r="472">
      <c r="A472" s="10" t="s">
        <v>53</v>
      </c>
      <c r="B472" s="11" t="s">
        <v>53</v>
      </c>
      <c r="C472" s="11" t="s">
        <v>53</v>
      </c>
      <c r="D472" s="98" t="s">
        <v>1409</v>
      </c>
      <c r="E472" s="98" t="s">
        <v>1220</v>
      </c>
      <c r="F472" s="98"/>
      <c r="G472" s="99" t="n">
        <v>1.12</v>
      </c>
      <c r="H472" s="59" t="s">
        <v>53</v>
      </c>
    </row>
    <row r="473">
      <c r="A473" s="10" t="s">
        <v>53</v>
      </c>
      <c r="B473" s="11" t="s">
        <v>53</v>
      </c>
      <c r="C473" s="11" t="s">
        <v>53</v>
      </c>
      <c r="D473" s="98" t="s">
        <v>1410</v>
      </c>
      <c r="E473" s="98" t="s">
        <v>1222</v>
      </c>
      <c r="F473" s="98"/>
      <c r="G473" s="99" t="n">
        <v>4.2</v>
      </c>
      <c r="H473" s="59" t="s">
        <v>53</v>
      </c>
    </row>
    <row r="474">
      <c r="A474" s="10" t="s">
        <v>53</v>
      </c>
      <c r="B474" s="11" t="s">
        <v>53</v>
      </c>
      <c r="C474" s="11" t="s">
        <v>53</v>
      </c>
      <c r="D474" s="98" t="s">
        <v>1411</v>
      </c>
      <c r="E474" s="98" t="s">
        <v>1224</v>
      </c>
      <c r="F474" s="98"/>
      <c r="G474" s="99" t="n">
        <v>3</v>
      </c>
      <c r="H474" s="59" t="s">
        <v>53</v>
      </c>
    </row>
    <row r="475">
      <c r="A475" s="10" t="s">
        <v>53</v>
      </c>
      <c r="B475" s="11" t="s">
        <v>53</v>
      </c>
      <c r="C475" s="11" t="s">
        <v>53</v>
      </c>
      <c r="D475" s="98" t="s">
        <v>1412</v>
      </c>
      <c r="E475" s="98" t="s">
        <v>1226</v>
      </c>
      <c r="F475" s="98"/>
      <c r="G475" s="99" t="n">
        <v>4.5</v>
      </c>
      <c r="H475" s="59" t="s">
        <v>53</v>
      </c>
    </row>
    <row r="476">
      <c r="A476" s="10" t="s">
        <v>53</v>
      </c>
      <c r="B476" s="11" t="s">
        <v>53</v>
      </c>
      <c r="C476" s="11" t="s">
        <v>53</v>
      </c>
      <c r="D476" s="98" t="s">
        <v>1413</v>
      </c>
      <c r="E476" s="98" t="s">
        <v>1228</v>
      </c>
      <c r="F476" s="98"/>
      <c r="G476" s="99" t="n">
        <v>18</v>
      </c>
      <c r="H476" s="59" t="s">
        <v>53</v>
      </c>
    </row>
    <row r="477">
      <c r="A477" s="10" t="s">
        <v>53</v>
      </c>
      <c r="B477" s="11" t="s">
        <v>53</v>
      </c>
      <c r="C477" s="11" t="s">
        <v>53</v>
      </c>
      <c r="D477" s="98" t="s">
        <v>1414</v>
      </c>
      <c r="E477" s="98" t="s">
        <v>1230</v>
      </c>
      <c r="F477" s="98"/>
      <c r="G477" s="99" t="n">
        <v>4.5</v>
      </c>
      <c r="H477" s="59" t="s">
        <v>53</v>
      </c>
    </row>
    <row r="478">
      <c r="A478" s="10" t="s">
        <v>53</v>
      </c>
      <c r="B478" s="11" t="s">
        <v>53</v>
      </c>
      <c r="C478" s="11" t="s">
        <v>53</v>
      </c>
      <c r="D478" s="98" t="s">
        <v>1415</v>
      </c>
      <c r="E478" s="98" t="s">
        <v>53</v>
      </c>
      <c r="F478" s="98"/>
      <c r="G478" s="99" t="n">
        <v>0</v>
      </c>
      <c r="H478" s="59" t="s">
        <v>53</v>
      </c>
    </row>
    <row r="479">
      <c r="A479" s="10" t="s">
        <v>53</v>
      </c>
      <c r="B479" s="11" t="s">
        <v>53</v>
      </c>
      <c r="C479" s="11" t="s">
        <v>53</v>
      </c>
      <c r="D479" s="98" t="s">
        <v>1416</v>
      </c>
      <c r="E479" s="98" t="s">
        <v>1203</v>
      </c>
      <c r="F479" s="98"/>
      <c r="G479" s="99" t="n">
        <v>129.6</v>
      </c>
      <c r="H479" s="59" t="s">
        <v>53</v>
      </c>
    </row>
    <row r="480">
      <c r="A480" s="10" t="s">
        <v>53</v>
      </c>
      <c r="B480" s="11" t="s">
        <v>53</v>
      </c>
      <c r="C480" s="11" t="s">
        <v>53</v>
      </c>
      <c r="D480" s="98" t="s">
        <v>1427</v>
      </c>
      <c r="E480" s="98" t="s">
        <v>53</v>
      </c>
      <c r="F480" s="98"/>
      <c r="G480" s="99" t="n">
        <v>42.457</v>
      </c>
      <c r="H480" s="59" t="s">
        <v>53</v>
      </c>
    </row>
    <row r="481">
      <c r="A481" s="10" t="s">
        <v>404</v>
      </c>
      <c r="B481" s="11" t="s">
        <v>57</v>
      </c>
      <c r="C481" s="11" t="s">
        <v>397</v>
      </c>
      <c r="D481" s="11" t="s">
        <v>398</v>
      </c>
      <c r="E481" s="11"/>
      <c r="F481" s="11" t="s">
        <v>126</v>
      </c>
      <c r="G481" s="57" t="n">
        <v>96</v>
      </c>
      <c r="H481" s="97" t="n">
        <v>0</v>
      </c>
    </row>
    <row r="482">
      <c r="A482" s="62"/>
      <c r="D482" s="98" t="s">
        <v>1420</v>
      </c>
      <c r="E482" s="98" t="s">
        <v>53</v>
      </c>
      <c r="F482" s="98"/>
      <c r="G482" s="99" t="n">
        <v>0</v>
      </c>
      <c r="H482" s="100"/>
    </row>
    <row r="483">
      <c r="A483" s="10" t="s">
        <v>53</v>
      </c>
      <c r="B483" s="11" t="s">
        <v>53</v>
      </c>
      <c r="C483" s="11" t="s">
        <v>53</v>
      </c>
      <c r="D483" s="98" t="s">
        <v>1428</v>
      </c>
      <c r="E483" s="98" t="s">
        <v>1216</v>
      </c>
      <c r="F483" s="98"/>
      <c r="G483" s="99" t="n">
        <v>36</v>
      </c>
      <c r="H483" s="59" t="s">
        <v>53</v>
      </c>
    </row>
    <row r="484">
      <c r="A484" s="10" t="s">
        <v>53</v>
      </c>
      <c r="B484" s="11" t="s">
        <v>53</v>
      </c>
      <c r="C484" s="11" t="s">
        <v>53</v>
      </c>
      <c r="D484" s="98" t="s">
        <v>1429</v>
      </c>
      <c r="E484" s="98" t="s">
        <v>1216</v>
      </c>
      <c r="F484" s="98"/>
      <c r="G484" s="99" t="n">
        <v>60</v>
      </c>
      <c r="H484" s="59" t="s">
        <v>53</v>
      </c>
    </row>
    <row r="485">
      <c r="A485" s="10" t="s">
        <v>405</v>
      </c>
      <c r="B485" s="11" t="s">
        <v>57</v>
      </c>
      <c r="C485" s="11" t="s">
        <v>406</v>
      </c>
      <c r="D485" s="11" t="s">
        <v>407</v>
      </c>
      <c r="E485" s="11"/>
      <c r="F485" s="11" t="s">
        <v>126</v>
      </c>
      <c r="G485" s="57" t="n">
        <v>105.6</v>
      </c>
      <c r="H485" s="97" t="n">
        <v>0</v>
      </c>
    </row>
    <row r="486">
      <c r="A486" s="62"/>
      <c r="D486" s="98" t="s">
        <v>1420</v>
      </c>
      <c r="E486" s="98" t="s">
        <v>53</v>
      </c>
      <c r="F486" s="98"/>
      <c r="G486" s="99" t="n">
        <v>0</v>
      </c>
      <c r="H486" s="100"/>
    </row>
    <row r="487">
      <c r="A487" s="10" t="s">
        <v>53</v>
      </c>
      <c r="B487" s="11" t="s">
        <v>53</v>
      </c>
      <c r="C487" s="11" t="s">
        <v>53</v>
      </c>
      <c r="D487" s="98" t="s">
        <v>1428</v>
      </c>
      <c r="E487" s="98" t="s">
        <v>1216</v>
      </c>
      <c r="F487" s="98"/>
      <c r="G487" s="99" t="n">
        <v>36</v>
      </c>
      <c r="H487" s="59" t="s">
        <v>53</v>
      </c>
    </row>
    <row r="488">
      <c r="A488" s="10" t="s">
        <v>53</v>
      </c>
      <c r="B488" s="11" t="s">
        <v>53</v>
      </c>
      <c r="C488" s="11" t="s">
        <v>53</v>
      </c>
      <c r="D488" s="98" t="s">
        <v>1429</v>
      </c>
      <c r="E488" s="98" t="s">
        <v>1216</v>
      </c>
      <c r="F488" s="98"/>
      <c r="G488" s="99" t="n">
        <v>60</v>
      </c>
      <c r="H488" s="59" t="s">
        <v>53</v>
      </c>
    </row>
    <row r="489">
      <c r="A489" s="10" t="s">
        <v>53</v>
      </c>
      <c r="B489" s="11" t="s">
        <v>53</v>
      </c>
      <c r="C489" s="11" t="s">
        <v>53</v>
      </c>
      <c r="D489" s="98" t="s">
        <v>1430</v>
      </c>
      <c r="E489" s="98" t="s">
        <v>53</v>
      </c>
      <c r="F489" s="98"/>
      <c r="G489" s="99" t="n">
        <v>9.6</v>
      </c>
      <c r="H489" s="59" t="s">
        <v>53</v>
      </c>
    </row>
    <row r="490">
      <c r="A490" s="10" t="s">
        <v>408</v>
      </c>
      <c r="B490" s="11" t="s">
        <v>57</v>
      </c>
      <c r="C490" s="11" t="s">
        <v>409</v>
      </c>
      <c r="D490" s="11" t="s">
        <v>410</v>
      </c>
      <c r="E490" s="11"/>
      <c r="F490" s="11" t="s">
        <v>126</v>
      </c>
      <c r="G490" s="57" t="n">
        <v>29.5</v>
      </c>
      <c r="H490" s="97" t="n">
        <v>0</v>
      </c>
    </row>
    <row r="491">
      <c r="A491" s="62"/>
      <c r="D491" s="98" t="s">
        <v>1431</v>
      </c>
      <c r="E491" s="98" t="s">
        <v>1432</v>
      </c>
      <c r="F491" s="98"/>
      <c r="G491" s="99" t="n">
        <v>29.5</v>
      </c>
      <c r="H491" s="100"/>
    </row>
    <row r="492">
      <c r="A492" s="10" t="s">
        <v>411</v>
      </c>
      <c r="B492" s="11" t="s">
        <v>57</v>
      </c>
      <c r="C492" s="11" t="s">
        <v>412</v>
      </c>
      <c r="D492" s="11" t="s">
        <v>413</v>
      </c>
      <c r="E492" s="11"/>
      <c r="F492" s="11" t="s">
        <v>126</v>
      </c>
      <c r="G492" s="57" t="n">
        <v>32.45</v>
      </c>
      <c r="H492" s="97" t="n">
        <v>0</v>
      </c>
    </row>
    <row r="493">
      <c r="A493" s="62"/>
      <c r="D493" s="98" t="s">
        <v>1431</v>
      </c>
      <c r="E493" s="98" t="s">
        <v>1432</v>
      </c>
      <c r="F493" s="98"/>
      <c r="G493" s="99" t="n">
        <v>29.5</v>
      </c>
      <c r="H493" s="100"/>
    </row>
    <row r="494">
      <c r="A494" s="10" t="s">
        <v>53</v>
      </c>
      <c r="B494" s="11" t="s">
        <v>53</v>
      </c>
      <c r="C494" s="11" t="s">
        <v>53</v>
      </c>
      <c r="D494" s="98" t="s">
        <v>1433</v>
      </c>
      <c r="E494" s="98" t="s">
        <v>53</v>
      </c>
      <c r="F494" s="98"/>
      <c r="G494" s="99" t="n">
        <v>2.95</v>
      </c>
      <c r="H494" s="59" t="s">
        <v>53</v>
      </c>
    </row>
    <row r="495">
      <c r="A495" s="10" t="s">
        <v>414</v>
      </c>
      <c r="B495" s="11" t="s">
        <v>57</v>
      </c>
      <c r="C495" s="11" t="s">
        <v>415</v>
      </c>
      <c r="D495" s="11" t="s">
        <v>416</v>
      </c>
      <c r="E495" s="11"/>
      <c r="F495" s="11" t="s">
        <v>174</v>
      </c>
      <c r="G495" s="57" t="n">
        <v>32</v>
      </c>
      <c r="H495" s="97" t="n">
        <v>0</v>
      </c>
    </row>
    <row r="496">
      <c r="A496" s="62"/>
      <c r="D496" s="98" t="s">
        <v>193</v>
      </c>
      <c r="E496" s="98" t="s">
        <v>1434</v>
      </c>
      <c r="F496" s="98"/>
      <c r="G496" s="99" t="n">
        <v>32</v>
      </c>
      <c r="H496" s="100"/>
    </row>
    <row r="497">
      <c r="A497" s="10" t="s">
        <v>417</v>
      </c>
      <c r="B497" s="11" t="s">
        <v>57</v>
      </c>
      <c r="C497" s="11" t="s">
        <v>138</v>
      </c>
      <c r="D497" s="11" t="s">
        <v>418</v>
      </c>
      <c r="E497" s="11"/>
      <c r="F497" s="11" t="s">
        <v>419</v>
      </c>
      <c r="G497" s="57" t="n">
        <v>32</v>
      </c>
      <c r="H497" s="97" t="n">
        <v>0</v>
      </c>
    </row>
    <row r="498">
      <c r="A498" s="10" t="s">
        <v>420</v>
      </c>
      <c r="B498" s="11" t="s">
        <v>57</v>
      </c>
      <c r="C498" s="11" t="s">
        <v>421</v>
      </c>
      <c r="D498" s="11" t="s">
        <v>422</v>
      </c>
      <c r="E498" s="11"/>
      <c r="F498" s="11" t="s">
        <v>314</v>
      </c>
      <c r="G498" s="57" t="n">
        <v>0.70547</v>
      </c>
      <c r="H498" s="97" t="n">
        <v>0</v>
      </c>
    </row>
    <row r="499">
      <c r="A499" s="96" t="s">
        <v>53</v>
      </c>
      <c r="B499" s="52" t="s">
        <v>57</v>
      </c>
      <c r="C499" s="52" t="s">
        <v>423</v>
      </c>
      <c r="D499" s="52" t="s">
        <v>424</v>
      </c>
      <c r="E499" s="52"/>
      <c r="F499" s="52" t="s">
        <v>53</v>
      </c>
      <c r="G499" s="33" t="s">
        <v>53</v>
      </c>
      <c r="H499" s="56" t="s">
        <v>53</v>
      </c>
    </row>
    <row r="500">
      <c r="A500" s="10" t="s">
        <v>425</v>
      </c>
      <c r="B500" s="11" t="s">
        <v>57</v>
      </c>
      <c r="C500" s="11" t="s">
        <v>426</v>
      </c>
      <c r="D500" s="11" t="s">
        <v>427</v>
      </c>
      <c r="E500" s="11"/>
      <c r="F500" s="11" t="s">
        <v>97</v>
      </c>
      <c r="G500" s="57" t="n">
        <v>704</v>
      </c>
      <c r="H500" s="97" t="n">
        <v>0</v>
      </c>
    </row>
    <row r="501">
      <c r="A501" s="62"/>
      <c r="D501" s="98" t="s">
        <v>1435</v>
      </c>
      <c r="E501" s="98" t="s">
        <v>1436</v>
      </c>
      <c r="F501" s="98"/>
      <c r="G501" s="99" t="n">
        <v>31</v>
      </c>
      <c r="H501" s="100"/>
    </row>
    <row r="502">
      <c r="A502" s="10" t="s">
        <v>53</v>
      </c>
      <c r="B502" s="11" t="s">
        <v>53</v>
      </c>
      <c r="C502" s="11" t="s">
        <v>53</v>
      </c>
      <c r="D502" s="98" t="s">
        <v>1437</v>
      </c>
      <c r="E502" s="98" t="s">
        <v>1438</v>
      </c>
      <c r="F502" s="98"/>
      <c r="G502" s="99" t="n">
        <v>381</v>
      </c>
      <c r="H502" s="59" t="s">
        <v>53</v>
      </c>
    </row>
    <row r="503">
      <c r="A503" s="10" t="s">
        <v>53</v>
      </c>
      <c r="B503" s="11" t="s">
        <v>53</v>
      </c>
      <c r="C503" s="11" t="s">
        <v>53</v>
      </c>
      <c r="D503" s="98" t="s">
        <v>1439</v>
      </c>
      <c r="E503" s="98" t="s">
        <v>1440</v>
      </c>
      <c r="F503" s="98"/>
      <c r="G503" s="99" t="n">
        <v>40</v>
      </c>
      <c r="H503" s="59" t="s">
        <v>53</v>
      </c>
    </row>
    <row r="504">
      <c r="A504" s="10" t="s">
        <v>53</v>
      </c>
      <c r="B504" s="11" t="s">
        <v>53</v>
      </c>
      <c r="C504" s="11" t="s">
        <v>53</v>
      </c>
      <c r="D504" s="98" t="s">
        <v>1441</v>
      </c>
      <c r="E504" s="98" t="s">
        <v>1442</v>
      </c>
      <c r="F504" s="98"/>
      <c r="G504" s="99" t="n">
        <v>192</v>
      </c>
      <c r="H504" s="59" t="s">
        <v>53</v>
      </c>
    </row>
    <row r="505">
      <c r="A505" s="10" t="s">
        <v>53</v>
      </c>
      <c r="B505" s="11" t="s">
        <v>53</v>
      </c>
      <c r="C505" s="11" t="s">
        <v>53</v>
      </c>
      <c r="D505" s="98" t="s">
        <v>1443</v>
      </c>
      <c r="E505" s="98" t="s">
        <v>1444</v>
      </c>
      <c r="F505" s="98"/>
      <c r="G505" s="99" t="n">
        <v>60</v>
      </c>
      <c r="H505" s="59" t="s">
        <v>53</v>
      </c>
    </row>
    <row r="506">
      <c r="A506" s="10" t="s">
        <v>430</v>
      </c>
      <c r="B506" s="11" t="s">
        <v>57</v>
      </c>
      <c r="C506" s="11" t="s">
        <v>431</v>
      </c>
      <c r="D506" s="11" t="s">
        <v>432</v>
      </c>
      <c r="E506" s="11"/>
      <c r="F506" s="11" t="s">
        <v>61</v>
      </c>
      <c r="G506" s="57" t="n">
        <v>17.362</v>
      </c>
      <c r="H506" s="97" t="n">
        <v>0</v>
      </c>
    </row>
    <row r="507">
      <c r="A507" s="62"/>
      <c r="D507" s="98" t="s">
        <v>1445</v>
      </c>
      <c r="E507" s="98" t="s">
        <v>1446</v>
      </c>
      <c r="F507" s="98"/>
      <c r="G507" s="99" t="n">
        <v>13.312</v>
      </c>
      <c r="H507" s="100"/>
    </row>
    <row r="508">
      <c r="A508" s="10" t="s">
        <v>53</v>
      </c>
      <c r="B508" s="11" t="s">
        <v>53</v>
      </c>
      <c r="C508" s="11" t="s">
        <v>53</v>
      </c>
      <c r="D508" s="98" t="s">
        <v>1229</v>
      </c>
      <c r="E508" s="98" t="s">
        <v>1447</v>
      </c>
      <c r="F508" s="98"/>
      <c r="G508" s="99" t="n">
        <v>4.05</v>
      </c>
      <c r="H508" s="59" t="s">
        <v>53</v>
      </c>
    </row>
    <row r="509">
      <c r="A509" s="10" t="s">
        <v>433</v>
      </c>
      <c r="B509" s="11" t="s">
        <v>57</v>
      </c>
      <c r="C509" s="11" t="s">
        <v>138</v>
      </c>
      <c r="D509" s="11" t="s">
        <v>434</v>
      </c>
      <c r="E509" s="11"/>
      <c r="F509" s="11" t="s">
        <v>174</v>
      </c>
      <c r="G509" s="57" t="n">
        <v>32</v>
      </c>
      <c r="H509" s="97" t="n">
        <v>0</v>
      </c>
    </row>
    <row r="510">
      <c r="A510" s="10" t="s">
        <v>435</v>
      </c>
      <c r="B510" s="11" t="s">
        <v>57</v>
      </c>
      <c r="C510" s="11" t="s">
        <v>436</v>
      </c>
      <c r="D510" s="11" t="s">
        <v>437</v>
      </c>
      <c r="E510" s="11"/>
      <c r="F510" s="11" t="s">
        <v>314</v>
      </c>
      <c r="G510" s="57" t="n">
        <v>0.98184</v>
      </c>
      <c r="H510" s="97" t="n">
        <v>0</v>
      </c>
    </row>
    <row r="511">
      <c r="A511" s="96" t="s">
        <v>53</v>
      </c>
      <c r="B511" s="52" t="s">
        <v>57</v>
      </c>
      <c r="C511" s="52" t="s">
        <v>438</v>
      </c>
      <c r="D511" s="52" t="s">
        <v>439</v>
      </c>
      <c r="E511" s="52"/>
      <c r="F511" s="52" t="s">
        <v>53</v>
      </c>
      <c r="G511" s="33" t="s">
        <v>53</v>
      </c>
      <c r="H511" s="56" t="s">
        <v>53</v>
      </c>
    </row>
    <row r="512">
      <c r="A512" s="10" t="s">
        <v>440</v>
      </c>
      <c r="B512" s="11" t="s">
        <v>57</v>
      </c>
      <c r="C512" s="11" t="s">
        <v>441</v>
      </c>
      <c r="D512" s="11" t="s">
        <v>442</v>
      </c>
      <c r="E512" s="11"/>
      <c r="F512" s="11" t="s">
        <v>61</v>
      </c>
      <c r="G512" s="57" t="n">
        <v>70.9875</v>
      </c>
      <c r="H512" s="97" t="n">
        <v>0</v>
      </c>
    </row>
    <row r="513">
      <c r="A513" s="62"/>
      <c r="D513" s="98" t="s">
        <v>1448</v>
      </c>
      <c r="E513" s="98" t="s">
        <v>1447</v>
      </c>
      <c r="F513" s="98"/>
      <c r="G513" s="99" t="n">
        <v>8.1</v>
      </c>
      <c r="H513" s="100"/>
    </row>
    <row r="514">
      <c r="A514" s="10" t="s">
        <v>53</v>
      </c>
      <c r="B514" s="11" t="s">
        <v>53</v>
      </c>
      <c r="C514" s="11" t="s">
        <v>53</v>
      </c>
      <c r="D514" s="98" t="s">
        <v>1449</v>
      </c>
      <c r="E514" s="98" t="s">
        <v>1450</v>
      </c>
      <c r="F514" s="98"/>
      <c r="G514" s="99" t="n">
        <v>59.055</v>
      </c>
      <c r="H514" s="59" t="s">
        <v>53</v>
      </c>
    </row>
    <row r="515">
      <c r="A515" s="10" t="s">
        <v>53</v>
      </c>
      <c r="B515" s="11" t="s">
        <v>53</v>
      </c>
      <c r="C515" s="11" t="s">
        <v>53</v>
      </c>
      <c r="D515" s="98" t="s">
        <v>1237</v>
      </c>
      <c r="E515" s="98" t="s">
        <v>1238</v>
      </c>
      <c r="F515" s="98"/>
      <c r="G515" s="99" t="n">
        <v>0.81</v>
      </c>
      <c r="H515" s="59" t="s">
        <v>53</v>
      </c>
    </row>
    <row r="516">
      <c r="A516" s="10" t="s">
        <v>53</v>
      </c>
      <c r="B516" s="11" t="s">
        <v>53</v>
      </c>
      <c r="C516" s="11" t="s">
        <v>53</v>
      </c>
      <c r="D516" s="98" t="s">
        <v>1239</v>
      </c>
      <c r="E516" s="98" t="s">
        <v>53</v>
      </c>
      <c r="F516" s="98"/>
      <c r="G516" s="99" t="n">
        <v>0.2025</v>
      </c>
      <c r="H516" s="59" t="s">
        <v>53</v>
      </c>
    </row>
    <row r="517">
      <c r="A517" s="10" t="s">
        <v>53</v>
      </c>
      <c r="B517" s="11" t="s">
        <v>53</v>
      </c>
      <c r="C517" s="11" t="s">
        <v>53</v>
      </c>
      <c r="D517" s="98" t="s">
        <v>1240</v>
      </c>
      <c r="E517" s="98" t="s">
        <v>53</v>
      </c>
      <c r="F517" s="98"/>
      <c r="G517" s="99" t="n">
        <v>0.27</v>
      </c>
      <c r="H517" s="59" t="s">
        <v>53</v>
      </c>
    </row>
    <row r="518">
      <c r="A518" s="10" t="s">
        <v>53</v>
      </c>
      <c r="B518" s="11" t="s">
        <v>53</v>
      </c>
      <c r="C518" s="11" t="s">
        <v>53</v>
      </c>
      <c r="D518" s="98" t="s">
        <v>1241</v>
      </c>
      <c r="E518" s="98" t="s">
        <v>1242</v>
      </c>
      <c r="F518" s="98"/>
      <c r="G518" s="99" t="n">
        <v>2.55</v>
      </c>
      <c r="H518" s="59" t="s">
        <v>53</v>
      </c>
    </row>
    <row r="519">
      <c r="A519" s="10" t="s">
        <v>445</v>
      </c>
      <c r="B519" s="11" t="s">
        <v>57</v>
      </c>
      <c r="C519" s="11" t="s">
        <v>446</v>
      </c>
      <c r="D519" s="11" t="s">
        <v>447</v>
      </c>
      <c r="E519" s="11"/>
      <c r="F519" s="11" t="s">
        <v>61</v>
      </c>
      <c r="G519" s="57" t="n">
        <v>70.9875</v>
      </c>
      <c r="H519" s="97" t="n">
        <v>0</v>
      </c>
    </row>
    <row r="520">
      <c r="A520" s="62"/>
      <c r="D520" s="98" t="s">
        <v>1448</v>
      </c>
      <c r="E520" s="98" t="s">
        <v>1447</v>
      </c>
      <c r="F520" s="98"/>
      <c r="G520" s="99" t="n">
        <v>8.1</v>
      </c>
      <c r="H520" s="100"/>
    </row>
    <row r="521">
      <c r="A521" s="10" t="s">
        <v>53</v>
      </c>
      <c r="B521" s="11" t="s">
        <v>53</v>
      </c>
      <c r="C521" s="11" t="s">
        <v>53</v>
      </c>
      <c r="D521" s="98" t="s">
        <v>1449</v>
      </c>
      <c r="E521" s="98" t="s">
        <v>1450</v>
      </c>
      <c r="F521" s="98"/>
      <c r="G521" s="99" t="n">
        <v>59.055</v>
      </c>
      <c r="H521" s="59" t="s">
        <v>53</v>
      </c>
    </row>
    <row r="522">
      <c r="A522" s="10" t="s">
        <v>53</v>
      </c>
      <c r="B522" s="11" t="s">
        <v>53</v>
      </c>
      <c r="C522" s="11" t="s">
        <v>53</v>
      </c>
      <c r="D522" s="98" t="s">
        <v>1237</v>
      </c>
      <c r="E522" s="98" t="s">
        <v>1238</v>
      </c>
      <c r="F522" s="98"/>
      <c r="G522" s="99" t="n">
        <v>0.81</v>
      </c>
      <c r="H522" s="59" t="s">
        <v>53</v>
      </c>
    </row>
    <row r="523">
      <c r="A523" s="10" t="s">
        <v>53</v>
      </c>
      <c r="B523" s="11" t="s">
        <v>53</v>
      </c>
      <c r="C523" s="11" t="s">
        <v>53</v>
      </c>
      <c r="D523" s="98" t="s">
        <v>1239</v>
      </c>
      <c r="E523" s="98" t="s">
        <v>53</v>
      </c>
      <c r="F523" s="98"/>
      <c r="G523" s="99" t="n">
        <v>0.2025</v>
      </c>
      <c r="H523" s="59" t="s">
        <v>53</v>
      </c>
    </row>
    <row r="524">
      <c r="A524" s="10" t="s">
        <v>53</v>
      </c>
      <c r="B524" s="11" t="s">
        <v>53</v>
      </c>
      <c r="C524" s="11" t="s">
        <v>53</v>
      </c>
      <c r="D524" s="98" t="s">
        <v>1240</v>
      </c>
      <c r="E524" s="98" t="s">
        <v>53</v>
      </c>
      <c r="F524" s="98"/>
      <c r="G524" s="99" t="n">
        <v>0.27</v>
      </c>
      <c r="H524" s="59" t="s">
        <v>53</v>
      </c>
    </row>
    <row r="525">
      <c r="A525" s="10" t="s">
        <v>53</v>
      </c>
      <c r="B525" s="11" t="s">
        <v>53</v>
      </c>
      <c r="C525" s="11" t="s">
        <v>53</v>
      </c>
      <c r="D525" s="98" t="s">
        <v>1241</v>
      </c>
      <c r="E525" s="98" t="s">
        <v>1242</v>
      </c>
      <c r="F525" s="98"/>
      <c r="G525" s="99" t="n">
        <v>2.55</v>
      </c>
      <c r="H525" s="59" t="s">
        <v>53</v>
      </c>
    </row>
    <row r="526">
      <c r="A526" s="10" t="s">
        <v>448</v>
      </c>
      <c r="B526" s="11" t="s">
        <v>57</v>
      </c>
      <c r="C526" s="11" t="s">
        <v>449</v>
      </c>
      <c r="D526" s="11" t="s">
        <v>450</v>
      </c>
      <c r="E526" s="11"/>
      <c r="F526" s="11" t="s">
        <v>61</v>
      </c>
      <c r="G526" s="57" t="n">
        <v>70.9875</v>
      </c>
      <c r="H526" s="97" t="n">
        <v>0</v>
      </c>
    </row>
    <row r="527">
      <c r="A527" s="62"/>
      <c r="D527" s="98" t="s">
        <v>1448</v>
      </c>
      <c r="E527" s="98" t="s">
        <v>1447</v>
      </c>
      <c r="F527" s="98"/>
      <c r="G527" s="99" t="n">
        <v>8.1</v>
      </c>
      <c r="H527" s="100"/>
    </row>
    <row r="528">
      <c r="A528" s="10" t="s">
        <v>53</v>
      </c>
      <c r="B528" s="11" t="s">
        <v>53</v>
      </c>
      <c r="C528" s="11" t="s">
        <v>53</v>
      </c>
      <c r="D528" s="98" t="s">
        <v>1449</v>
      </c>
      <c r="E528" s="98" t="s">
        <v>1450</v>
      </c>
      <c r="F528" s="98"/>
      <c r="G528" s="99" t="n">
        <v>59.055</v>
      </c>
      <c r="H528" s="59" t="s">
        <v>53</v>
      </c>
    </row>
    <row r="529">
      <c r="A529" s="10" t="s">
        <v>53</v>
      </c>
      <c r="B529" s="11" t="s">
        <v>53</v>
      </c>
      <c r="C529" s="11" t="s">
        <v>53</v>
      </c>
      <c r="D529" s="98" t="s">
        <v>1237</v>
      </c>
      <c r="E529" s="98" t="s">
        <v>1238</v>
      </c>
      <c r="F529" s="98"/>
      <c r="G529" s="99" t="n">
        <v>0.81</v>
      </c>
      <c r="H529" s="59" t="s">
        <v>53</v>
      </c>
    </row>
    <row r="530">
      <c r="A530" s="10" t="s">
        <v>53</v>
      </c>
      <c r="B530" s="11" t="s">
        <v>53</v>
      </c>
      <c r="C530" s="11" t="s">
        <v>53</v>
      </c>
      <c r="D530" s="98" t="s">
        <v>1239</v>
      </c>
      <c r="E530" s="98" t="s">
        <v>53</v>
      </c>
      <c r="F530" s="98"/>
      <c r="G530" s="99" t="n">
        <v>0.2025</v>
      </c>
      <c r="H530" s="59" t="s">
        <v>53</v>
      </c>
    </row>
    <row r="531">
      <c r="A531" s="10" t="s">
        <v>53</v>
      </c>
      <c r="B531" s="11" t="s">
        <v>53</v>
      </c>
      <c r="C531" s="11" t="s">
        <v>53</v>
      </c>
      <c r="D531" s="98" t="s">
        <v>1240</v>
      </c>
      <c r="E531" s="98" t="s">
        <v>53</v>
      </c>
      <c r="F531" s="98"/>
      <c r="G531" s="99" t="n">
        <v>0.27</v>
      </c>
      <c r="H531" s="59" t="s">
        <v>53</v>
      </c>
    </row>
    <row r="532">
      <c r="A532" s="10" t="s">
        <v>53</v>
      </c>
      <c r="B532" s="11" t="s">
        <v>53</v>
      </c>
      <c r="C532" s="11" t="s">
        <v>53</v>
      </c>
      <c r="D532" s="98" t="s">
        <v>1241</v>
      </c>
      <c r="E532" s="98" t="s">
        <v>1242</v>
      </c>
      <c r="F532" s="98"/>
      <c r="G532" s="99" t="n">
        <v>2.55</v>
      </c>
      <c r="H532" s="59" t="s">
        <v>53</v>
      </c>
    </row>
    <row r="533">
      <c r="A533" s="96" t="s">
        <v>53</v>
      </c>
      <c r="B533" s="52" t="s">
        <v>57</v>
      </c>
      <c r="C533" s="52" t="s">
        <v>356</v>
      </c>
      <c r="D533" s="52" t="s">
        <v>451</v>
      </c>
      <c r="E533" s="52"/>
      <c r="F533" s="52" t="s">
        <v>53</v>
      </c>
      <c r="G533" s="33" t="s">
        <v>53</v>
      </c>
      <c r="H533" s="56" t="s">
        <v>53</v>
      </c>
    </row>
    <row r="534">
      <c r="A534" s="10" t="s">
        <v>452</v>
      </c>
      <c r="B534" s="11" t="s">
        <v>57</v>
      </c>
      <c r="C534" s="11" t="s">
        <v>453</v>
      </c>
      <c r="D534" s="11" t="s">
        <v>454</v>
      </c>
      <c r="E534" s="11"/>
      <c r="F534" s="11" t="s">
        <v>455</v>
      </c>
      <c r="G534" s="57" t="n">
        <v>318</v>
      </c>
      <c r="H534" s="97" t="n">
        <v>0</v>
      </c>
    </row>
    <row r="535">
      <c r="A535" s="62"/>
      <c r="D535" s="98" t="s">
        <v>1451</v>
      </c>
      <c r="E535" s="98" t="s">
        <v>1452</v>
      </c>
      <c r="F535" s="98"/>
      <c r="G535" s="99" t="n">
        <v>12</v>
      </c>
      <c r="H535" s="100"/>
    </row>
    <row r="536">
      <c r="A536" s="10" t="s">
        <v>53</v>
      </c>
      <c r="B536" s="11" t="s">
        <v>53</v>
      </c>
      <c r="C536" s="11" t="s">
        <v>53</v>
      </c>
      <c r="D536" s="98" t="s">
        <v>1453</v>
      </c>
      <c r="E536" s="98" t="s">
        <v>1454</v>
      </c>
      <c r="F536" s="98"/>
      <c r="G536" s="99" t="n">
        <v>4</v>
      </c>
      <c r="H536" s="59" t="s">
        <v>53</v>
      </c>
    </row>
    <row r="537">
      <c r="A537" s="10" t="s">
        <v>53</v>
      </c>
      <c r="B537" s="11" t="s">
        <v>53</v>
      </c>
      <c r="C537" s="11" t="s">
        <v>53</v>
      </c>
      <c r="D537" s="98" t="s">
        <v>1455</v>
      </c>
      <c r="E537" s="98" t="s">
        <v>1456</v>
      </c>
      <c r="F537" s="98"/>
      <c r="G537" s="99" t="n">
        <v>12</v>
      </c>
      <c r="H537" s="59" t="s">
        <v>53</v>
      </c>
    </row>
    <row r="538">
      <c r="A538" s="10" t="s">
        <v>53</v>
      </c>
      <c r="B538" s="11" t="s">
        <v>53</v>
      </c>
      <c r="C538" s="11" t="s">
        <v>53</v>
      </c>
      <c r="D538" s="98" t="s">
        <v>1457</v>
      </c>
      <c r="E538" s="98" t="s">
        <v>1458</v>
      </c>
      <c r="F538" s="98"/>
      <c r="G538" s="99" t="n">
        <v>254</v>
      </c>
      <c r="H538" s="59" t="s">
        <v>53</v>
      </c>
    </row>
    <row r="539">
      <c r="A539" s="10" t="s">
        <v>53</v>
      </c>
      <c r="B539" s="11" t="s">
        <v>53</v>
      </c>
      <c r="C539" s="11" t="s">
        <v>53</v>
      </c>
      <c r="D539" s="98" t="s">
        <v>1459</v>
      </c>
      <c r="E539" s="98" t="s">
        <v>1460</v>
      </c>
      <c r="F539" s="98"/>
      <c r="G539" s="99" t="n">
        <v>11</v>
      </c>
      <c r="H539" s="59" t="s">
        <v>53</v>
      </c>
    </row>
    <row r="540">
      <c r="A540" s="10" t="s">
        <v>53</v>
      </c>
      <c r="B540" s="11" t="s">
        <v>53</v>
      </c>
      <c r="C540" s="11" t="s">
        <v>53</v>
      </c>
      <c r="D540" s="98" t="s">
        <v>1461</v>
      </c>
      <c r="E540" s="98" t="s">
        <v>1462</v>
      </c>
      <c r="F540" s="98"/>
      <c r="G540" s="99" t="n">
        <v>21</v>
      </c>
      <c r="H540" s="59" t="s">
        <v>53</v>
      </c>
    </row>
    <row r="541">
      <c r="A541" s="10" t="s">
        <v>53</v>
      </c>
      <c r="B541" s="11" t="s">
        <v>53</v>
      </c>
      <c r="C541" s="11" t="s">
        <v>53</v>
      </c>
      <c r="D541" s="98" t="s">
        <v>1453</v>
      </c>
      <c r="E541" s="98" t="s">
        <v>1463</v>
      </c>
      <c r="F541" s="98"/>
      <c r="G541" s="99" t="n">
        <v>4</v>
      </c>
      <c r="H541" s="59" t="s">
        <v>53</v>
      </c>
    </row>
    <row r="542">
      <c r="A542" s="10" t="s">
        <v>459</v>
      </c>
      <c r="B542" s="11" t="s">
        <v>57</v>
      </c>
      <c r="C542" s="11" t="s">
        <v>460</v>
      </c>
      <c r="D542" s="11" t="s">
        <v>461</v>
      </c>
      <c r="E542" s="11"/>
      <c r="F542" s="11" t="s">
        <v>174</v>
      </c>
      <c r="G542" s="57" t="n">
        <v>20</v>
      </c>
      <c r="H542" s="97" t="n">
        <v>0</v>
      </c>
    </row>
    <row r="543">
      <c r="A543" s="10" t="s">
        <v>462</v>
      </c>
      <c r="B543" s="11" t="s">
        <v>57</v>
      </c>
      <c r="C543" s="11" t="s">
        <v>463</v>
      </c>
      <c r="D543" s="11" t="s">
        <v>464</v>
      </c>
      <c r="E543" s="11"/>
      <c r="F543" s="11" t="s">
        <v>174</v>
      </c>
      <c r="G543" s="57" t="n">
        <v>1</v>
      </c>
      <c r="H543" s="97" t="n">
        <v>0</v>
      </c>
    </row>
    <row r="544">
      <c r="A544" s="10" t="s">
        <v>465</v>
      </c>
      <c r="B544" s="11" t="s">
        <v>57</v>
      </c>
      <c r="C544" s="11" t="s">
        <v>138</v>
      </c>
      <c r="D544" s="11" t="s">
        <v>466</v>
      </c>
      <c r="E544" s="11"/>
      <c r="F544" s="11" t="s">
        <v>174</v>
      </c>
      <c r="G544" s="57" t="n">
        <v>2</v>
      </c>
      <c r="H544" s="97" t="n">
        <v>0</v>
      </c>
    </row>
    <row r="545">
      <c r="A545" s="10" t="s">
        <v>467</v>
      </c>
      <c r="B545" s="11" t="s">
        <v>57</v>
      </c>
      <c r="C545" s="11" t="s">
        <v>138</v>
      </c>
      <c r="D545" s="11" t="s">
        <v>468</v>
      </c>
      <c r="E545" s="11"/>
      <c r="F545" s="11" t="s">
        <v>174</v>
      </c>
      <c r="G545" s="57" t="n">
        <v>1</v>
      </c>
      <c r="H545" s="97" t="n">
        <v>0</v>
      </c>
    </row>
    <row r="546">
      <c r="A546" s="10" t="s">
        <v>469</v>
      </c>
      <c r="B546" s="11" t="s">
        <v>57</v>
      </c>
      <c r="C546" s="11" t="s">
        <v>138</v>
      </c>
      <c r="D546" s="11" t="s">
        <v>470</v>
      </c>
      <c r="E546" s="11"/>
      <c r="F546" s="11" t="s">
        <v>174</v>
      </c>
      <c r="G546" s="57" t="n">
        <v>3</v>
      </c>
      <c r="H546" s="97" t="n">
        <v>0</v>
      </c>
    </row>
    <row r="547">
      <c r="A547" s="10" t="s">
        <v>471</v>
      </c>
      <c r="B547" s="11" t="s">
        <v>57</v>
      </c>
      <c r="C547" s="11" t="s">
        <v>472</v>
      </c>
      <c r="D547" s="11" t="s">
        <v>473</v>
      </c>
      <c r="E547" s="11"/>
      <c r="F547" s="11" t="s">
        <v>314</v>
      </c>
      <c r="G547" s="57" t="n">
        <v>0.01584</v>
      </c>
      <c r="H547" s="97" t="n">
        <v>0</v>
      </c>
    </row>
    <row r="548">
      <c r="A548" s="62"/>
      <c r="D548" s="98" t="s">
        <v>53</v>
      </c>
      <c r="E548" s="98" t="s">
        <v>1464</v>
      </c>
      <c r="F548" s="98"/>
      <c r="G548" s="99" t="n">
        <v>0</v>
      </c>
      <c r="H548" s="100"/>
    </row>
    <row r="549">
      <c r="A549" s="10" t="s">
        <v>53</v>
      </c>
      <c r="B549" s="11" t="s">
        <v>53</v>
      </c>
      <c r="C549" s="11" t="s">
        <v>53</v>
      </c>
      <c r="D549" s="98" t="s">
        <v>1465</v>
      </c>
      <c r="E549" s="98" t="s">
        <v>1447</v>
      </c>
      <c r="F549" s="98"/>
      <c r="G549" s="99" t="n">
        <v>0.01584</v>
      </c>
      <c r="H549" s="59" t="s">
        <v>53</v>
      </c>
    </row>
    <row r="550">
      <c r="A550" s="10" t="s">
        <v>474</v>
      </c>
      <c r="B550" s="11" t="s">
        <v>57</v>
      </c>
      <c r="C550" s="11" t="s">
        <v>475</v>
      </c>
      <c r="D550" s="11" t="s">
        <v>476</v>
      </c>
      <c r="E550" s="11"/>
      <c r="F550" s="11" t="s">
        <v>314</v>
      </c>
      <c r="G550" s="57" t="n">
        <v>0.00212</v>
      </c>
      <c r="H550" s="97" t="n">
        <v>0</v>
      </c>
    </row>
    <row r="551">
      <c r="A551" s="62"/>
      <c r="D551" s="98" t="s">
        <v>53</v>
      </c>
      <c r="E551" s="98" t="s">
        <v>1466</v>
      </c>
      <c r="F551" s="98"/>
      <c r="G551" s="99" t="n">
        <v>0</v>
      </c>
      <c r="H551" s="100"/>
    </row>
    <row r="552">
      <c r="A552" s="10" t="s">
        <v>53</v>
      </c>
      <c r="B552" s="11" t="s">
        <v>53</v>
      </c>
      <c r="C552" s="11" t="s">
        <v>53</v>
      </c>
      <c r="D552" s="98" t="s">
        <v>1467</v>
      </c>
      <c r="E552" s="98" t="s">
        <v>1447</v>
      </c>
      <c r="F552" s="98"/>
      <c r="G552" s="99" t="n">
        <v>0.00212</v>
      </c>
      <c r="H552" s="59" t="s">
        <v>53</v>
      </c>
    </row>
    <row r="553">
      <c r="A553" s="96" t="s">
        <v>53</v>
      </c>
      <c r="B553" s="52" t="s">
        <v>57</v>
      </c>
      <c r="C553" s="52" t="s">
        <v>372</v>
      </c>
      <c r="D553" s="52" t="s">
        <v>477</v>
      </c>
      <c r="E553" s="52"/>
      <c r="F553" s="52" t="s">
        <v>53</v>
      </c>
      <c r="G553" s="33" t="s">
        <v>53</v>
      </c>
      <c r="H553" s="56" t="s">
        <v>53</v>
      </c>
    </row>
    <row r="554">
      <c r="A554" s="10" t="s">
        <v>478</v>
      </c>
      <c r="B554" s="11" t="s">
        <v>57</v>
      </c>
      <c r="C554" s="11" t="s">
        <v>479</v>
      </c>
      <c r="D554" s="11" t="s">
        <v>480</v>
      </c>
      <c r="E554" s="11"/>
      <c r="F554" s="11" t="s">
        <v>61</v>
      </c>
      <c r="G554" s="57" t="n">
        <v>3581.64</v>
      </c>
      <c r="H554" s="97" t="n">
        <v>0</v>
      </c>
    </row>
    <row r="555">
      <c r="A555" s="62"/>
      <c r="D555" s="98" t="s">
        <v>1468</v>
      </c>
      <c r="E555" s="98" t="s">
        <v>1469</v>
      </c>
      <c r="F555" s="98"/>
      <c r="G555" s="99" t="n">
        <v>2148.84</v>
      </c>
      <c r="H555" s="100"/>
    </row>
    <row r="556">
      <c r="A556" s="10" t="s">
        <v>53</v>
      </c>
      <c r="B556" s="11" t="s">
        <v>53</v>
      </c>
      <c r="C556" s="11" t="s">
        <v>53</v>
      </c>
      <c r="D556" s="98" t="s">
        <v>1470</v>
      </c>
      <c r="E556" s="98" t="s">
        <v>1471</v>
      </c>
      <c r="F556" s="98"/>
      <c r="G556" s="99" t="n">
        <v>1171.8</v>
      </c>
      <c r="H556" s="59" t="s">
        <v>53</v>
      </c>
    </row>
    <row r="557">
      <c r="A557" s="10" t="s">
        <v>53</v>
      </c>
      <c r="B557" s="11" t="s">
        <v>53</v>
      </c>
      <c r="C557" s="11" t="s">
        <v>53</v>
      </c>
      <c r="D557" s="98" t="s">
        <v>1472</v>
      </c>
      <c r="E557" s="98" t="s">
        <v>1473</v>
      </c>
      <c r="F557" s="98"/>
      <c r="G557" s="99" t="n">
        <v>261</v>
      </c>
      <c r="H557" s="59" t="s">
        <v>53</v>
      </c>
    </row>
    <row r="558">
      <c r="A558" s="10" t="s">
        <v>483</v>
      </c>
      <c r="B558" s="11" t="s">
        <v>57</v>
      </c>
      <c r="C558" s="11" t="s">
        <v>484</v>
      </c>
      <c r="D558" s="11" t="s">
        <v>485</v>
      </c>
      <c r="E558" s="11"/>
      <c r="F558" s="11" t="s">
        <v>61</v>
      </c>
      <c r="G558" s="57" t="n">
        <v>10744.92</v>
      </c>
      <c r="H558" s="97" t="n">
        <v>0</v>
      </c>
    </row>
    <row r="559">
      <c r="A559" s="62"/>
      <c r="D559" s="98" t="s">
        <v>1474</v>
      </c>
      <c r="E559" s="98" t="s">
        <v>1469</v>
      </c>
      <c r="F559" s="98"/>
      <c r="G559" s="99" t="n">
        <v>6446.52</v>
      </c>
      <c r="H559" s="100"/>
    </row>
    <row r="560">
      <c r="A560" s="10" t="s">
        <v>53</v>
      </c>
      <c r="B560" s="11" t="s">
        <v>53</v>
      </c>
      <c r="C560" s="11" t="s">
        <v>53</v>
      </c>
      <c r="D560" s="98" t="s">
        <v>1475</v>
      </c>
      <c r="E560" s="98" t="s">
        <v>1471</v>
      </c>
      <c r="F560" s="98"/>
      <c r="G560" s="99" t="n">
        <v>3515.4</v>
      </c>
      <c r="H560" s="59" t="s">
        <v>53</v>
      </c>
    </row>
    <row r="561">
      <c r="A561" s="10" t="s">
        <v>53</v>
      </c>
      <c r="B561" s="11" t="s">
        <v>53</v>
      </c>
      <c r="C561" s="11" t="s">
        <v>53</v>
      </c>
      <c r="D561" s="98" t="s">
        <v>1476</v>
      </c>
      <c r="E561" s="98" t="s">
        <v>1473</v>
      </c>
      <c r="F561" s="98"/>
      <c r="G561" s="99" t="n">
        <v>783</v>
      </c>
      <c r="H561" s="59" t="s">
        <v>53</v>
      </c>
    </row>
    <row r="562">
      <c r="A562" s="10" t="s">
        <v>486</v>
      </c>
      <c r="B562" s="11" t="s">
        <v>57</v>
      </c>
      <c r="C562" s="11" t="s">
        <v>487</v>
      </c>
      <c r="D562" s="11" t="s">
        <v>488</v>
      </c>
      <c r="E562" s="11"/>
      <c r="F562" s="11" t="s">
        <v>61</v>
      </c>
      <c r="G562" s="57" t="n">
        <v>3581.64</v>
      </c>
      <c r="H562" s="97" t="n">
        <v>0</v>
      </c>
    </row>
    <row r="563">
      <c r="A563" s="62"/>
      <c r="D563" s="98" t="s">
        <v>1468</v>
      </c>
      <c r="E563" s="98" t="s">
        <v>1469</v>
      </c>
      <c r="F563" s="98"/>
      <c r="G563" s="99" t="n">
        <v>2148.84</v>
      </c>
      <c r="H563" s="100"/>
    </row>
    <row r="564">
      <c r="A564" s="10" t="s">
        <v>53</v>
      </c>
      <c r="B564" s="11" t="s">
        <v>53</v>
      </c>
      <c r="C564" s="11" t="s">
        <v>53</v>
      </c>
      <c r="D564" s="98" t="s">
        <v>1470</v>
      </c>
      <c r="E564" s="98" t="s">
        <v>1471</v>
      </c>
      <c r="F564" s="98"/>
      <c r="G564" s="99" t="n">
        <v>1171.8</v>
      </c>
      <c r="H564" s="59" t="s">
        <v>53</v>
      </c>
    </row>
    <row r="565">
      <c r="A565" s="10" t="s">
        <v>53</v>
      </c>
      <c r="B565" s="11" t="s">
        <v>53</v>
      </c>
      <c r="C565" s="11" t="s">
        <v>53</v>
      </c>
      <c r="D565" s="98" t="s">
        <v>1472</v>
      </c>
      <c r="E565" s="98" t="s">
        <v>1473</v>
      </c>
      <c r="F565" s="98"/>
      <c r="G565" s="99" t="n">
        <v>261</v>
      </c>
      <c r="H565" s="59" t="s">
        <v>53</v>
      </c>
    </row>
    <row r="566">
      <c r="A566" s="10" t="s">
        <v>489</v>
      </c>
      <c r="B566" s="11" t="s">
        <v>57</v>
      </c>
      <c r="C566" s="11" t="s">
        <v>490</v>
      </c>
      <c r="D566" s="11" t="s">
        <v>491</v>
      </c>
      <c r="E566" s="11"/>
      <c r="F566" s="11" t="s">
        <v>61</v>
      </c>
      <c r="G566" s="57" t="n">
        <v>6</v>
      </c>
      <c r="H566" s="97" t="n">
        <v>0</v>
      </c>
    </row>
    <row r="567">
      <c r="A567" s="62"/>
      <c r="D567" s="98" t="s">
        <v>1477</v>
      </c>
      <c r="E567" s="98" t="s">
        <v>1478</v>
      </c>
      <c r="F567" s="98"/>
      <c r="G567" s="99" t="n">
        <v>6</v>
      </c>
      <c r="H567" s="100"/>
    </row>
    <row r="568">
      <c r="A568" s="10" t="s">
        <v>492</v>
      </c>
      <c r="B568" s="11" t="s">
        <v>57</v>
      </c>
      <c r="C568" s="11" t="s">
        <v>493</v>
      </c>
      <c r="D568" s="11" t="s">
        <v>494</v>
      </c>
      <c r="E568" s="11"/>
      <c r="F568" s="11" t="s">
        <v>61</v>
      </c>
      <c r="G568" s="57" t="n">
        <v>3581.64</v>
      </c>
      <c r="H568" s="97" t="n">
        <v>0</v>
      </c>
    </row>
    <row r="569">
      <c r="A569" s="62"/>
      <c r="D569" s="98" t="s">
        <v>1468</v>
      </c>
      <c r="E569" s="98" t="s">
        <v>1469</v>
      </c>
      <c r="F569" s="98"/>
      <c r="G569" s="99" t="n">
        <v>2148.84</v>
      </c>
      <c r="H569" s="100"/>
    </row>
    <row r="570">
      <c r="A570" s="10" t="s">
        <v>53</v>
      </c>
      <c r="B570" s="11" t="s">
        <v>53</v>
      </c>
      <c r="C570" s="11" t="s">
        <v>53</v>
      </c>
      <c r="D570" s="98" t="s">
        <v>1470</v>
      </c>
      <c r="E570" s="98" t="s">
        <v>1471</v>
      </c>
      <c r="F570" s="98"/>
      <c r="G570" s="99" t="n">
        <v>1171.8</v>
      </c>
      <c r="H570" s="59" t="s">
        <v>53</v>
      </c>
    </row>
    <row r="571">
      <c r="A571" s="10" t="s">
        <v>53</v>
      </c>
      <c r="B571" s="11" t="s">
        <v>53</v>
      </c>
      <c r="C571" s="11" t="s">
        <v>53</v>
      </c>
      <c r="D571" s="98" t="s">
        <v>1472</v>
      </c>
      <c r="E571" s="98" t="s">
        <v>1473</v>
      </c>
      <c r="F571" s="98"/>
      <c r="G571" s="99" t="n">
        <v>261</v>
      </c>
      <c r="H571" s="59" t="s">
        <v>53</v>
      </c>
    </row>
    <row r="572">
      <c r="A572" s="10" t="s">
        <v>495</v>
      </c>
      <c r="B572" s="11" t="s">
        <v>57</v>
      </c>
      <c r="C572" s="11" t="s">
        <v>496</v>
      </c>
      <c r="D572" s="11" t="s">
        <v>497</v>
      </c>
      <c r="E572" s="11"/>
      <c r="F572" s="11" t="s">
        <v>61</v>
      </c>
      <c r="G572" s="57" t="n">
        <v>10744.92</v>
      </c>
      <c r="H572" s="97" t="n">
        <v>0</v>
      </c>
    </row>
    <row r="573">
      <c r="A573" s="62"/>
      <c r="D573" s="98" t="s">
        <v>1474</v>
      </c>
      <c r="E573" s="98" t="s">
        <v>1469</v>
      </c>
      <c r="F573" s="98"/>
      <c r="G573" s="99" t="n">
        <v>6446.52</v>
      </c>
      <c r="H573" s="100"/>
    </row>
    <row r="574">
      <c r="A574" s="10" t="s">
        <v>53</v>
      </c>
      <c r="B574" s="11" t="s">
        <v>53</v>
      </c>
      <c r="C574" s="11" t="s">
        <v>53</v>
      </c>
      <c r="D574" s="98" t="s">
        <v>1475</v>
      </c>
      <c r="E574" s="98" t="s">
        <v>1471</v>
      </c>
      <c r="F574" s="98"/>
      <c r="G574" s="99" t="n">
        <v>3515.4</v>
      </c>
      <c r="H574" s="59" t="s">
        <v>53</v>
      </c>
    </row>
    <row r="575">
      <c r="A575" s="10" t="s">
        <v>53</v>
      </c>
      <c r="B575" s="11" t="s">
        <v>53</v>
      </c>
      <c r="C575" s="11" t="s">
        <v>53</v>
      </c>
      <c r="D575" s="98" t="s">
        <v>1476</v>
      </c>
      <c r="E575" s="98" t="s">
        <v>1473</v>
      </c>
      <c r="F575" s="98"/>
      <c r="G575" s="99" t="n">
        <v>783</v>
      </c>
      <c r="H575" s="59" t="s">
        <v>53</v>
      </c>
    </row>
    <row r="576">
      <c r="A576" s="10" t="s">
        <v>498</v>
      </c>
      <c r="B576" s="11" t="s">
        <v>57</v>
      </c>
      <c r="C576" s="11" t="s">
        <v>499</v>
      </c>
      <c r="D576" s="11" t="s">
        <v>500</v>
      </c>
      <c r="E576" s="11"/>
      <c r="F576" s="11" t="s">
        <v>61</v>
      </c>
      <c r="G576" s="57" t="n">
        <v>3581.64</v>
      </c>
      <c r="H576" s="97" t="n">
        <v>0</v>
      </c>
    </row>
    <row r="577">
      <c r="A577" s="62"/>
      <c r="D577" s="98" t="s">
        <v>1468</v>
      </c>
      <c r="E577" s="98" t="s">
        <v>1469</v>
      </c>
      <c r="F577" s="98"/>
      <c r="G577" s="99" t="n">
        <v>2148.84</v>
      </c>
      <c r="H577" s="100"/>
    </row>
    <row r="578">
      <c r="A578" s="10" t="s">
        <v>53</v>
      </c>
      <c r="B578" s="11" t="s">
        <v>53</v>
      </c>
      <c r="C578" s="11" t="s">
        <v>53</v>
      </c>
      <c r="D578" s="98" t="s">
        <v>1470</v>
      </c>
      <c r="E578" s="98" t="s">
        <v>1471</v>
      </c>
      <c r="F578" s="98"/>
      <c r="G578" s="99" t="n">
        <v>1171.8</v>
      </c>
      <c r="H578" s="59" t="s">
        <v>53</v>
      </c>
    </row>
    <row r="579">
      <c r="A579" s="10" t="s">
        <v>53</v>
      </c>
      <c r="B579" s="11" t="s">
        <v>53</v>
      </c>
      <c r="C579" s="11" t="s">
        <v>53</v>
      </c>
      <c r="D579" s="98" t="s">
        <v>1472</v>
      </c>
      <c r="E579" s="98" t="s">
        <v>1473</v>
      </c>
      <c r="F579" s="98"/>
      <c r="G579" s="99" t="n">
        <v>261</v>
      </c>
      <c r="H579" s="59" t="s">
        <v>53</v>
      </c>
    </row>
    <row r="580">
      <c r="A580" s="10" t="s">
        <v>501</v>
      </c>
      <c r="B580" s="11" t="s">
        <v>57</v>
      </c>
      <c r="C580" s="11" t="s">
        <v>502</v>
      </c>
      <c r="D580" s="11" t="s">
        <v>503</v>
      </c>
      <c r="E580" s="11"/>
      <c r="F580" s="11" t="s">
        <v>126</v>
      </c>
      <c r="G580" s="57" t="n">
        <v>6</v>
      </c>
      <c r="H580" s="97" t="n">
        <v>0</v>
      </c>
    </row>
    <row r="581">
      <c r="A581" s="62"/>
      <c r="D581" s="98" t="s">
        <v>1479</v>
      </c>
      <c r="E581" s="98" t="s">
        <v>1480</v>
      </c>
      <c r="F581" s="98"/>
      <c r="G581" s="99" t="n">
        <v>6</v>
      </c>
      <c r="H581" s="100"/>
    </row>
    <row r="582">
      <c r="A582" s="10" t="s">
        <v>504</v>
      </c>
      <c r="B582" s="11" t="s">
        <v>57</v>
      </c>
      <c r="C582" s="11" t="s">
        <v>505</v>
      </c>
      <c r="D582" s="11" t="s">
        <v>506</v>
      </c>
      <c r="E582" s="11"/>
      <c r="F582" s="11" t="s">
        <v>126</v>
      </c>
      <c r="G582" s="57" t="n">
        <v>18</v>
      </c>
      <c r="H582" s="97" t="n">
        <v>0</v>
      </c>
    </row>
    <row r="583">
      <c r="A583" s="62"/>
      <c r="D583" s="98" t="s">
        <v>1481</v>
      </c>
      <c r="E583" s="98" t="s">
        <v>1482</v>
      </c>
      <c r="F583" s="98"/>
      <c r="G583" s="99" t="n">
        <v>18</v>
      </c>
      <c r="H583" s="100"/>
    </row>
    <row r="584">
      <c r="A584" s="10" t="s">
        <v>507</v>
      </c>
      <c r="B584" s="11" t="s">
        <v>57</v>
      </c>
      <c r="C584" s="11" t="s">
        <v>508</v>
      </c>
      <c r="D584" s="11" t="s">
        <v>509</v>
      </c>
      <c r="E584" s="11"/>
      <c r="F584" s="11" t="s">
        <v>126</v>
      </c>
      <c r="G584" s="57" t="n">
        <v>6</v>
      </c>
      <c r="H584" s="97" t="n">
        <v>0</v>
      </c>
    </row>
    <row r="585">
      <c r="A585" s="62"/>
      <c r="D585" s="98" t="s">
        <v>1479</v>
      </c>
      <c r="E585" s="98" t="s">
        <v>1482</v>
      </c>
      <c r="F585" s="98"/>
      <c r="G585" s="99" t="n">
        <v>6</v>
      </c>
      <c r="H585" s="100"/>
    </row>
    <row r="586">
      <c r="A586" s="10" t="s">
        <v>510</v>
      </c>
      <c r="B586" s="11" t="s">
        <v>57</v>
      </c>
      <c r="C586" s="11" t="s">
        <v>511</v>
      </c>
      <c r="D586" s="11" t="s">
        <v>512</v>
      </c>
      <c r="E586" s="11"/>
      <c r="F586" s="11" t="s">
        <v>61</v>
      </c>
      <c r="G586" s="57" t="n">
        <v>21</v>
      </c>
      <c r="H586" s="97" t="n">
        <v>0</v>
      </c>
    </row>
    <row r="587">
      <c r="A587" s="62"/>
      <c r="D587" s="98" t="s">
        <v>1483</v>
      </c>
      <c r="E587" s="98" t="s">
        <v>1482</v>
      </c>
      <c r="F587" s="98"/>
      <c r="G587" s="99" t="n">
        <v>21</v>
      </c>
      <c r="H587" s="100"/>
    </row>
    <row r="588">
      <c r="A588" s="10" t="s">
        <v>514</v>
      </c>
      <c r="B588" s="11" t="s">
        <v>57</v>
      </c>
      <c r="C588" s="11" t="s">
        <v>515</v>
      </c>
      <c r="D588" s="11" t="s">
        <v>516</v>
      </c>
      <c r="E588" s="11"/>
      <c r="F588" s="11" t="s">
        <v>61</v>
      </c>
      <c r="G588" s="57" t="n">
        <v>21</v>
      </c>
      <c r="H588" s="97" t="n">
        <v>0</v>
      </c>
    </row>
    <row r="589">
      <c r="A589" s="62"/>
      <c r="D589" s="98" t="s">
        <v>1483</v>
      </c>
      <c r="E589" s="98" t="s">
        <v>1482</v>
      </c>
      <c r="F589" s="98"/>
      <c r="G589" s="99" t="n">
        <v>21</v>
      </c>
      <c r="H589" s="100"/>
    </row>
    <row r="590">
      <c r="A590" s="10" t="s">
        <v>517</v>
      </c>
      <c r="B590" s="11" t="s">
        <v>57</v>
      </c>
      <c r="C590" s="11" t="s">
        <v>518</v>
      </c>
      <c r="D590" s="11" t="s">
        <v>519</v>
      </c>
      <c r="E590" s="11"/>
      <c r="F590" s="11" t="s">
        <v>314</v>
      </c>
      <c r="G590" s="57" t="n">
        <v>1.33632</v>
      </c>
      <c r="H590" s="97" t="n">
        <v>0</v>
      </c>
    </row>
    <row r="591">
      <c r="A591" s="62"/>
      <c r="D591" s="98" t="s">
        <v>1484</v>
      </c>
      <c r="E591" s="98" t="s">
        <v>1485</v>
      </c>
      <c r="F591" s="98"/>
      <c r="G591" s="99" t="n">
        <v>1.33632</v>
      </c>
      <c r="H591" s="100"/>
    </row>
    <row r="592">
      <c r="A592" s="10" t="s">
        <v>520</v>
      </c>
      <c r="B592" s="11" t="s">
        <v>57</v>
      </c>
      <c r="C592" s="11" t="s">
        <v>521</v>
      </c>
      <c r="D592" s="11" t="s">
        <v>522</v>
      </c>
      <c r="E592" s="11"/>
      <c r="F592" s="11" t="s">
        <v>314</v>
      </c>
      <c r="G592" s="57" t="n">
        <v>0.44544</v>
      </c>
      <c r="H592" s="97" t="n">
        <v>0</v>
      </c>
    </row>
    <row r="593">
      <c r="A593" s="62"/>
      <c r="D593" s="98" t="s">
        <v>1486</v>
      </c>
      <c r="E593" s="98" t="s">
        <v>1485</v>
      </c>
      <c r="F593" s="98"/>
      <c r="G593" s="99" t="n">
        <v>0.44544</v>
      </c>
      <c r="H593" s="100"/>
    </row>
    <row r="594">
      <c r="A594" s="10" t="s">
        <v>523</v>
      </c>
      <c r="B594" s="11" t="s">
        <v>57</v>
      </c>
      <c r="C594" s="11" t="s">
        <v>524</v>
      </c>
      <c r="D594" s="11" t="s">
        <v>525</v>
      </c>
      <c r="E594" s="11"/>
      <c r="F594" s="11" t="s">
        <v>314</v>
      </c>
      <c r="G594" s="57" t="n">
        <v>0.44544</v>
      </c>
      <c r="H594" s="97" t="n">
        <v>0</v>
      </c>
    </row>
    <row r="595">
      <c r="A595" s="62"/>
      <c r="D595" s="98" t="s">
        <v>1486</v>
      </c>
      <c r="E595" s="98" t="s">
        <v>1485</v>
      </c>
      <c r="F595" s="98"/>
      <c r="G595" s="99" t="n">
        <v>0.44544</v>
      </c>
      <c r="H595" s="100"/>
    </row>
    <row r="596">
      <c r="A596" s="10" t="s">
        <v>526</v>
      </c>
      <c r="B596" s="11" t="s">
        <v>57</v>
      </c>
      <c r="C596" s="11" t="s">
        <v>527</v>
      </c>
      <c r="D596" s="11" t="s">
        <v>528</v>
      </c>
      <c r="E596" s="11"/>
      <c r="F596" s="11" t="s">
        <v>314</v>
      </c>
      <c r="G596" s="57" t="n">
        <v>1.64952</v>
      </c>
      <c r="H596" s="97" t="n">
        <v>0</v>
      </c>
    </row>
    <row r="597">
      <c r="A597" s="62"/>
      <c r="D597" s="98" t="s">
        <v>1487</v>
      </c>
      <c r="E597" s="98" t="s">
        <v>1485</v>
      </c>
      <c r="F597" s="98"/>
      <c r="G597" s="99" t="n">
        <v>1.64952</v>
      </c>
      <c r="H597" s="100"/>
    </row>
    <row r="598">
      <c r="A598" s="10" t="s">
        <v>529</v>
      </c>
      <c r="B598" s="11" t="s">
        <v>57</v>
      </c>
      <c r="C598" s="11" t="s">
        <v>530</v>
      </c>
      <c r="D598" s="11" t="s">
        <v>531</v>
      </c>
      <c r="E598" s="11"/>
      <c r="F598" s="11" t="s">
        <v>314</v>
      </c>
      <c r="G598" s="57" t="n">
        <v>0.54984</v>
      </c>
      <c r="H598" s="97" t="n">
        <v>0</v>
      </c>
    </row>
    <row r="599">
      <c r="A599" s="62"/>
      <c r="D599" s="98" t="s">
        <v>1488</v>
      </c>
      <c r="E599" s="98" t="s">
        <v>1485</v>
      </c>
      <c r="F599" s="98"/>
      <c r="G599" s="99" t="n">
        <v>0.54984</v>
      </c>
      <c r="H599" s="100"/>
    </row>
    <row r="600">
      <c r="A600" s="10" t="s">
        <v>532</v>
      </c>
      <c r="B600" s="11" t="s">
        <v>57</v>
      </c>
      <c r="C600" s="11" t="s">
        <v>533</v>
      </c>
      <c r="D600" s="11" t="s">
        <v>534</v>
      </c>
      <c r="E600" s="11"/>
      <c r="F600" s="11" t="s">
        <v>314</v>
      </c>
      <c r="G600" s="57" t="n">
        <v>0.54984</v>
      </c>
      <c r="H600" s="97" t="n">
        <v>0</v>
      </c>
    </row>
    <row r="601">
      <c r="A601" s="62"/>
      <c r="D601" s="98" t="s">
        <v>1488</v>
      </c>
      <c r="E601" s="98" t="s">
        <v>1485</v>
      </c>
      <c r="F601" s="98"/>
      <c r="G601" s="99" t="n">
        <v>0.54984</v>
      </c>
      <c r="H601" s="100"/>
    </row>
    <row r="602">
      <c r="A602" s="96" t="s">
        <v>53</v>
      </c>
      <c r="B602" s="52" t="s">
        <v>57</v>
      </c>
      <c r="C602" s="52" t="s">
        <v>373</v>
      </c>
      <c r="D602" s="52" t="s">
        <v>535</v>
      </c>
      <c r="E602" s="52"/>
      <c r="F602" s="52" t="s">
        <v>53</v>
      </c>
      <c r="G602" s="33" t="s">
        <v>53</v>
      </c>
      <c r="H602" s="56" t="s">
        <v>53</v>
      </c>
    </row>
    <row r="603">
      <c r="A603" s="10" t="s">
        <v>536</v>
      </c>
      <c r="B603" s="11" t="s">
        <v>57</v>
      </c>
      <c r="C603" s="11" t="s">
        <v>537</v>
      </c>
      <c r="D603" s="11" t="s">
        <v>538</v>
      </c>
      <c r="E603" s="11"/>
      <c r="F603" s="11" t="s">
        <v>174</v>
      </c>
      <c r="G603" s="57" t="n">
        <v>508</v>
      </c>
      <c r="H603" s="97" t="n">
        <v>0</v>
      </c>
    </row>
    <row r="604">
      <c r="A604" s="62"/>
      <c r="D604" s="98" t="s">
        <v>1489</v>
      </c>
      <c r="E604" s="98" t="s">
        <v>1450</v>
      </c>
      <c r="F604" s="98"/>
      <c r="G604" s="99" t="n">
        <v>508</v>
      </c>
      <c r="H604" s="100"/>
    </row>
    <row r="605">
      <c r="A605" s="10" t="s">
        <v>541</v>
      </c>
      <c r="B605" s="11" t="s">
        <v>57</v>
      </c>
      <c r="C605" s="11" t="s">
        <v>138</v>
      </c>
      <c r="D605" s="11" t="s">
        <v>542</v>
      </c>
      <c r="E605" s="11"/>
      <c r="F605" s="11" t="s">
        <v>174</v>
      </c>
      <c r="G605" s="57" t="n">
        <v>508</v>
      </c>
      <c r="H605" s="97" t="n">
        <v>0</v>
      </c>
    </row>
    <row r="606">
      <c r="A606" s="62"/>
      <c r="D606" s="98" t="s">
        <v>1489</v>
      </c>
      <c r="E606" s="98" t="s">
        <v>1450</v>
      </c>
      <c r="F606" s="98"/>
      <c r="G606" s="99" t="n">
        <v>508</v>
      </c>
      <c r="H606" s="100"/>
    </row>
    <row r="607">
      <c r="A607" s="10" t="s">
        <v>543</v>
      </c>
      <c r="B607" s="11" t="s">
        <v>57</v>
      </c>
      <c r="C607" s="11" t="s">
        <v>138</v>
      </c>
      <c r="D607" s="11" t="s">
        <v>544</v>
      </c>
      <c r="E607" s="11"/>
      <c r="F607" s="11" t="s">
        <v>174</v>
      </c>
      <c r="G607" s="57" t="n">
        <v>508</v>
      </c>
      <c r="H607" s="97" t="n">
        <v>0</v>
      </c>
    </row>
    <row r="608">
      <c r="A608" s="62"/>
      <c r="D608" s="98" t="s">
        <v>1489</v>
      </c>
      <c r="E608" s="98" t="s">
        <v>1450</v>
      </c>
      <c r="F608" s="98"/>
      <c r="G608" s="99" t="n">
        <v>508</v>
      </c>
      <c r="H608" s="100"/>
    </row>
    <row r="609">
      <c r="A609" s="10" t="s">
        <v>545</v>
      </c>
      <c r="B609" s="11" t="s">
        <v>57</v>
      </c>
      <c r="C609" s="11" t="s">
        <v>546</v>
      </c>
      <c r="D609" s="11" t="s">
        <v>547</v>
      </c>
      <c r="E609" s="11"/>
      <c r="F609" s="11" t="s">
        <v>174</v>
      </c>
      <c r="G609" s="57" t="n">
        <v>142</v>
      </c>
      <c r="H609" s="97" t="n">
        <v>0</v>
      </c>
    </row>
    <row r="610">
      <c r="A610" s="62"/>
      <c r="D610" s="98" t="s">
        <v>1490</v>
      </c>
      <c r="E610" s="98" t="s">
        <v>1447</v>
      </c>
      <c r="F610" s="98"/>
      <c r="G610" s="99" t="n">
        <v>12</v>
      </c>
      <c r="H610" s="100"/>
    </row>
    <row r="611">
      <c r="A611" s="10" t="s">
        <v>53</v>
      </c>
      <c r="B611" s="11" t="s">
        <v>53</v>
      </c>
      <c r="C611" s="11" t="s">
        <v>53</v>
      </c>
      <c r="D611" s="98" t="s">
        <v>1491</v>
      </c>
      <c r="E611" s="98" t="s">
        <v>1492</v>
      </c>
      <c r="F611" s="98"/>
      <c r="G611" s="99" t="n">
        <v>128</v>
      </c>
      <c r="H611" s="59" t="s">
        <v>53</v>
      </c>
    </row>
    <row r="612">
      <c r="A612" s="10" t="s">
        <v>53</v>
      </c>
      <c r="B612" s="11" t="s">
        <v>53</v>
      </c>
      <c r="C612" s="11" t="s">
        <v>53</v>
      </c>
      <c r="D612" s="98" t="s">
        <v>67</v>
      </c>
      <c r="E612" s="98" t="s">
        <v>1493</v>
      </c>
      <c r="F612" s="98"/>
      <c r="G612" s="99" t="n">
        <v>2</v>
      </c>
      <c r="H612" s="59" t="s">
        <v>53</v>
      </c>
    </row>
    <row r="613">
      <c r="A613" s="10" t="s">
        <v>548</v>
      </c>
      <c r="B613" s="11" t="s">
        <v>57</v>
      </c>
      <c r="C613" s="11" t="s">
        <v>138</v>
      </c>
      <c r="D613" s="11" t="s">
        <v>549</v>
      </c>
      <c r="E613" s="11"/>
      <c r="F613" s="11" t="s">
        <v>174</v>
      </c>
      <c r="G613" s="57" t="n">
        <v>140</v>
      </c>
      <c r="H613" s="97" t="n">
        <v>0</v>
      </c>
    </row>
    <row r="614">
      <c r="A614" s="62"/>
      <c r="D614" s="98" t="s">
        <v>1490</v>
      </c>
      <c r="E614" s="98" t="s">
        <v>1447</v>
      </c>
      <c r="F614" s="98"/>
      <c r="G614" s="99" t="n">
        <v>12</v>
      </c>
      <c r="H614" s="100"/>
    </row>
    <row r="615">
      <c r="A615" s="10" t="s">
        <v>53</v>
      </c>
      <c r="B615" s="11" t="s">
        <v>53</v>
      </c>
      <c r="C615" s="11" t="s">
        <v>53</v>
      </c>
      <c r="D615" s="98" t="s">
        <v>1491</v>
      </c>
      <c r="E615" s="98" t="s">
        <v>1492</v>
      </c>
      <c r="F615" s="98"/>
      <c r="G615" s="99" t="n">
        <v>128</v>
      </c>
      <c r="H615" s="59" t="s">
        <v>53</v>
      </c>
    </row>
    <row r="616">
      <c r="A616" s="10" t="s">
        <v>550</v>
      </c>
      <c r="B616" s="11" t="s">
        <v>57</v>
      </c>
      <c r="C616" s="11" t="s">
        <v>138</v>
      </c>
      <c r="D616" s="11" t="s">
        <v>551</v>
      </c>
      <c r="E616" s="11"/>
      <c r="F616" s="11" t="s">
        <v>174</v>
      </c>
      <c r="G616" s="57" t="n">
        <v>2</v>
      </c>
      <c r="H616" s="97" t="n">
        <v>0</v>
      </c>
    </row>
    <row r="617">
      <c r="A617" s="62"/>
      <c r="D617" s="98" t="s">
        <v>67</v>
      </c>
      <c r="E617" s="98" t="s">
        <v>1493</v>
      </c>
      <c r="F617" s="98"/>
      <c r="G617" s="99" t="n">
        <v>2</v>
      </c>
      <c r="H617" s="100"/>
    </row>
    <row r="618">
      <c r="A618" s="10" t="s">
        <v>552</v>
      </c>
      <c r="B618" s="11" t="s">
        <v>57</v>
      </c>
      <c r="C618" s="11" t="s">
        <v>138</v>
      </c>
      <c r="D618" s="11" t="s">
        <v>553</v>
      </c>
      <c r="E618" s="11"/>
      <c r="F618" s="11" t="s">
        <v>174</v>
      </c>
      <c r="G618" s="57" t="n">
        <v>142</v>
      </c>
      <c r="H618" s="97" t="n">
        <v>0</v>
      </c>
    </row>
    <row r="619">
      <c r="A619" s="62"/>
      <c r="D619" s="98" t="s">
        <v>1490</v>
      </c>
      <c r="E619" s="98" t="s">
        <v>1447</v>
      </c>
      <c r="F619" s="98"/>
      <c r="G619" s="99" t="n">
        <v>12</v>
      </c>
      <c r="H619" s="100"/>
    </row>
    <row r="620">
      <c r="A620" s="10" t="s">
        <v>53</v>
      </c>
      <c r="B620" s="11" t="s">
        <v>53</v>
      </c>
      <c r="C620" s="11" t="s">
        <v>53</v>
      </c>
      <c r="D620" s="98" t="s">
        <v>1491</v>
      </c>
      <c r="E620" s="98" t="s">
        <v>1492</v>
      </c>
      <c r="F620" s="98"/>
      <c r="G620" s="99" t="n">
        <v>128</v>
      </c>
      <c r="H620" s="59" t="s">
        <v>53</v>
      </c>
    </row>
    <row r="621">
      <c r="A621" s="10" t="s">
        <v>53</v>
      </c>
      <c r="B621" s="11" t="s">
        <v>53</v>
      </c>
      <c r="C621" s="11" t="s">
        <v>53</v>
      </c>
      <c r="D621" s="98" t="s">
        <v>67</v>
      </c>
      <c r="E621" s="98" t="s">
        <v>1493</v>
      </c>
      <c r="F621" s="98"/>
      <c r="G621" s="99" t="n">
        <v>2</v>
      </c>
      <c r="H621" s="59" t="s">
        <v>53</v>
      </c>
    </row>
    <row r="622">
      <c r="A622" s="96" t="s">
        <v>53</v>
      </c>
      <c r="B622" s="52" t="s">
        <v>57</v>
      </c>
      <c r="C622" s="52" t="s">
        <v>376</v>
      </c>
      <c r="D622" s="52" t="s">
        <v>554</v>
      </c>
      <c r="E622" s="52"/>
      <c r="F622" s="52" t="s">
        <v>53</v>
      </c>
      <c r="G622" s="33" t="s">
        <v>53</v>
      </c>
      <c r="H622" s="56" t="s">
        <v>53</v>
      </c>
    </row>
    <row r="623">
      <c r="A623" s="10" t="s">
        <v>555</v>
      </c>
      <c r="B623" s="11" t="s">
        <v>57</v>
      </c>
      <c r="C623" s="11" t="s">
        <v>556</v>
      </c>
      <c r="D623" s="11" t="s">
        <v>557</v>
      </c>
      <c r="E623" s="11"/>
      <c r="F623" s="11" t="s">
        <v>61</v>
      </c>
      <c r="G623" s="57" t="n">
        <v>42.05625</v>
      </c>
      <c r="H623" s="97" t="n">
        <v>0</v>
      </c>
    </row>
    <row r="624">
      <c r="A624" s="62"/>
      <c r="D624" s="98" t="s">
        <v>1398</v>
      </c>
      <c r="E624" s="98" t="s">
        <v>1494</v>
      </c>
      <c r="F624" s="98"/>
      <c r="G624" s="99" t="n">
        <v>42.05625</v>
      </c>
      <c r="H624" s="100"/>
    </row>
    <row r="625">
      <c r="A625" s="10" t="s">
        <v>560</v>
      </c>
      <c r="B625" s="11" t="s">
        <v>57</v>
      </c>
      <c r="C625" s="11" t="s">
        <v>561</v>
      </c>
      <c r="D625" s="11" t="s">
        <v>562</v>
      </c>
      <c r="E625" s="11"/>
      <c r="F625" s="11" t="s">
        <v>61</v>
      </c>
      <c r="G625" s="57" t="n">
        <v>60.4485</v>
      </c>
      <c r="H625" s="97" t="n">
        <v>0</v>
      </c>
    </row>
    <row r="626">
      <c r="A626" s="62"/>
      <c r="D626" s="98" t="s">
        <v>1495</v>
      </c>
      <c r="E626" s="98" t="s">
        <v>1209</v>
      </c>
      <c r="F626" s="98"/>
      <c r="G626" s="99" t="n">
        <v>26.6985</v>
      </c>
      <c r="H626" s="100"/>
    </row>
    <row r="627">
      <c r="A627" s="10" t="s">
        <v>53</v>
      </c>
      <c r="B627" s="11" t="s">
        <v>53</v>
      </c>
      <c r="C627" s="11" t="s">
        <v>53</v>
      </c>
      <c r="D627" s="98" t="s">
        <v>1496</v>
      </c>
      <c r="E627" s="98" t="s">
        <v>1353</v>
      </c>
      <c r="F627" s="98"/>
      <c r="G627" s="99" t="n">
        <v>16.83</v>
      </c>
      <c r="H627" s="59" t="s">
        <v>53</v>
      </c>
    </row>
    <row r="628">
      <c r="A628" s="10" t="s">
        <v>53</v>
      </c>
      <c r="B628" s="11" t="s">
        <v>53</v>
      </c>
      <c r="C628" s="11" t="s">
        <v>53</v>
      </c>
      <c r="D628" s="98" t="s">
        <v>1497</v>
      </c>
      <c r="E628" s="98" t="s">
        <v>1355</v>
      </c>
      <c r="F628" s="98"/>
      <c r="G628" s="99" t="n">
        <v>16.92</v>
      </c>
      <c r="H628" s="59" t="s">
        <v>53</v>
      </c>
    </row>
    <row r="629">
      <c r="A629" s="10" t="s">
        <v>563</v>
      </c>
      <c r="B629" s="11" t="s">
        <v>57</v>
      </c>
      <c r="C629" s="11" t="s">
        <v>564</v>
      </c>
      <c r="D629" s="11" t="s">
        <v>565</v>
      </c>
      <c r="E629" s="11"/>
      <c r="F629" s="11" t="s">
        <v>174</v>
      </c>
      <c r="G629" s="57" t="n">
        <v>32</v>
      </c>
      <c r="H629" s="97" t="n">
        <v>0</v>
      </c>
    </row>
    <row r="630">
      <c r="A630" s="62"/>
      <c r="D630" s="98" t="s">
        <v>1498</v>
      </c>
      <c r="E630" s="98" t="s">
        <v>1213</v>
      </c>
      <c r="F630" s="98"/>
      <c r="G630" s="99" t="n">
        <v>32</v>
      </c>
      <c r="H630" s="100"/>
    </row>
    <row r="631">
      <c r="A631" s="10" t="s">
        <v>566</v>
      </c>
      <c r="B631" s="11" t="s">
        <v>57</v>
      </c>
      <c r="C631" s="11" t="s">
        <v>567</v>
      </c>
      <c r="D631" s="11" t="s">
        <v>568</v>
      </c>
      <c r="E631" s="11"/>
      <c r="F631" s="11" t="s">
        <v>61</v>
      </c>
      <c r="G631" s="57" t="n">
        <v>17.28</v>
      </c>
      <c r="H631" s="97" t="n">
        <v>0</v>
      </c>
    </row>
    <row r="632">
      <c r="A632" s="62"/>
      <c r="D632" s="98" t="s">
        <v>1215</v>
      </c>
      <c r="E632" s="98" t="s">
        <v>1213</v>
      </c>
      <c r="F632" s="98"/>
      <c r="G632" s="99" t="n">
        <v>17.28</v>
      </c>
      <c r="H632" s="100"/>
    </row>
    <row r="633">
      <c r="A633" s="96" t="s">
        <v>53</v>
      </c>
      <c r="B633" s="52" t="s">
        <v>57</v>
      </c>
      <c r="C633" s="52" t="s">
        <v>377</v>
      </c>
      <c r="D633" s="52" t="s">
        <v>569</v>
      </c>
      <c r="E633" s="52"/>
      <c r="F633" s="52" t="s">
        <v>53</v>
      </c>
      <c r="G633" s="33" t="s">
        <v>53</v>
      </c>
      <c r="H633" s="56" t="s">
        <v>53</v>
      </c>
    </row>
    <row r="634">
      <c r="A634" s="10" t="s">
        <v>570</v>
      </c>
      <c r="B634" s="11" t="s">
        <v>57</v>
      </c>
      <c r="C634" s="11" t="s">
        <v>571</v>
      </c>
      <c r="D634" s="11" t="s">
        <v>572</v>
      </c>
      <c r="E634" s="11"/>
      <c r="F634" s="11" t="s">
        <v>61</v>
      </c>
      <c r="G634" s="57" t="n">
        <v>3107.35997</v>
      </c>
      <c r="H634" s="97" t="n">
        <v>0</v>
      </c>
    </row>
    <row r="635">
      <c r="A635" s="62"/>
      <c r="D635" s="98" t="s">
        <v>1198</v>
      </c>
      <c r="E635" s="98" t="s">
        <v>1199</v>
      </c>
      <c r="F635" s="98"/>
      <c r="G635" s="99" t="n">
        <v>445.85517</v>
      </c>
      <c r="H635" s="100"/>
    </row>
    <row r="636">
      <c r="A636" s="10" t="s">
        <v>53</v>
      </c>
      <c r="B636" s="11" t="s">
        <v>53</v>
      </c>
      <c r="C636" s="11" t="s">
        <v>53</v>
      </c>
      <c r="D636" s="98" t="s">
        <v>1269</v>
      </c>
      <c r="E636" s="98" t="s">
        <v>1247</v>
      </c>
      <c r="F636" s="98"/>
      <c r="G636" s="99" t="n">
        <v>1326.7144</v>
      </c>
      <c r="H636" s="59" t="s">
        <v>53</v>
      </c>
    </row>
    <row r="637">
      <c r="A637" s="10" t="s">
        <v>53</v>
      </c>
      <c r="B637" s="11" t="s">
        <v>53</v>
      </c>
      <c r="C637" s="11" t="s">
        <v>53</v>
      </c>
      <c r="D637" s="98" t="s">
        <v>1274</v>
      </c>
      <c r="E637" s="98" t="s">
        <v>1249</v>
      </c>
      <c r="F637" s="98"/>
      <c r="G637" s="99" t="n">
        <v>229.5854</v>
      </c>
      <c r="H637" s="59" t="s">
        <v>53</v>
      </c>
    </row>
    <row r="638">
      <c r="A638" s="10" t="s">
        <v>53</v>
      </c>
      <c r="B638" s="11" t="s">
        <v>53</v>
      </c>
      <c r="C638" s="11" t="s">
        <v>53</v>
      </c>
      <c r="D638" s="98" t="s">
        <v>1275</v>
      </c>
      <c r="E638" s="98" t="s">
        <v>1251</v>
      </c>
      <c r="F638" s="98"/>
      <c r="G638" s="99" t="n">
        <v>782.91125</v>
      </c>
      <c r="H638" s="59" t="s">
        <v>53</v>
      </c>
    </row>
    <row r="639">
      <c r="A639" s="10" t="s">
        <v>53</v>
      </c>
      <c r="B639" s="11" t="s">
        <v>53</v>
      </c>
      <c r="C639" s="11" t="s">
        <v>53</v>
      </c>
      <c r="D639" s="98" t="s">
        <v>1287</v>
      </c>
      <c r="E639" s="98" t="s">
        <v>1253</v>
      </c>
      <c r="F639" s="98"/>
      <c r="G639" s="99" t="n">
        <v>70.752</v>
      </c>
      <c r="H639" s="59" t="s">
        <v>53</v>
      </c>
    </row>
    <row r="640">
      <c r="A640" s="10" t="s">
        <v>53</v>
      </c>
      <c r="B640" s="11" t="s">
        <v>53</v>
      </c>
      <c r="C640" s="11" t="s">
        <v>53</v>
      </c>
      <c r="D640" s="98" t="s">
        <v>1288</v>
      </c>
      <c r="E640" s="98" t="s">
        <v>1255</v>
      </c>
      <c r="F640" s="98"/>
      <c r="G640" s="99" t="n">
        <v>90.8775</v>
      </c>
      <c r="H640" s="59" t="s">
        <v>53</v>
      </c>
    </row>
    <row r="641">
      <c r="A641" s="10" t="s">
        <v>53</v>
      </c>
      <c r="B641" s="11" t="s">
        <v>53</v>
      </c>
      <c r="C641" s="11" t="s">
        <v>53</v>
      </c>
      <c r="D641" s="98" t="s">
        <v>1306</v>
      </c>
      <c r="E641" s="98" t="s">
        <v>1211</v>
      </c>
      <c r="F641" s="98"/>
      <c r="G641" s="99" t="n">
        <v>103.22225</v>
      </c>
      <c r="H641" s="59" t="s">
        <v>53</v>
      </c>
    </row>
    <row r="642">
      <c r="A642" s="10" t="s">
        <v>53</v>
      </c>
      <c r="B642" s="11" t="s">
        <v>53</v>
      </c>
      <c r="C642" s="11" t="s">
        <v>53</v>
      </c>
      <c r="D642" s="98" t="s">
        <v>1310</v>
      </c>
      <c r="E642" s="98" t="s">
        <v>1211</v>
      </c>
      <c r="F642" s="98"/>
      <c r="G642" s="99" t="n">
        <v>57.442</v>
      </c>
      <c r="H642" s="59" t="s">
        <v>53</v>
      </c>
    </row>
    <row r="643">
      <c r="A643" s="10" t="s">
        <v>575</v>
      </c>
      <c r="B643" s="11" t="s">
        <v>57</v>
      </c>
      <c r="C643" s="11" t="s">
        <v>576</v>
      </c>
      <c r="D643" s="11" t="s">
        <v>577</v>
      </c>
      <c r="E643" s="11"/>
      <c r="F643" s="11" t="s">
        <v>61</v>
      </c>
      <c r="G643" s="57" t="n">
        <v>130.58</v>
      </c>
      <c r="H643" s="97" t="n">
        <v>0</v>
      </c>
    </row>
    <row r="644">
      <c r="A644" s="62"/>
      <c r="D644" s="98" t="s">
        <v>1499</v>
      </c>
      <c r="E644" s="98" t="s">
        <v>1203</v>
      </c>
      <c r="F644" s="98"/>
      <c r="G644" s="99" t="n">
        <v>99.36</v>
      </c>
      <c r="H644" s="100"/>
    </row>
    <row r="645">
      <c r="A645" s="10" t="s">
        <v>53</v>
      </c>
      <c r="B645" s="11" t="s">
        <v>53</v>
      </c>
      <c r="C645" s="11" t="s">
        <v>53</v>
      </c>
      <c r="D645" s="98" t="s">
        <v>1500</v>
      </c>
      <c r="E645" s="98" t="s">
        <v>1335</v>
      </c>
      <c r="F645" s="98"/>
      <c r="G645" s="99" t="n">
        <v>3.3</v>
      </c>
      <c r="H645" s="59" t="s">
        <v>53</v>
      </c>
    </row>
    <row r="646">
      <c r="A646" s="10" t="s">
        <v>53</v>
      </c>
      <c r="B646" s="11" t="s">
        <v>53</v>
      </c>
      <c r="C646" s="11" t="s">
        <v>53</v>
      </c>
      <c r="D646" s="98" t="s">
        <v>1501</v>
      </c>
      <c r="E646" s="98" t="s">
        <v>53</v>
      </c>
      <c r="F646" s="98"/>
      <c r="G646" s="99" t="n">
        <v>1.72</v>
      </c>
      <c r="H646" s="59" t="s">
        <v>53</v>
      </c>
    </row>
    <row r="647">
      <c r="A647" s="10" t="s">
        <v>53</v>
      </c>
      <c r="B647" s="11" t="s">
        <v>53</v>
      </c>
      <c r="C647" s="11" t="s">
        <v>53</v>
      </c>
      <c r="D647" s="98" t="s">
        <v>1502</v>
      </c>
      <c r="E647" s="98" t="s">
        <v>53</v>
      </c>
      <c r="F647" s="98"/>
      <c r="G647" s="99" t="n">
        <v>1.62</v>
      </c>
      <c r="H647" s="59" t="s">
        <v>53</v>
      </c>
    </row>
    <row r="648">
      <c r="A648" s="10" t="s">
        <v>53</v>
      </c>
      <c r="B648" s="11" t="s">
        <v>53</v>
      </c>
      <c r="C648" s="11" t="s">
        <v>53</v>
      </c>
      <c r="D648" s="98" t="s">
        <v>1503</v>
      </c>
      <c r="E648" s="98" t="s">
        <v>53</v>
      </c>
      <c r="F648" s="98"/>
      <c r="G648" s="99" t="n">
        <v>17.08</v>
      </c>
      <c r="H648" s="59" t="s">
        <v>53</v>
      </c>
    </row>
    <row r="649">
      <c r="A649" s="10" t="s">
        <v>53</v>
      </c>
      <c r="B649" s="11" t="s">
        <v>53</v>
      </c>
      <c r="C649" s="11" t="s">
        <v>53</v>
      </c>
      <c r="D649" s="98" t="s">
        <v>1504</v>
      </c>
      <c r="E649" s="98" t="s">
        <v>53</v>
      </c>
      <c r="F649" s="98"/>
      <c r="G649" s="99" t="n">
        <v>3.78</v>
      </c>
      <c r="H649" s="59" t="s">
        <v>53</v>
      </c>
    </row>
    <row r="650">
      <c r="A650" s="10" t="s">
        <v>53</v>
      </c>
      <c r="B650" s="11" t="s">
        <v>53</v>
      </c>
      <c r="C650" s="11" t="s">
        <v>53</v>
      </c>
      <c r="D650" s="98" t="s">
        <v>1505</v>
      </c>
      <c r="E650" s="98" t="s">
        <v>53</v>
      </c>
      <c r="F650" s="98"/>
      <c r="G650" s="99" t="n">
        <v>3.72</v>
      </c>
      <c r="H650" s="59" t="s">
        <v>53</v>
      </c>
    </row>
    <row r="651">
      <c r="A651" s="10" t="s">
        <v>578</v>
      </c>
      <c r="B651" s="11" t="s">
        <v>57</v>
      </c>
      <c r="C651" s="11" t="s">
        <v>579</v>
      </c>
      <c r="D651" s="11" t="s">
        <v>580</v>
      </c>
      <c r="E651" s="11"/>
      <c r="F651" s="11" t="s">
        <v>61</v>
      </c>
      <c r="G651" s="57" t="n">
        <v>44.802</v>
      </c>
      <c r="H651" s="97" t="n">
        <v>0</v>
      </c>
    </row>
    <row r="652">
      <c r="A652" s="62"/>
      <c r="D652" s="98" t="s">
        <v>1177</v>
      </c>
      <c r="E652" s="98" t="s">
        <v>1178</v>
      </c>
      <c r="F652" s="98"/>
      <c r="G652" s="99" t="n">
        <v>8.484</v>
      </c>
      <c r="H652" s="100"/>
    </row>
    <row r="653">
      <c r="A653" s="10" t="s">
        <v>53</v>
      </c>
      <c r="B653" s="11" t="s">
        <v>53</v>
      </c>
      <c r="C653" s="11" t="s">
        <v>53</v>
      </c>
      <c r="D653" s="98" t="s">
        <v>1179</v>
      </c>
      <c r="E653" s="98" t="s">
        <v>1178</v>
      </c>
      <c r="F653" s="98"/>
      <c r="G653" s="99" t="n">
        <v>36.318</v>
      </c>
      <c r="H653" s="59" t="s">
        <v>53</v>
      </c>
    </row>
    <row r="654">
      <c r="A654" s="96" t="s">
        <v>53</v>
      </c>
      <c r="B654" s="52" t="s">
        <v>57</v>
      </c>
      <c r="C654" s="52" t="s">
        <v>581</v>
      </c>
      <c r="D654" s="52" t="s">
        <v>582</v>
      </c>
      <c r="E654" s="52"/>
      <c r="F654" s="52" t="s">
        <v>53</v>
      </c>
      <c r="G654" s="33" t="s">
        <v>53</v>
      </c>
      <c r="H654" s="56" t="s">
        <v>53</v>
      </c>
    </row>
    <row r="655">
      <c r="A655" s="10" t="s">
        <v>583</v>
      </c>
      <c r="B655" s="11" t="s">
        <v>57</v>
      </c>
      <c r="C655" s="11" t="s">
        <v>584</v>
      </c>
      <c r="D655" s="11" t="s">
        <v>585</v>
      </c>
      <c r="E655" s="11"/>
      <c r="F655" s="11" t="s">
        <v>314</v>
      </c>
      <c r="G655" s="57" t="n">
        <v>271.40519</v>
      </c>
      <c r="H655" s="97" t="n">
        <v>0</v>
      </c>
    </row>
    <row r="656">
      <c r="A656" s="96" t="s">
        <v>53</v>
      </c>
      <c r="B656" s="52" t="s">
        <v>57</v>
      </c>
      <c r="C656" s="52" t="s">
        <v>588</v>
      </c>
      <c r="D656" s="52" t="s">
        <v>589</v>
      </c>
      <c r="E656" s="52"/>
      <c r="F656" s="52" t="s">
        <v>53</v>
      </c>
      <c r="G656" s="33" t="s">
        <v>53</v>
      </c>
      <c r="H656" s="56" t="s">
        <v>53</v>
      </c>
    </row>
    <row r="657">
      <c r="A657" s="10" t="s">
        <v>590</v>
      </c>
      <c r="B657" s="11" t="s">
        <v>57</v>
      </c>
      <c r="C657" s="11" t="s">
        <v>591</v>
      </c>
      <c r="D657" s="11" t="s">
        <v>592</v>
      </c>
      <c r="E657" s="11"/>
      <c r="F657" s="11" t="s">
        <v>174</v>
      </c>
      <c r="G657" s="57" t="n">
        <v>3</v>
      </c>
      <c r="H657" s="97" t="n">
        <v>0</v>
      </c>
    </row>
    <row r="658">
      <c r="A658" s="10" t="s">
        <v>595</v>
      </c>
      <c r="B658" s="11" t="s">
        <v>57</v>
      </c>
      <c r="C658" s="11" t="s">
        <v>138</v>
      </c>
      <c r="D658" s="11" t="s">
        <v>596</v>
      </c>
      <c r="E658" s="11"/>
      <c r="F658" s="11" t="s">
        <v>174</v>
      </c>
      <c r="G658" s="57" t="n">
        <v>3</v>
      </c>
      <c r="H658" s="97" t="n">
        <v>0</v>
      </c>
    </row>
    <row r="659">
      <c r="A659" s="10" t="s">
        <v>597</v>
      </c>
      <c r="B659" s="11" t="s">
        <v>57</v>
      </c>
      <c r="C659" s="11" t="s">
        <v>598</v>
      </c>
      <c r="D659" s="11" t="s">
        <v>599</v>
      </c>
      <c r="E659" s="11"/>
      <c r="F659" s="11" t="s">
        <v>600</v>
      </c>
      <c r="G659" s="57" t="n">
        <v>2454.03</v>
      </c>
      <c r="H659" s="97" t="n">
        <v>0</v>
      </c>
    </row>
    <row r="660">
      <c r="A660" s="10" t="s">
        <v>601</v>
      </c>
      <c r="B660" s="11" t="s">
        <v>57</v>
      </c>
      <c r="C660" s="11" t="s">
        <v>602</v>
      </c>
      <c r="D660" s="11" t="s">
        <v>603</v>
      </c>
      <c r="E660" s="11"/>
      <c r="F660" s="11" t="s">
        <v>600</v>
      </c>
      <c r="G660" s="57" t="n">
        <v>2454.03</v>
      </c>
      <c r="H660" s="97" t="n">
        <v>0</v>
      </c>
    </row>
    <row r="661">
      <c r="A661" s="96" t="s">
        <v>53</v>
      </c>
      <c r="B661" s="52" t="s">
        <v>57</v>
      </c>
      <c r="C661" s="52" t="s">
        <v>604</v>
      </c>
      <c r="D661" s="52" t="s">
        <v>605</v>
      </c>
      <c r="E661" s="52"/>
      <c r="F661" s="52" t="s">
        <v>53</v>
      </c>
      <c r="G661" s="33" t="s">
        <v>53</v>
      </c>
      <c r="H661" s="56" t="s">
        <v>53</v>
      </c>
    </row>
    <row r="662">
      <c r="A662" s="10" t="s">
        <v>606</v>
      </c>
      <c r="B662" s="11" t="s">
        <v>57</v>
      </c>
      <c r="C662" s="11" t="s">
        <v>607</v>
      </c>
      <c r="D662" s="11" t="s">
        <v>608</v>
      </c>
      <c r="E662" s="11"/>
      <c r="F662" s="11" t="s">
        <v>174</v>
      </c>
      <c r="G662" s="57" t="n">
        <v>3</v>
      </c>
      <c r="H662" s="97" t="n">
        <v>0</v>
      </c>
    </row>
    <row r="663">
      <c r="A663" s="10" t="s">
        <v>611</v>
      </c>
      <c r="B663" s="11" t="s">
        <v>57</v>
      </c>
      <c r="C663" s="11" t="s">
        <v>612</v>
      </c>
      <c r="D663" s="11" t="s">
        <v>613</v>
      </c>
      <c r="E663" s="11"/>
      <c r="F663" s="11" t="s">
        <v>174</v>
      </c>
      <c r="G663" s="57" t="n">
        <v>3</v>
      </c>
      <c r="H663" s="97" t="n">
        <v>0</v>
      </c>
    </row>
    <row r="664">
      <c r="A664" s="10" t="s">
        <v>614</v>
      </c>
      <c r="B664" s="11" t="s">
        <v>57</v>
      </c>
      <c r="C664" s="11" t="s">
        <v>598</v>
      </c>
      <c r="D664" s="11" t="s">
        <v>599</v>
      </c>
      <c r="E664" s="11"/>
      <c r="F664" s="11" t="s">
        <v>600</v>
      </c>
      <c r="G664" s="57" t="n">
        <v>1198.5</v>
      </c>
      <c r="H664" s="97" t="n">
        <v>0</v>
      </c>
    </row>
    <row r="665">
      <c r="A665" s="10" t="s">
        <v>615</v>
      </c>
      <c r="B665" s="11" t="s">
        <v>57</v>
      </c>
      <c r="C665" s="11" t="s">
        <v>602</v>
      </c>
      <c r="D665" s="11" t="s">
        <v>603</v>
      </c>
      <c r="E665" s="11"/>
      <c r="F665" s="11" t="s">
        <v>600</v>
      </c>
      <c r="G665" s="57" t="n">
        <v>1198.5</v>
      </c>
      <c r="H665" s="97" t="n">
        <v>0</v>
      </c>
    </row>
    <row r="666">
      <c r="A666" s="96" t="s">
        <v>53</v>
      </c>
      <c r="B666" s="52" t="s">
        <v>57</v>
      </c>
      <c r="C666" s="52" t="s">
        <v>616</v>
      </c>
      <c r="D666" s="52" t="s">
        <v>617</v>
      </c>
      <c r="E666" s="52"/>
      <c r="F666" s="52" t="s">
        <v>53</v>
      </c>
      <c r="G666" s="33" t="s">
        <v>53</v>
      </c>
      <c r="H666" s="56" t="s">
        <v>53</v>
      </c>
    </row>
    <row r="667">
      <c r="A667" s="10" t="s">
        <v>618</v>
      </c>
      <c r="B667" s="11" t="s">
        <v>57</v>
      </c>
      <c r="C667" s="11" t="s">
        <v>619</v>
      </c>
      <c r="D667" s="11" t="s">
        <v>620</v>
      </c>
      <c r="E667" s="11"/>
      <c r="F667" s="11" t="s">
        <v>314</v>
      </c>
      <c r="G667" s="57" t="n">
        <v>1.72235</v>
      </c>
      <c r="H667" s="97" t="n">
        <v>0</v>
      </c>
    </row>
    <row r="668">
      <c r="A668" s="10" t="s">
        <v>623</v>
      </c>
      <c r="B668" s="11" t="s">
        <v>57</v>
      </c>
      <c r="C668" s="11" t="s">
        <v>624</v>
      </c>
      <c r="D668" s="11" t="s">
        <v>625</v>
      </c>
      <c r="E668" s="11"/>
      <c r="F668" s="11" t="s">
        <v>314</v>
      </c>
      <c r="G668" s="57" t="n">
        <v>51.4228</v>
      </c>
      <c r="H668" s="97" t="n">
        <v>0</v>
      </c>
    </row>
    <row r="669">
      <c r="A669" s="10" t="s">
        <v>626</v>
      </c>
      <c r="B669" s="11" t="s">
        <v>57</v>
      </c>
      <c r="C669" s="11" t="s">
        <v>627</v>
      </c>
      <c r="D669" s="11" t="s">
        <v>628</v>
      </c>
      <c r="E669" s="11"/>
      <c r="F669" s="11" t="s">
        <v>314</v>
      </c>
      <c r="G669" s="57" t="n">
        <v>29.83177</v>
      </c>
      <c r="H669" s="97" t="n">
        <v>0</v>
      </c>
    </row>
    <row r="670">
      <c r="A670" s="10" t="s">
        <v>629</v>
      </c>
      <c r="B670" s="11" t="s">
        <v>57</v>
      </c>
      <c r="C670" s="11" t="s">
        <v>630</v>
      </c>
      <c r="D670" s="11" t="s">
        <v>631</v>
      </c>
      <c r="E670" s="11"/>
      <c r="F670" s="11" t="s">
        <v>314</v>
      </c>
      <c r="G670" s="57" t="n">
        <v>84.31076</v>
      </c>
      <c r="H670" s="97" t="n">
        <v>0</v>
      </c>
    </row>
    <row r="671">
      <c r="A671" s="10" t="s">
        <v>632</v>
      </c>
      <c r="B671" s="11" t="s">
        <v>57</v>
      </c>
      <c r="C671" s="11" t="s">
        <v>633</v>
      </c>
      <c r="D671" s="11" t="s">
        <v>634</v>
      </c>
      <c r="E671" s="11"/>
      <c r="F671" s="11" t="s">
        <v>314</v>
      </c>
      <c r="G671" s="57" t="n">
        <v>84.31076</v>
      </c>
      <c r="H671" s="97" t="n">
        <v>0</v>
      </c>
    </row>
    <row r="672">
      <c r="A672" s="10" t="s">
        <v>635</v>
      </c>
      <c r="B672" s="11" t="s">
        <v>57</v>
      </c>
      <c r="C672" s="11" t="s">
        <v>636</v>
      </c>
      <c r="D672" s="11" t="s">
        <v>637</v>
      </c>
      <c r="E672" s="11"/>
      <c r="F672" s="11" t="s">
        <v>314</v>
      </c>
      <c r="G672" s="57" t="n">
        <v>84.31076</v>
      </c>
      <c r="H672" s="97" t="n">
        <v>0</v>
      </c>
    </row>
    <row r="673">
      <c r="A673" s="10" t="s">
        <v>638</v>
      </c>
      <c r="B673" s="11" t="s">
        <v>57</v>
      </c>
      <c r="C673" s="11" t="s">
        <v>639</v>
      </c>
      <c r="D673" s="11" t="s">
        <v>640</v>
      </c>
      <c r="E673" s="11"/>
      <c r="F673" s="11" t="s">
        <v>314</v>
      </c>
      <c r="G673" s="57" t="n">
        <v>252.93228</v>
      </c>
      <c r="H673" s="97" t="n">
        <v>0</v>
      </c>
    </row>
    <row r="674">
      <c r="A674" s="62"/>
      <c r="D674" s="98" t="s">
        <v>1506</v>
      </c>
      <c r="E674" s="98" t="s">
        <v>53</v>
      </c>
      <c r="F674" s="98"/>
      <c r="G674" s="99" t="n">
        <v>252.93228</v>
      </c>
      <c r="H674" s="100"/>
    </row>
    <row r="675">
      <c r="A675" s="10" t="s">
        <v>641</v>
      </c>
      <c r="B675" s="11" t="s">
        <v>57</v>
      </c>
      <c r="C675" s="11" t="s">
        <v>642</v>
      </c>
      <c r="D675" s="11" t="s">
        <v>643</v>
      </c>
      <c r="E675" s="11"/>
      <c r="F675" s="11" t="s">
        <v>314</v>
      </c>
      <c r="G675" s="57" t="n">
        <v>84.31076</v>
      </c>
      <c r="H675" s="97" t="n">
        <v>0</v>
      </c>
    </row>
    <row r="676">
      <c r="A676" s="10" t="s">
        <v>644</v>
      </c>
      <c r="B676" s="11" t="s">
        <v>57</v>
      </c>
      <c r="C676" s="11" t="s">
        <v>645</v>
      </c>
      <c r="D676" s="11" t="s">
        <v>646</v>
      </c>
      <c r="E676" s="11"/>
      <c r="F676" s="11" t="s">
        <v>314</v>
      </c>
      <c r="G676" s="57" t="n">
        <v>843.1076</v>
      </c>
      <c r="H676" s="97" t="n">
        <v>0</v>
      </c>
    </row>
    <row r="677">
      <c r="A677" s="62"/>
      <c r="D677" s="98" t="s">
        <v>1507</v>
      </c>
      <c r="E677" s="98" t="s">
        <v>53</v>
      </c>
      <c r="F677" s="98"/>
      <c r="G677" s="99" t="n">
        <v>843.1076</v>
      </c>
      <c r="H677" s="100"/>
    </row>
    <row r="678">
      <c r="A678" s="96" t="s">
        <v>53</v>
      </c>
      <c r="B678" s="52" t="s">
        <v>650</v>
      </c>
      <c r="C678" s="52" t="s">
        <v>53</v>
      </c>
      <c r="D678" s="52" t="s">
        <v>647</v>
      </c>
      <c r="E678" s="52"/>
      <c r="F678" s="52" t="s">
        <v>53</v>
      </c>
      <c r="G678" s="33" t="s">
        <v>53</v>
      </c>
      <c r="H678" s="56" t="s">
        <v>53</v>
      </c>
    </row>
    <row r="679">
      <c r="A679" s="96" t="s">
        <v>53</v>
      </c>
      <c r="B679" s="52" t="s">
        <v>650</v>
      </c>
      <c r="C679" s="52" t="s">
        <v>648</v>
      </c>
      <c r="D679" s="52" t="s">
        <v>649</v>
      </c>
      <c r="E679" s="52"/>
      <c r="F679" s="52" t="s">
        <v>53</v>
      </c>
      <c r="G679" s="33" t="s">
        <v>53</v>
      </c>
      <c r="H679" s="56" t="s">
        <v>53</v>
      </c>
    </row>
    <row r="680">
      <c r="A680" s="10" t="s">
        <v>651</v>
      </c>
      <c r="B680" s="11" t="s">
        <v>650</v>
      </c>
      <c r="C680" s="11" t="s">
        <v>652</v>
      </c>
      <c r="D680" s="11" t="s">
        <v>653</v>
      </c>
      <c r="E680" s="11"/>
      <c r="F680" s="11" t="s">
        <v>61</v>
      </c>
      <c r="G680" s="57" t="n">
        <v>1016.76</v>
      </c>
      <c r="H680" s="97" t="n">
        <v>0</v>
      </c>
    </row>
    <row r="681">
      <c r="A681" s="62"/>
      <c r="D681" s="98" t="s">
        <v>1508</v>
      </c>
      <c r="E681" s="98" t="s">
        <v>1509</v>
      </c>
      <c r="F681" s="98"/>
      <c r="G681" s="99" t="n">
        <v>206.34</v>
      </c>
      <c r="H681" s="100"/>
    </row>
    <row r="682">
      <c r="A682" s="10" t="s">
        <v>53</v>
      </c>
      <c r="B682" s="11" t="s">
        <v>53</v>
      </c>
      <c r="C682" s="11" t="s">
        <v>53</v>
      </c>
      <c r="D682" s="98" t="s">
        <v>1510</v>
      </c>
      <c r="E682" s="98" t="s">
        <v>53</v>
      </c>
      <c r="F682" s="98"/>
      <c r="G682" s="99" t="n">
        <v>58.74</v>
      </c>
      <c r="H682" s="59" t="s">
        <v>53</v>
      </c>
    </row>
    <row r="683">
      <c r="A683" s="10" t="s">
        <v>53</v>
      </c>
      <c r="B683" s="11" t="s">
        <v>53</v>
      </c>
      <c r="C683" s="11" t="s">
        <v>53</v>
      </c>
      <c r="D683" s="98" t="s">
        <v>1511</v>
      </c>
      <c r="E683" s="98" t="s">
        <v>53</v>
      </c>
      <c r="F683" s="98"/>
      <c r="G683" s="99" t="n">
        <v>162.36</v>
      </c>
      <c r="H683" s="59" t="s">
        <v>53</v>
      </c>
    </row>
    <row r="684">
      <c r="A684" s="10" t="s">
        <v>53</v>
      </c>
      <c r="B684" s="11" t="s">
        <v>53</v>
      </c>
      <c r="C684" s="11" t="s">
        <v>53</v>
      </c>
      <c r="D684" s="98" t="s">
        <v>1512</v>
      </c>
      <c r="E684" s="98" t="s">
        <v>1513</v>
      </c>
      <c r="F684" s="98"/>
      <c r="G684" s="99" t="n">
        <v>277.2</v>
      </c>
      <c r="H684" s="59" t="s">
        <v>53</v>
      </c>
    </row>
    <row r="685">
      <c r="A685" s="10" t="s">
        <v>53</v>
      </c>
      <c r="B685" s="11" t="s">
        <v>53</v>
      </c>
      <c r="C685" s="11" t="s">
        <v>53</v>
      </c>
      <c r="D685" s="98" t="s">
        <v>1514</v>
      </c>
      <c r="E685" s="98" t="s">
        <v>53</v>
      </c>
      <c r="F685" s="98"/>
      <c r="G685" s="99" t="n">
        <v>23.76</v>
      </c>
      <c r="H685" s="59" t="s">
        <v>53</v>
      </c>
    </row>
    <row r="686">
      <c r="A686" s="10" t="s">
        <v>53</v>
      </c>
      <c r="B686" s="11" t="s">
        <v>53</v>
      </c>
      <c r="C686" s="11" t="s">
        <v>53</v>
      </c>
      <c r="D686" s="98" t="s">
        <v>1515</v>
      </c>
      <c r="E686" s="98" t="s">
        <v>1516</v>
      </c>
      <c r="F686" s="98"/>
      <c r="G686" s="99" t="n">
        <v>136.62</v>
      </c>
      <c r="H686" s="59" t="s">
        <v>53</v>
      </c>
    </row>
    <row r="687">
      <c r="A687" s="10" t="s">
        <v>53</v>
      </c>
      <c r="B687" s="11" t="s">
        <v>53</v>
      </c>
      <c r="C687" s="11" t="s">
        <v>53</v>
      </c>
      <c r="D687" s="98" t="s">
        <v>1517</v>
      </c>
      <c r="E687" s="98" t="s">
        <v>53</v>
      </c>
      <c r="F687" s="98"/>
      <c r="G687" s="99" t="n">
        <v>25.74</v>
      </c>
      <c r="H687" s="59" t="s">
        <v>53</v>
      </c>
    </row>
    <row r="688">
      <c r="A688" s="10" t="s">
        <v>53</v>
      </c>
      <c r="B688" s="11" t="s">
        <v>53</v>
      </c>
      <c r="C688" s="11" t="s">
        <v>53</v>
      </c>
      <c r="D688" s="98" t="s">
        <v>1518</v>
      </c>
      <c r="E688" s="98" t="s">
        <v>53</v>
      </c>
      <c r="F688" s="98"/>
      <c r="G688" s="99" t="n">
        <v>126</v>
      </c>
      <c r="H688" s="59" t="s">
        <v>53</v>
      </c>
    </row>
    <row r="689">
      <c r="A689" s="10" t="s">
        <v>657</v>
      </c>
      <c r="B689" s="11" t="s">
        <v>650</v>
      </c>
      <c r="C689" s="11" t="s">
        <v>658</v>
      </c>
      <c r="D689" s="11" t="s">
        <v>659</v>
      </c>
      <c r="E689" s="11"/>
      <c r="F689" s="11" t="s">
        <v>61</v>
      </c>
      <c r="G689" s="57" t="n">
        <v>2236.872</v>
      </c>
      <c r="H689" s="97" t="n">
        <v>0</v>
      </c>
    </row>
    <row r="690">
      <c r="A690" s="62"/>
      <c r="D690" s="98" t="s">
        <v>1519</v>
      </c>
      <c r="E690" s="98" t="s">
        <v>53</v>
      </c>
      <c r="F690" s="98"/>
      <c r="G690" s="99" t="n">
        <v>2033.52</v>
      </c>
      <c r="H690" s="100"/>
    </row>
    <row r="691">
      <c r="A691" s="10" t="s">
        <v>53</v>
      </c>
      <c r="B691" s="11" t="s">
        <v>53</v>
      </c>
      <c r="C691" s="11" t="s">
        <v>53</v>
      </c>
      <c r="D691" s="98" t="s">
        <v>1520</v>
      </c>
      <c r="E691" s="98" t="s">
        <v>53</v>
      </c>
      <c r="F691" s="98"/>
      <c r="G691" s="99" t="n">
        <v>203.352</v>
      </c>
      <c r="H691" s="59" t="s">
        <v>53</v>
      </c>
    </row>
    <row r="692">
      <c r="A692" s="10" t="s">
        <v>660</v>
      </c>
      <c r="B692" s="11" t="s">
        <v>650</v>
      </c>
      <c r="C692" s="11" t="s">
        <v>661</v>
      </c>
      <c r="D692" s="11" t="s">
        <v>662</v>
      </c>
      <c r="E692" s="11"/>
      <c r="F692" s="11" t="s">
        <v>61</v>
      </c>
      <c r="G692" s="57" t="n">
        <v>1016.76</v>
      </c>
      <c r="H692" s="97" t="n">
        <v>0</v>
      </c>
    </row>
    <row r="693">
      <c r="A693" s="62"/>
      <c r="D693" s="98" t="s">
        <v>1508</v>
      </c>
      <c r="E693" s="98" t="s">
        <v>1509</v>
      </c>
      <c r="F693" s="98"/>
      <c r="G693" s="99" t="n">
        <v>206.34</v>
      </c>
      <c r="H693" s="100"/>
    </row>
    <row r="694">
      <c r="A694" s="10" t="s">
        <v>53</v>
      </c>
      <c r="B694" s="11" t="s">
        <v>53</v>
      </c>
      <c r="C694" s="11" t="s">
        <v>53</v>
      </c>
      <c r="D694" s="98" t="s">
        <v>1510</v>
      </c>
      <c r="E694" s="98" t="s">
        <v>53</v>
      </c>
      <c r="F694" s="98"/>
      <c r="G694" s="99" t="n">
        <v>58.74</v>
      </c>
      <c r="H694" s="59" t="s">
        <v>53</v>
      </c>
    </row>
    <row r="695">
      <c r="A695" s="10" t="s">
        <v>53</v>
      </c>
      <c r="B695" s="11" t="s">
        <v>53</v>
      </c>
      <c r="C695" s="11" t="s">
        <v>53</v>
      </c>
      <c r="D695" s="98" t="s">
        <v>1511</v>
      </c>
      <c r="E695" s="98" t="s">
        <v>53</v>
      </c>
      <c r="F695" s="98"/>
      <c r="G695" s="99" t="n">
        <v>162.36</v>
      </c>
      <c r="H695" s="59" t="s">
        <v>53</v>
      </c>
    </row>
    <row r="696">
      <c r="A696" s="10" t="s">
        <v>53</v>
      </c>
      <c r="B696" s="11" t="s">
        <v>53</v>
      </c>
      <c r="C696" s="11" t="s">
        <v>53</v>
      </c>
      <c r="D696" s="98" t="s">
        <v>1512</v>
      </c>
      <c r="E696" s="98" t="s">
        <v>1513</v>
      </c>
      <c r="F696" s="98"/>
      <c r="G696" s="99" t="n">
        <v>277.2</v>
      </c>
      <c r="H696" s="59" t="s">
        <v>53</v>
      </c>
    </row>
    <row r="697">
      <c r="A697" s="10" t="s">
        <v>53</v>
      </c>
      <c r="B697" s="11" t="s">
        <v>53</v>
      </c>
      <c r="C697" s="11" t="s">
        <v>53</v>
      </c>
      <c r="D697" s="98" t="s">
        <v>1514</v>
      </c>
      <c r="E697" s="98" t="s">
        <v>53</v>
      </c>
      <c r="F697" s="98"/>
      <c r="G697" s="99" t="n">
        <v>23.76</v>
      </c>
      <c r="H697" s="59" t="s">
        <v>53</v>
      </c>
    </row>
    <row r="698">
      <c r="A698" s="10" t="s">
        <v>53</v>
      </c>
      <c r="B698" s="11" t="s">
        <v>53</v>
      </c>
      <c r="C698" s="11" t="s">
        <v>53</v>
      </c>
      <c r="D698" s="98" t="s">
        <v>1515</v>
      </c>
      <c r="E698" s="98" t="s">
        <v>1516</v>
      </c>
      <c r="F698" s="98"/>
      <c r="G698" s="99" t="n">
        <v>136.62</v>
      </c>
      <c r="H698" s="59" t="s">
        <v>53</v>
      </c>
    </row>
    <row r="699">
      <c r="A699" s="10" t="s">
        <v>53</v>
      </c>
      <c r="B699" s="11" t="s">
        <v>53</v>
      </c>
      <c r="C699" s="11" t="s">
        <v>53</v>
      </c>
      <c r="D699" s="98" t="s">
        <v>1517</v>
      </c>
      <c r="E699" s="98" t="s">
        <v>53</v>
      </c>
      <c r="F699" s="98"/>
      <c r="G699" s="99" t="n">
        <v>25.74</v>
      </c>
      <c r="H699" s="59" t="s">
        <v>53</v>
      </c>
    </row>
    <row r="700">
      <c r="A700" s="10" t="s">
        <v>53</v>
      </c>
      <c r="B700" s="11" t="s">
        <v>53</v>
      </c>
      <c r="C700" s="11" t="s">
        <v>53</v>
      </c>
      <c r="D700" s="98" t="s">
        <v>1518</v>
      </c>
      <c r="E700" s="98" t="s">
        <v>53</v>
      </c>
      <c r="F700" s="98"/>
      <c r="G700" s="99" t="n">
        <v>126</v>
      </c>
      <c r="H700" s="59" t="s">
        <v>53</v>
      </c>
    </row>
    <row r="701">
      <c r="A701" s="10" t="s">
        <v>663</v>
      </c>
      <c r="B701" s="11" t="s">
        <v>650</v>
      </c>
      <c r="C701" s="11" t="s">
        <v>664</v>
      </c>
      <c r="D701" s="11" t="s">
        <v>665</v>
      </c>
      <c r="E701" s="11"/>
      <c r="F701" s="11" t="s">
        <v>61</v>
      </c>
      <c r="G701" s="57" t="n">
        <v>1118.436</v>
      </c>
      <c r="H701" s="97" t="n">
        <v>0</v>
      </c>
    </row>
    <row r="702">
      <c r="A702" s="62"/>
      <c r="D702" s="98" t="s">
        <v>1521</v>
      </c>
      <c r="E702" s="98" t="s">
        <v>53</v>
      </c>
      <c r="F702" s="98"/>
      <c r="G702" s="99" t="n">
        <v>1016.76</v>
      </c>
      <c r="H702" s="100"/>
    </row>
    <row r="703">
      <c r="A703" s="10" t="s">
        <v>53</v>
      </c>
      <c r="B703" s="11" t="s">
        <v>53</v>
      </c>
      <c r="C703" s="11" t="s">
        <v>53</v>
      </c>
      <c r="D703" s="98" t="s">
        <v>1522</v>
      </c>
      <c r="E703" s="98" t="s">
        <v>53</v>
      </c>
      <c r="F703" s="98"/>
      <c r="G703" s="99" t="n">
        <v>101.676</v>
      </c>
      <c r="H703" s="59" t="s">
        <v>53</v>
      </c>
    </row>
    <row r="704">
      <c r="A704" s="10" t="s">
        <v>666</v>
      </c>
      <c r="B704" s="11" t="s">
        <v>650</v>
      </c>
      <c r="C704" s="11" t="s">
        <v>667</v>
      </c>
      <c r="D704" s="11" t="s">
        <v>668</v>
      </c>
      <c r="E704" s="11"/>
      <c r="F704" s="11" t="s">
        <v>314</v>
      </c>
      <c r="G704" s="57" t="n">
        <v>3.73558</v>
      </c>
      <c r="H704" s="97" t="n">
        <v>0</v>
      </c>
    </row>
    <row r="705">
      <c r="A705" s="96" t="s">
        <v>53</v>
      </c>
      <c r="B705" s="52" t="s">
        <v>650</v>
      </c>
      <c r="C705" s="52" t="s">
        <v>669</v>
      </c>
      <c r="D705" s="52" t="s">
        <v>670</v>
      </c>
      <c r="E705" s="52"/>
      <c r="F705" s="52" t="s">
        <v>53</v>
      </c>
      <c r="G705" s="33" t="s">
        <v>53</v>
      </c>
      <c r="H705" s="56" t="s">
        <v>53</v>
      </c>
    </row>
    <row r="706">
      <c r="A706" s="10" t="s">
        <v>671</v>
      </c>
      <c r="B706" s="11" t="s">
        <v>650</v>
      </c>
      <c r="C706" s="11" t="s">
        <v>672</v>
      </c>
      <c r="D706" s="11" t="s">
        <v>673</v>
      </c>
      <c r="E706" s="11"/>
      <c r="F706" s="11" t="s">
        <v>61</v>
      </c>
      <c r="G706" s="57" t="n">
        <v>109.5</v>
      </c>
      <c r="H706" s="97" t="n">
        <v>0</v>
      </c>
    </row>
    <row r="707">
      <c r="A707" s="62"/>
      <c r="D707" s="98" t="s">
        <v>1523</v>
      </c>
      <c r="E707" s="98" t="s">
        <v>1524</v>
      </c>
      <c r="F707" s="98"/>
      <c r="G707" s="99" t="n">
        <v>21.4375</v>
      </c>
      <c r="H707" s="100"/>
    </row>
    <row r="708">
      <c r="A708" s="10" t="s">
        <v>53</v>
      </c>
      <c r="B708" s="11" t="s">
        <v>53</v>
      </c>
      <c r="C708" s="11" t="s">
        <v>53</v>
      </c>
      <c r="D708" s="98" t="s">
        <v>1525</v>
      </c>
      <c r="E708" s="98" t="s">
        <v>53</v>
      </c>
      <c r="F708" s="98"/>
      <c r="G708" s="99" t="n">
        <v>16.9375</v>
      </c>
      <c r="H708" s="59" t="s">
        <v>53</v>
      </c>
    </row>
    <row r="709">
      <c r="A709" s="10" t="s">
        <v>53</v>
      </c>
      <c r="B709" s="11" t="s">
        <v>53</v>
      </c>
      <c r="C709" s="11" t="s">
        <v>53</v>
      </c>
      <c r="D709" s="98" t="s">
        <v>1526</v>
      </c>
      <c r="E709" s="98" t="s">
        <v>53</v>
      </c>
      <c r="F709" s="98"/>
      <c r="G709" s="99" t="n">
        <v>8.625</v>
      </c>
      <c r="H709" s="59" t="s">
        <v>53</v>
      </c>
    </row>
    <row r="710">
      <c r="A710" s="10" t="s">
        <v>53</v>
      </c>
      <c r="B710" s="11" t="s">
        <v>53</v>
      </c>
      <c r="C710" s="11" t="s">
        <v>53</v>
      </c>
      <c r="D710" s="98" t="s">
        <v>1527</v>
      </c>
      <c r="E710" s="98" t="s">
        <v>1528</v>
      </c>
      <c r="F710" s="98"/>
      <c r="G710" s="99" t="n">
        <v>24.25</v>
      </c>
      <c r="H710" s="59" t="s">
        <v>53</v>
      </c>
    </row>
    <row r="711">
      <c r="A711" s="10" t="s">
        <v>53</v>
      </c>
      <c r="B711" s="11" t="s">
        <v>53</v>
      </c>
      <c r="C711" s="11" t="s">
        <v>53</v>
      </c>
      <c r="D711" s="98" t="s">
        <v>1529</v>
      </c>
      <c r="E711" s="98" t="s">
        <v>53</v>
      </c>
      <c r="F711" s="98"/>
      <c r="G711" s="99" t="n">
        <v>8</v>
      </c>
      <c r="H711" s="59" t="s">
        <v>53</v>
      </c>
    </row>
    <row r="712">
      <c r="A712" s="10" t="s">
        <v>53</v>
      </c>
      <c r="B712" s="11" t="s">
        <v>53</v>
      </c>
      <c r="C712" s="11" t="s">
        <v>53</v>
      </c>
      <c r="D712" s="98" t="s">
        <v>1530</v>
      </c>
      <c r="E712" s="98" t="s">
        <v>1531</v>
      </c>
      <c r="F712" s="98"/>
      <c r="G712" s="99" t="n">
        <v>19.6875</v>
      </c>
      <c r="H712" s="59" t="s">
        <v>53</v>
      </c>
    </row>
    <row r="713">
      <c r="A713" s="10" t="s">
        <v>53</v>
      </c>
      <c r="B713" s="11" t="s">
        <v>53</v>
      </c>
      <c r="C713" s="11" t="s">
        <v>53</v>
      </c>
      <c r="D713" s="98" t="s">
        <v>1532</v>
      </c>
      <c r="E713" s="98" t="s">
        <v>53</v>
      </c>
      <c r="F713" s="98"/>
      <c r="G713" s="99" t="n">
        <v>10.5625</v>
      </c>
      <c r="H713" s="59" t="s">
        <v>53</v>
      </c>
    </row>
    <row r="714">
      <c r="A714" s="10" t="s">
        <v>677</v>
      </c>
      <c r="B714" s="11" t="s">
        <v>650</v>
      </c>
      <c r="C714" s="11" t="s">
        <v>678</v>
      </c>
      <c r="D714" s="11" t="s">
        <v>679</v>
      </c>
      <c r="E714" s="11"/>
      <c r="F714" s="11" t="s">
        <v>126</v>
      </c>
      <c r="G714" s="57" t="n">
        <v>133.65</v>
      </c>
      <c r="H714" s="97" t="n">
        <v>0</v>
      </c>
    </row>
    <row r="715">
      <c r="A715" s="62"/>
      <c r="D715" s="98" t="s">
        <v>1533</v>
      </c>
      <c r="E715" s="98" t="s">
        <v>1524</v>
      </c>
      <c r="F715" s="98"/>
      <c r="G715" s="99" t="n">
        <v>25.725</v>
      </c>
      <c r="H715" s="100"/>
    </row>
    <row r="716">
      <c r="A716" s="10" t="s">
        <v>53</v>
      </c>
      <c r="B716" s="11" t="s">
        <v>53</v>
      </c>
      <c r="C716" s="11" t="s">
        <v>53</v>
      </c>
      <c r="D716" s="98" t="s">
        <v>1534</v>
      </c>
      <c r="E716" s="98" t="s">
        <v>53</v>
      </c>
      <c r="F716" s="98"/>
      <c r="G716" s="99" t="n">
        <v>20.325</v>
      </c>
      <c r="H716" s="59" t="s">
        <v>53</v>
      </c>
    </row>
    <row r="717">
      <c r="A717" s="10" t="s">
        <v>53</v>
      </c>
      <c r="B717" s="11" t="s">
        <v>53</v>
      </c>
      <c r="C717" s="11" t="s">
        <v>53</v>
      </c>
      <c r="D717" s="98" t="s">
        <v>1535</v>
      </c>
      <c r="E717" s="98" t="s">
        <v>53</v>
      </c>
      <c r="F717" s="98"/>
      <c r="G717" s="99" t="n">
        <v>10.35</v>
      </c>
      <c r="H717" s="59" t="s">
        <v>53</v>
      </c>
    </row>
    <row r="718">
      <c r="A718" s="10" t="s">
        <v>53</v>
      </c>
      <c r="B718" s="11" t="s">
        <v>53</v>
      </c>
      <c r="C718" s="11" t="s">
        <v>53</v>
      </c>
      <c r="D718" s="98" t="s">
        <v>1536</v>
      </c>
      <c r="E718" s="98" t="s">
        <v>1528</v>
      </c>
      <c r="F718" s="98"/>
      <c r="G718" s="99" t="n">
        <v>29.1</v>
      </c>
      <c r="H718" s="59" t="s">
        <v>53</v>
      </c>
    </row>
    <row r="719">
      <c r="A719" s="10" t="s">
        <v>53</v>
      </c>
      <c r="B719" s="11" t="s">
        <v>53</v>
      </c>
      <c r="C719" s="11" t="s">
        <v>53</v>
      </c>
      <c r="D719" s="98" t="s">
        <v>1537</v>
      </c>
      <c r="E719" s="98" t="s">
        <v>53</v>
      </c>
      <c r="F719" s="98"/>
      <c r="G719" s="99" t="n">
        <v>9.6</v>
      </c>
      <c r="H719" s="59" t="s">
        <v>53</v>
      </c>
    </row>
    <row r="720">
      <c r="A720" s="10" t="s">
        <v>53</v>
      </c>
      <c r="B720" s="11" t="s">
        <v>53</v>
      </c>
      <c r="C720" s="11" t="s">
        <v>53</v>
      </c>
      <c r="D720" s="98" t="s">
        <v>1538</v>
      </c>
      <c r="E720" s="98" t="s">
        <v>1531</v>
      </c>
      <c r="F720" s="98"/>
      <c r="G720" s="99" t="n">
        <v>23.625</v>
      </c>
      <c r="H720" s="59" t="s">
        <v>53</v>
      </c>
    </row>
    <row r="721">
      <c r="A721" s="10" t="s">
        <v>53</v>
      </c>
      <c r="B721" s="11" t="s">
        <v>53</v>
      </c>
      <c r="C721" s="11" t="s">
        <v>53</v>
      </c>
      <c r="D721" s="98" t="s">
        <v>1539</v>
      </c>
      <c r="E721" s="98" t="s">
        <v>53</v>
      </c>
      <c r="F721" s="98"/>
      <c r="G721" s="99" t="n">
        <v>12.675</v>
      </c>
      <c r="H721" s="59" t="s">
        <v>53</v>
      </c>
    </row>
    <row r="722">
      <c r="A722" s="10" t="s">
        <v>53</v>
      </c>
      <c r="B722" s="11" t="s">
        <v>53</v>
      </c>
      <c r="C722" s="11" t="s">
        <v>53</v>
      </c>
      <c r="D722" s="98" t="s">
        <v>1540</v>
      </c>
      <c r="E722" s="98" t="s">
        <v>1541</v>
      </c>
      <c r="F722" s="98"/>
      <c r="G722" s="99" t="n">
        <v>2.25</v>
      </c>
      <c r="H722" s="59" t="s">
        <v>53</v>
      </c>
    </row>
    <row r="723">
      <c r="A723" s="10" t="s">
        <v>680</v>
      </c>
      <c r="B723" s="11" t="s">
        <v>650</v>
      </c>
      <c r="C723" s="11" t="s">
        <v>681</v>
      </c>
      <c r="D723" s="11" t="s">
        <v>682</v>
      </c>
      <c r="E723" s="11"/>
      <c r="F723" s="11" t="s">
        <v>61</v>
      </c>
      <c r="G723" s="57" t="n">
        <v>133.65</v>
      </c>
      <c r="H723" s="97" t="n">
        <v>0</v>
      </c>
    </row>
    <row r="724">
      <c r="A724" s="62"/>
      <c r="D724" s="98" t="s">
        <v>1533</v>
      </c>
      <c r="E724" s="98" t="s">
        <v>1524</v>
      </c>
      <c r="F724" s="98"/>
      <c r="G724" s="99" t="n">
        <v>25.725</v>
      </c>
      <c r="H724" s="100"/>
    </row>
    <row r="725">
      <c r="A725" s="10" t="s">
        <v>53</v>
      </c>
      <c r="B725" s="11" t="s">
        <v>53</v>
      </c>
      <c r="C725" s="11" t="s">
        <v>53</v>
      </c>
      <c r="D725" s="98" t="s">
        <v>1534</v>
      </c>
      <c r="E725" s="98" t="s">
        <v>53</v>
      </c>
      <c r="F725" s="98"/>
      <c r="G725" s="99" t="n">
        <v>20.325</v>
      </c>
      <c r="H725" s="59" t="s">
        <v>53</v>
      </c>
    </row>
    <row r="726">
      <c r="A726" s="10" t="s">
        <v>53</v>
      </c>
      <c r="B726" s="11" t="s">
        <v>53</v>
      </c>
      <c r="C726" s="11" t="s">
        <v>53</v>
      </c>
      <c r="D726" s="98" t="s">
        <v>1535</v>
      </c>
      <c r="E726" s="98" t="s">
        <v>53</v>
      </c>
      <c r="F726" s="98"/>
      <c r="G726" s="99" t="n">
        <v>10.35</v>
      </c>
      <c r="H726" s="59" t="s">
        <v>53</v>
      </c>
    </row>
    <row r="727">
      <c r="A727" s="10" t="s">
        <v>53</v>
      </c>
      <c r="B727" s="11" t="s">
        <v>53</v>
      </c>
      <c r="C727" s="11" t="s">
        <v>53</v>
      </c>
      <c r="D727" s="98" t="s">
        <v>1536</v>
      </c>
      <c r="E727" s="98" t="s">
        <v>1528</v>
      </c>
      <c r="F727" s="98"/>
      <c r="G727" s="99" t="n">
        <v>29.1</v>
      </c>
      <c r="H727" s="59" t="s">
        <v>53</v>
      </c>
    </row>
    <row r="728">
      <c r="A728" s="10" t="s">
        <v>53</v>
      </c>
      <c r="B728" s="11" t="s">
        <v>53</v>
      </c>
      <c r="C728" s="11" t="s">
        <v>53</v>
      </c>
      <c r="D728" s="98" t="s">
        <v>1537</v>
      </c>
      <c r="E728" s="98" t="s">
        <v>53</v>
      </c>
      <c r="F728" s="98"/>
      <c r="G728" s="99" t="n">
        <v>9.6</v>
      </c>
      <c r="H728" s="59" t="s">
        <v>53</v>
      </c>
    </row>
    <row r="729">
      <c r="A729" s="10" t="s">
        <v>53</v>
      </c>
      <c r="B729" s="11" t="s">
        <v>53</v>
      </c>
      <c r="C729" s="11" t="s">
        <v>53</v>
      </c>
      <c r="D729" s="98" t="s">
        <v>1538</v>
      </c>
      <c r="E729" s="98" t="s">
        <v>1531</v>
      </c>
      <c r="F729" s="98"/>
      <c r="G729" s="99" t="n">
        <v>23.625</v>
      </c>
      <c r="H729" s="59" t="s">
        <v>53</v>
      </c>
    </row>
    <row r="730">
      <c r="A730" s="10" t="s">
        <v>53</v>
      </c>
      <c r="B730" s="11" t="s">
        <v>53</v>
      </c>
      <c r="C730" s="11" t="s">
        <v>53</v>
      </c>
      <c r="D730" s="98" t="s">
        <v>1539</v>
      </c>
      <c r="E730" s="98" t="s">
        <v>53</v>
      </c>
      <c r="F730" s="98"/>
      <c r="G730" s="99" t="n">
        <v>12.675</v>
      </c>
      <c r="H730" s="59" t="s">
        <v>53</v>
      </c>
    </row>
    <row r="731">
      <c r="A731" s="10" t="s">
        <v>53</v>
      </c>
      <c r="B731" s="11" t="s">
        <v>53</v>
      </c>
      <c r="C731" s="11" t="s">
        <v>53</v>
      </c>
      <c r="D731" s="98" t="s">
        <v>1540</v>
      </c>
      <c r="E731" s="98" t="s">
        <v>1541</v>
      </c>
      <c r="F731" s="98"/>
      <c r="G731" s="99" t="n">
        <v>2.25</v>
      </c>
      <c r="H731" s="59" t="s">
        <v>53</v>
      </c>
    </row>
    <row r="732">
      <c r="A732" s="10" t="s">
        <v>683</v>
      </c>
      <c r="B732" s="11" t="s">
        <v>650</v>
      </c>
      <c r="C732" s="11" t="s">
        <v>684</v>
      </c>
      <c r="D732" s="11" t="s">
        <v>685</v>
      </c>
      <c r="E732" s="11"/>
      <c r="F732" s="11" t="s">
        <v>314</v>
      </c>
      <c r="G732" s="57" t="n">
        <v>0.12478</v>
      </c>
      <c r="H732" s="97" t="n">
        <v>0</v>
      </c>
    </row>
    <row r="733">
      <c r="A733" s="96" t="s">
        <v>53</v>
      </c>
      <c r="B733" s="52" t="s">
        <v>650</v>
      </c>
      <c r="C733" s="52" t="s">
        <v>373</v>
      </c>
      <c r="D733" s="52" t="s">
        <v>535</v>
      </c>
      <c r="E733" s="52"/>
      <c r="F733" s="52" t="s">
        <v>53</v>
      </c>
      <c r="G733" s="33" t="s">
        <v>53</v>
      </c>
      <c r="H733" s="56" t="s">
        <v>53</v>
      </c>
    </row>
    <row r="734">
      <c r="A734" s="10" t="s">
        <v>686</v>
      </c>
      <c r="B734" s="11" t="s">
        <v>650</v>
      </c>
      <c r="C734" s="11" t="s">
        <v>687</v>
      </c>
      <c r="D734" s="11" t="s">
        <v>688</v>
      </c>
      <c r="E734" s="11"/>
      <c r="F734" s="11" t="s">
        <v>61</v>
      </c>
      <c r="G734" s="57" t="n">
        <v>1016.76</v>
      </c>
      <c r="H734" s="97" t="n">
        <v>0</v>
      </c>
    </row>
    <row r="735">
      <c r="A735" s="62"/>
      <c r="D735" s="98" t="s">
        <v>1508</v>
      </c>
      <c r="E735" s="98" t="s">
        <v>1509</v>
      </c>
      <c r="F735" s="98"/>
      <c r="G735" s="99" t="n">
        <v>206.34</v>
      </c>
      <c r="H735" s="100"/>
    </row>
    <row r="736">
      <c r="A736" s="10" t="s">
        <v>53</v>
      </c>
      <c r="B736" s="11" t="s">
        <v>53</v>
      </c>
      <c r="C736" s="11" t="s">
        <v>53</v>
      </c>
      <c r="D736" s="98" t="s">
        <v>1510</v>
      </c>
      <c r="E736" s="98" t="s">
        <v>53</v>
      </c>
      <c r="F736" s="98"/>
      <c r="G736" s="99" t="n">
        <v>58.74</v>
      </c>
      <c r="H736" s="59" t="s">
        <v>53</v>
      </c>
    </row>
    <row r="737">
      <c r="A737" s="10" t="s">
        <v>53</v>
      </c>
      <c r="B737" s="11" t="s">
        <v>53</v>
      </c>
      <c r="C737" s="11" t="s">
        <v>53</v>
      </c>
      <c r="D737" s="98" t="s">
        <v>1511</v>
      </c>
      <c r="E737" s="98" t="s">
        <v>53</v>
      </c>
      <c r="F737" s="98"/>
      <c r="G737" s="99" t="n">
        <v>162.36</v>
      </c>
      <c r="H737" s="59" t="s">
        <v>53</v>
      </c>
    </row>
    <row r="738">
      <c r="A738" s="10" t="s">
        <v>53</v>
      </c>
      <c r="B738" s="11" t="s">
        <v>53</v>
      </c>
      <c r="C738" s="11" t="s">
        <v>53</v>
      </c>
      <c r="D738" s="98" t="s">
        <v>1512</v>
      </c>
      <c r="E738" s="98" t="s">
        <v>1513</v>
      </c>
      <c r="F738" s="98"/>
      <c r="G738" s="99" t="n">
        <v>277.2</v>
      </c>
      <c r="H738" s="59" t="s">
        <v>53</v>
      </c>
    </row>
    <row r="739">
      <c r="A739" s="10" t="s">
        <v>53</v>
      </c>
      <c r="B739" s="11" t="s">
        <v>53</v>
      </c>
      <c r="C739" s="11" t="s">
        <v>53</v>
      </c>
      <c r="D739" s="98" t="s">
        <v>1514</v>
      </c>
      <c r="E739" s="98" t="s">
        <v>53</v>
      </c>
      <c r="F739" s="98"/>
      <c r="G739" s="99" t="n">
        <v>23.76</v>
      </c>
      <c r="H739" s="59" t="s">
        <v>53</v>
      </c>
    </row>
    <row r="740">
      <c r="A740" s="10" t="s">
        <v>53</v>
      </c>
      <c r="B740" s="11" t="s">
        <v>53</v>
      </c>
      <c r="C740" s="11" t="s">
        <v>53</v>
      </c>
      <c r="D740" s="98" t="s">
        <v>1515</v>
      </c>
      <c r="E740" s="98" t="s">
        <v>1516</v>
      </c>
      <c r="F740" s="98"/>
      <c r="G740" s="99" t="n">
        <v>136.62</v>
      </c>
      <c r="H740" s="59" t="s">
        <v>53</v>
      </c>
    </row>
    <row r="741">
      <c r="A741" s="10" t="s">
        <v>53</v>
      </c>
      <c r="B741" s="11" t="s">
        <v>53</v>
      </c>
      <c r="C741" s="11" t="s">
        <v>53</v>
      </c>
      <c r="D741" s="98" t="s">
        <v>1517</v>
      </c>
      <c r="E741" s="98" t="s">
        <v>53</v>
      </c>
      <c r="F741" s="98"/>
      <c r="G741" s="99" t="n">
        <v>25.74</v>
      </c>
      <c r="H741" s="59" t="s">
        <v>53</v>
      </c>
    </row>
    <row r="742">
      <c r="A742" s="10" t="s">
        <v>53</v>
      </c>
      <c r="B742" s="11" t="s">
        <v>53</v>
      </c>
      <c r="C742" s="11" t="s">
        <v>53</v>
      </c>
      <c r="D742" s="98" t="s">
        <v>1518</v>
      </c>
      <c r="E742" s="98" t="s">
        <v>53</v>
      </c>
      <c r="F742" s="98"/>
      <c r="G742" s="99" t="n">
        <v>126</v>
      </c>
      <c r="H742" s="59" t="s">
        <v>53</v>
      </c>
    </row>
    <row r="743">
      <c r="A743" s="96" t="s">
        <v>53</v>
      </c>
      <c r="B743" s="52" t="s">
        <v>650</v>
      </c>
      <c r="C743" s="52" t="s">
        <v>377</v>
      </c>
      <c r="D743" s="52" t="s">
        <v>569</v>
      </c>
      <c r="E743" s="52"/>
      <c r="F743" s="52" t="s">
        <v>53</v>
      </c>
      <c r="G743" s="33" t="s">
        <v>53</v>
      </c>
      <c r="H743" s="56" t="s">
        <v>53</v>
      </c>
    </row>
    <row r="744">
      <c r="A744" s="10" t="s">
        <v>690</v>
      </c>
      <c r="B744" s="11" t="s">
        <v>650</v>
      </c>
      <c r="C744" s="11" t="s">
        <v>691</v>
      </c>
      <c r="D744" s="11" t="s">
        <v>692</v>
      </c>
      <c r="E744" s="11"/>
      <c r="F744" s="11" t="s">
        <v>84</v>
      </c>
      <c r="G744" s="57" t="n">
        <v>3</v>
      </c>
      <c r="H744" s="97" t="n">
        <v>0</v>
      </c>
    </row>
    <row r="745">
      <c r="A745" s="62"/>
      <c r="D745" s="98" t="s">
        <v>1542</v>
      </c>
      <c r="E745" s="98" t="s">
        <v>1543</v>
      </c>
      <c r="F745" s="98"/>
      <c r="G745" s="99" t="n">
        <v>3</v>
      </c>
      <c r="H745" s="100"/>
    </row>
    <row r="746">
      <c r="A746" s="96" t="s">
        <v>53</v>
      </c>
      <c r="B746" s="52" t="s">
        <v>650</v>
      </c>
      <c r="C746" s="52" t="s">
        <v>616</v>
      </c>
      <c r="D746" s="52" t="s">
        <v>617</v>
      </c>
      <c r="E746" s="52"/>
      <c r="F746" s="52" t="s">
        <v>53</v>
      </c>
      <c r="G746" s="33" t="s">
        <v>53</v>
      </c>
      <c r="H746" s="56" t="s">
        <v>53</v>
      </c>
    </row>
    <row r="747">
      <c r="A747" s="10" t="s">
        <v>694</v>
      </c>
      <c r="B747" s="11" t="s">
        <v>650</v>
      </c>
      <c r="C747" s="11" t="s">
        <v>642</v>
      </c>
      <c r="D747" s="11" t="s">
        <v>643</v>
      </c>
      <c r="E747" s="11"/>
      <c r="F747" s="11" t="s">
        <v>314</v>
      </c>
      <c r="G747" s="57" t="n">
        <v>5.4</v>
      </c>
      <c r="H747" s="97" t="n">
        <v>0</v>
      </c>
    </row>
    <row r="748">
      <c r="A748" s="62"/>
      <c r="D748" s="98" t="s">
        <v>1544</v>
      </c>
      <c r="E748" s="98" t="s">
        <v>53</v>
      </c>
      <c r="F748" s="98"/>
      <c r="G748" s="99" t="n">
        <v>5.4</v>
      </c>
      <c r="H748" s="100"/>
    </row>
    <row r="749">
      <c r="A749" s="10" t="s">
        <v>696</v>
      </c>
      <c r="B749" s="11" t="s">
        <v>650</v>
      </c>
      <c r="C749" s="11" t="s">
        <v>645</v>
      </c>
      <c r="D749" s="11" t="s">
        <v>646</v>
      </c>
      <c r="E749" s="11"/>
      <c r="F749" s="11" t="s">
        <v>314</v>
      </c>
      <c r="G749" s="57" t="n">
        <v>54</v>
      </c>
      <c r="H749" s="97" t="n">
        <v>0</v>
      </c>
    </row>
    <row r="750">
      <c r="A750" s="62"/>
      <c r="D750" s="98" t="s">
        <v>1545</v>
      </c>
      <c r="E750" s="98" t="s">
        <v>53</v>
      </c>
      <c r="F750" s="98"/>
      <c r="G750" s="99" t="n">
        <v>54</v>
      </c>
      <c r="H750" s="100"/>
    </row>
    <row r="751">
      <c r="A751" s="10" t="s">
        <v>697</v>
      </c>
      <c r="B751" s="11" t="s">
        <v>650</v>
      </c>
      <c r="C751" s="11" t="s">
        <v>698</v>
      </c>
      <c r="D751" s="11" t="s">
        <v>699</v>
      </c>
      <c r="E751" s="11"/>
      <c r="F751" s="11" t="s">
        <v>314</v>
      </c>
      <c r="G751" s="57" t="n">
        <v>5.4</v>
      </c>
      <c r="H751" s="97" t="n">
        <v>0</v>
      </c>
    </row>
    <row r="752">
      <c r="A752" s="62"/>
      <c r="D752" s="98" t="s">
        <v>1544</v>
      </c>
      <c r="E752" s="98" t="s">
        <v>53</v>
      </c>
      <c r="F752" s="98"/>
      <c r="G752" s="99" t="n">
        <v>5.4</v>
      </c>
      <c r="H752" s="100"/>
    </row>
    <row r="753">
      <c r="A753" s="10" t="s">
        <v>700</v>
      </c>
      <c r="B753" s="11" t="s">
        <v>650</v>
      </c>
      <c r="C753" s="11" t="s">
        <v>701</v>
      </c>
      <c r="D753" s="11" t="s">
        <v>702</v>
      </c>
      <c r="E753" s="11"/>
      <c r="F753" s="11" t="s">
        <v>314</v>
      </c>
      <c r="G753" s="57" t="n">
        <v>32.4</v>
      </c>
      <c r="H753" s="97" t="n">
        <v>0</v>
      </c>
    </row>
    <row r="754">
      <c r="A754" s="62"/>
      <c r="D754" s="98" t="s">
        <v>1546</v>
      </c>
      <c r="E754" s="98" t="s">
        <v>53</v>
      </c>
      <c r="F754" s="98"/>
      <c r="G754" s="99" t="n">
        <v>32.4</v>
      </c>
      <c r="H754" s="100"/>
    </row>
    <row r="755">
      <c r="A755" s="10" t="s">
        <v>703</v>
      </c>
      <c r="B755" s="11" t="s">
        <v>650</v>
      </c>
      <c r="C755" s="11" t="s">
        <v>704</v>
      </c>
      <c r="D755" s="11" t="s">
        <v>705</v>
      </c>
      <c r="E755" s="11"/>
      <c r="F755" s="11" t="s">
        <v>314</v>
      </c>
      <c r="G755" s="57" t="n">
        <v>5.4</v>
      </c>
      <c r="H755" s="97" t="n">
        <v>0</v>
      </c>
    </row>
    <row r="756">
      <c r="A756" s="96" t="s">
        <v>53</v>
      </c>
      <c r="B756" s="52" t="s">
        <v>707</v>
      </c>
      <c r="C756" s="52" t="s">
        <v>53</v>
      </c>
      <c r="D756" s="52" t="s">
        <v>706</v>
      </c>
      <c r="E756" s="52"/>
      <c r="F756" s="52" t="s">
        <v>53</v>
      </c>
      <c r="G756" s="33" t="s">
        <v>53</v>
      </c>
      <c r="H756" s="56" t="s">
        <v>53</v>
      </c>
    </row>
    <row r="757">
      <c r="A757" s="96" t="s">
        <v>53</v>
      </c>
      <c r="B757" s="52" t="s">
        <v>707</v>
      </c>
      <c r="C757" s="52" t="s">
        <v>161</v>
      </c>
      <c r="D757" s="52" t="s">
        <v>162</v>
      </c>
      <c r="E757" s="52"/>
      <c r="F757" s="52" t="s">
        <v>53</v>
      </c>
      <c r="G757" s="33" t="s">
        <v>53</v>
      </c>
      <c r="H757" s="56" t="s">
        <v>53</v>
      </c>
    </row>
    <row r="758">
      <c r="A758" s="10" t="s">
        <v>708</v>
      </c>
      <c r="B758" s="11" t="s">
        <v>707</v>
      </c>
      <c r="C758" s="11" t="s">
        <v>138</v>
      </c>
      <c r="D758" s="11" t="s">
        <v>709</v>
      </c>
      <c r="E758" s="11"/>
      <c r="F758" s="11" t="s">
        <v>61</v>
      </c>
      <c r="G758" s="57" t="n">
        <v>267.6612</v>
      </c>
      <c r="H758" s="97" t="n">
        <v>0</v>
      </c>
    </row>
    <row r="759">
      <c r="A759" s="62"/>
      <c r="D759" s="98" t="s">
        <v>1547</v>
      </c>
      <c r="E759" s="98" t="s">
        <v>1548</v>
      </c>
      <c r="F759" s="98"/>
      <c r="G759" s="99" t="n">
        <v>3.388</v>
      </c>
      <c r="H759" s="100"/>
    </row>
    <row r="760">
      <c r="A760" s="10" t="s">
        <v>53</v>
      </c>
      <c r="B760" s="11" t="s">
        <v>53</v>
      </c>
      <c r="C760" s="11" t="s">
        <v>53</v>
      </c>
      <c r="D760" s="98" t="s">
        <v>1549</v>
      </c>
      <c r="E760" s="98" t="s">
        <v>1550</v>
      </c>
      <c r="F760" s="98"/>
      <c r="G760" s="99" t="n">
        <v>4.433</v>
      </c>
      <c r="H760" s="59" t="s">
        <v>53</v>
      </c>
    </row>
    <row r="761">
      <c r="A761" s="10" t="s">
        <v>53</v>
      </c>
      <c r="B761" s="11" t="s">
        <v>53</v>
      </c>
      <c r="C761" s="11" t="s">
        <v>53</v>
      </c>
      <c r="D761" s="98" t="s">
        <v>1551</v>
      </c>
      <c r="E761" s="98" t="s">
        <v>1552</v>
      </c>
      <c r="F761" s="98"/>
      <c r="G761" s="99" t="n">
        <v>2.622</v>
      </c>
      <c r="H761" s="59" t="s">
        <v>53</v>
      </c>
    </row>
    <row r="762">
      <c r="A762" s="10" t="s">
        <v>53</v>
      </c>
      <c r="B762" s="11" t="s">
        <v>53</v>
      </c>
      <c r="C762" s="11" t="s">
        <v>53</v>
      </c>
      <c r="D762" s="98" t="s">
        <v>1553</v>
      </c>
      <c r="E762" s="98" t="s">
        <v>1552</v>
      </c>
      <c r="F762" s="98"/>
      <c r="G762" s="99" t="n">
        <v>12.328</v>
      </c>
      <c r="H762" s="59" t="s">
        <v>53</v>
      </c>
    </row>
    <row r="763">
      <c r="A763" s="10" t="s">
        <v>53</v>
      </c>
      <c r="B763" s="11" t="s">
        <v>53</v>
      </c>
      <c r="C763" s="11" t="s">
        <v>53</v>
      </c>
      <c r="D763" s="98" t="s">
        <v>1554</v>
      </c>
      <c r="E763" s="98" t="s">
        <v>1555</v>
      </c>
      <c r="F763" s="98"/>
      <c r="G763" s="99" t="n">
        <v>9.28</v>
      </c>
      <c r="H763" s="59" t="s">
        <v>53</v>
      </c>
    </row>
    <row r="764">
      <c r="A764" s="10" t="s">
        <v>53</v>
      </c>
      <c r="B764" s="11" t="s">
        <v>53</v>
      </c>
      <c r="C764" s="11" t="s">
        <v>53</v>
      </c>
      <c r="D764" s="98" t="s">
        <v>1556</v>
      </c>
      <c r="E764" s="98" t="s">
        <v>1557</v>
      </c>
      <c r="F764" s="98"/>
      <c r="G764" s="99" t="n">
        <v>7.2072</v>
      </c>
      <c r="H764" s="59" t="s">
        <v>53</v>
      </c>
    </row>
    <row r="765">
      <c r="A765" s="10" t="s">
        <v>53</v>
      </c>
      <c r="B765" s="11" t="s">
        <v>53</v>
      </c>
      <c r="C765" s="11" t="s">
        <v>53</v>
      </c>
      <c r="D765" s="98" t="s">
        <v>1558</v>
      </c>
      <c r="E765" s="98" t="s">
        <v>1559</v>
      </c>
      <c r="F765" s="98"/>
      <c r="G765" s="99" t="n">
        <v>31.95</v>
      </c>
      <c r="H765" s="59" t="s">
        <v>53</v>
      </c>
    </row>
    <row r="766">
      <c r="A766" s="10" t="s">
        <v>53</v>
      </c>
      <c r="B766" s="11" t="s">
        <v>53</v>
      </c>
      <c r="C766" s="11" t="s">
        <v>53</v>
      </c>
      <c r="D766" s="98" t="s">
        <v>1560</v>
      </c>
      <c r="E766" s="98" t="s">
        <v>1552</v>
      </c>
      <c r="F766" s="98"/>
      <c r="G766" s="99" t="n">
        <v>49.266</v>
      </c>
      <c r="H766" s="59" t="s">
        <v>53</v>
      </c>
    </row>
    <row r="767">
      <c r="A767" s="10" t="s">
        <v>53</v>
      </c>
      <c r="B767" s="11" t="s">
        <v>53</v>
      </c>
      <c r="C767" s="11" t="s">
        <v>53</v>
      </c>
      <c r="D767" s="98" t="s">
        <v>1561</v>
      </c>
      <c r="E767" s="98" t="s">
        <v>1552</v>
      </c>
      <c r="F767" s="98"/>
      <c r="G767" s="99" t="n">
        <v>31.464</v>
      </c>
      <c r="H767" s="59" t="s">
        <v>53</v>
      </c>
    </row>
    <row r="768">
      <c r="A768" s="10" t="s">
        <v>53</v>
      </c>
      <c r="B768" s="11" t="s">
        <v>53</v>
      </c>
      <c r="C768" s="11" t="s">
        <v>53</v>
      </c>
      <c r="D768" s="98" t="s">
        <v>1562</v>
      </c>
      <c r="E768" s="98" t="s">
        <v>1552</v>
      </c>
      <c r="F768" s="98"/>
      <c r="G768" s="99" t="n">
        <v>32.844</v>
      </c>
      <c r="H768" s="59" t="s">
        <v>53</v>
      </c>
    </row>
    <row r="769">
      <c r="A769" s="10" t="s">
        <v>53</v>
      </c>
      <c r="B769" s="11" t="s">
        <v>53</v>
      </c>
      <c r="C769" s="11" t="s">
        <v>53</v>
      </c>
      <c r="D769" s="98" t="s">
        <v>1563</v>
      </c>
      <c r="E769" s="98" t="s">
        <v>1552</v>
      </c>
      <c r="F769" s="98"/>
      <c r="G769" s="99" t="n">
        <v>35.604</v>
      </c>
      <c r="H769" s="59" t="s">
        <v>53</v>
      </c>
    </row>
    <row r="770">
      <c r="A770" s="10" t="s">
        <v>53</v>
      </c>
      <c r="B770" s="11" t="s">
        <v>53</v>
      </c>
      <c r="C770" s="11" t="s">
        <v>53</v>
      </c>
      <c r="D770" s="98" t="s">
        <v>1564</v>
      </c>
      <c r="E770" s="98" t="s">
        <v>1565</v>
      </c>
      <c r="F770" s="98"/>
      <c r="G770" s="99" t="n">
        <v>14.795</v>
      </c>
      <c r="H770" s="59" t="s">
        <v>53</v>
      </c>
    </row>
    <row r="771">
      <c r="A771" s="10" t="s">
        <v>53</v>
      </c>
      <c r="B771" s="11" t="s">
        <v>53</v>
      </c>
      <c r="C771" s="11" t="s">
        <v>53</v>
      </c>
      <c r="D771" s="98" t="s">
        <v>1566</v>
      </c>
      <c r="E771" s="98" t="s">
        <v>1567</v>
      </c>
      <c r="F771" s="98"/>
      <c r="G771" s="99" t="n">
        <v>32.48</v>
      </c>
      <c r="H771" s="59" t="s">
        <v>53</v>
      </c>
    </row>
    <row r="772">
      <c r="A772" s="10" t="s">
        <v>713</v>
      </c>
      <c r="B772" s="11" t="s">
        <v>707</v>
      </c>
      <c r="C772" s="11" t="s">
        <v>237</v>
      </c>
      <c r="D772" s="11" t="s">
        <v>238</v>
      </c>
      <c r="E772" s="11"/>
      <c r="F772" s="11" t="s">
        <v>61</v>
      </c>
      <c r="G772" s="57" t="n">
        <v>24.39</v>
      </c>
      <c r="H772" s="97" t="n">
        <v>0</v>
      </c>
    </row>
    <row r="773">
      <c r="A773" s="62"/>
      <c r="D773" s="98" t="s">
        <v>1568</v>
      </c>
      <c r="E773" s="98" t="s">
        <v>1569</v>
      </c>
      <c r="F773" s="98"/>
      <c r="G773" s="99" t="n">
        <v>15.36</v>
      </c>
      <c r="H773" s="100"/>
    </row>
    <row r="774">
      <c r="A774" s="10" t="s">
        <v>53</v>
      </c>
      <c r="B774" s="11" t="s">
        <v>53</v>
      </c>
      <c r="C774" s="11" t="s">
        <v>53</v>
      </c>
      <c r="D774" s="98" t="s">
        <v>1570</v>
      </c>
      <c r="E774" s="98" t="s">
        <v>1571</v>
      </c>
      <c r="F774" s="98"/>
      <c r="G774" s="99" t="n">
        <v>3.87</v>
      </c>
      <c r="H774" s="59" t="s">
        <v>53</v>
      </c>
    </row>
    <row r="775">
      <c r="A775" s="10" t="s">
        <v>53</v>
      </c>
      <c r="B775" s="11" t="s">
        <v>53</v>
      </c>
      <c r="C775" s="11" t="s">
        <v>53</v>
      </c>
      <c r="D775" s="98" t="s">
        <v>1572</v>
      </c>
      <c r="E775" s="98" t="s">
        <v>1571</v>
      </c>
      <c r="F775" s="98"/>
      <c r="G775" s="99" t="n">
        <v>5.16</v>
      </c>
      <c r="H775" s="59" t="s">
        <v>53</v>
      </c>
    </row>
    <row r="776">
      <c r="A776" s="10" t="s">
        <v>715</v>
      </c>
      <c r="B776" s="11" t="s">
        <v>707</v>
      </c>
      <c r="C776" s="11" t="s">
        <v>716</v>
      </c>
      <c r="D776" s="11" t="s">
        <v>717</v>
      </c>
      <c r="E776" s="11"/>
      <c r="F776" s="11" t="s">
        <v>61</v>
      </c>
      <c r="G776" s="57" t="n">
        <v>292.0512</v>
      </c>
      <c r="H776" s="97" t="n">
        <v>0</v>
      </c>
    </row>
    <row r="777">
      <c r="A777" s="62"/>
      <c r="D777" s="98" t="s">
        <v>1547</v>
      </c>
      <c r="E777" s="98" t="s">
        <v>1548</v>
      </c>
      <c r="F777" s="98"/>
      <c r="G777" s="99" t="n">
        <v>3.388</v>
      </c>
      <c r="H777" s="100"/>
    </row>
    <row r="778">
      <c r="A778" s="10" t="s">
        <v>53</v>
      </c>
      <c r="B778" s="11" t="s">
        <v>53</v>
      </c>
      <c r="C778" s="11" t="s">
        <v>53</v>
      </c>
      <c r="D778" s="98" t="s">
        <v>1549</v>
      </c>
      <c r="E778" s="98" t="s">
        <v>1550</v>
      </c>
      <c r="F778" s="98"/>
      <c r="G778" s="99" t="n">
        <v>4.433</v>
      </c>
      <c r="H778" s="59" t="s">
        <v>53</v>
      </c>
    </row>
    <row r="779">
      <c r="A779" s="10" t="s">
        <v>53</v>
      </c>
      <c r="B779" s="11" t="s">
        <v>53</v>
      </c>
      <c r="C779" s="11" t="s">
        <v>53</v>
      </c>
      <c r="D779" s="98" t="s">
        <v>1551</v>
      </c>
      <c r="E779" s="98" t="s">
        <v>1552</v>
      </c>
      <c r="F779" s="98"/>
      <c r="G779" s="99" t="n">
        <v>2.622</v>
      </c>
      <c r="H779" s="59" t="s">
        <v>53</v>
      </c>
    </row>
    <row r="780">
      <c r="A780" s="10" t="s">
        <v>53</v>
      </c>
      <c r="B780" s="11" t="s">
        <v>53</v>
      </c>
      <c r="C780" s="11" t="s">
        <v>53</v>
      </c>
      <c r="D780" s="98" t="s">
        <v>1553</v>
      </c>
      <c r="E780" s="98" t="s">
        <v>1552</v>
      </c>
      <c r="F780" s="98"/>
      <c r="G780" s="99" t="n">
        <v>12.328</v>
      </c>
      <c r="H780" s="59" t="s">
        <v>53</v>
      </c>
    </row>
    <row r="781">
      <c r="A781" s="10" t="s">
        <v>53</v>
      </c>
      <c r="B781" s="11" t="s">
        <v>53</v>
      </c>
      <c r="C781" s="11" t="s">
        <v>53</v>
      </c>
      <c r="D781" s="98" t="s">
        <v>1560</v>
      </c>
      <c r="E781" s="98" t="s">
        <v>1552</v>
      </c>
      <c r="F781" s="98"/>
      <c r="G781" s="99" t="n">
        <v>49.266</v>
      </c>
      <c r="H781" s="59" t="s">
        <v>53</v>
      </c>
    </row>
    <row r="782">
      <c r="A782" s="10" t="s">
        <v>53</v>
      </c>
      <c r="B782" s="11" t="s">
        <v>53</v>
      </c>
      <c r="C782" s="11" t="s">
        <v>53</v>
      </c>
      <c r="D782" s="98" t="s">
        <v>1561</v>
      </c>
      <c r="E782" s="98" t="s">
        <v>1552</v>
      </c>
      <c r="F782" s="98"/>
      <c r="G782" s="99" t="n">
        <v>31.464</v>
      </c>
      <c r="H782" s="59" t="s">
        <v>53</v>
      </c>
    </row>
    <row r="783">
      <c r="A783" s="10" t="s">
        <v>53</v>
      </c>
      <c r="B783" s="11" t="s">
        <v>53</v>
      </c>
      <c r="C783" s="11" t="s">
        <v>53</v>
      </c>
      <c r="D783" s="98" t="s">
        <v>1562</v>
      </c>
      <c r="E783" s="98" t="s">
        <v>1552</v>
      </c>
      <c r="F783" s="98"/>
      <c r="G783" s="99" t="n">
        <v>32.844</v>
      </c>
      <c r="H783" s="59" t="s">
        <v>53</v>
      </c>
    </row>
    <row r="784">
      <c r="A784" s="10" t="s">
        <v>53</v>
      </c>
      <c r="B784" s="11" t="s">
        <v>53</v>
      </c>
      <c r="C784" s="11" t="s">
        <v>53</v>
      </c>
      <c r="D784" s="98" t="s">
        <v>1563</v>
      </c>
      <c r="E784" s="98" t="s">
        <v>1552</v>
      </c>
      <c r="F784" s="98"/>
      <c r="G784" s="99" t="n">
        <v>35.604</v>
      </c>
      <c r="H784" s="59" t="s">
        <v>53</v>
      </c>
    </row>
    <row r="785">
      <c r="A785" s="10" t="s">
        <v>53</v>
      </c>
      <c r="B785" s="11" t="s">
        <v>53</v>
      </c>
      <c r="C785" s="11" t="s">
        <v>53</v>
      </c>
      <c r="D785" s="98" t="s">
        <v>1564</v>
      </c>
      <c r="E785" s="98" t="s">
        <v>1565</v>
      </c>
      <c r="F785" s="98"/>
      <c r="G785" s="99" t="n">
        <v>14.795</v>
      </c>
      <c r="H785" s="59" t="s">
        <v>53</v>
      </c>
    </row>
    <row r="786">
      <c r="A786" s="10" t="s">
        <v>53</v>
      </c>
      <c r="B786" s="11" t="s">
        <v>53</v>
      </c>
      <c r="C786" s="11" t="s">
        <v>53</v>
      </c>
      <c r="D786" s="98" t="s">
        <v>1566</v>
      </c>
      <c r="E786" s="98" t="s">
        <v>1567</v>
      </c>
      <c r="F786" s="98"/>
      <c r="G786" s="99" t="n">
        <v>32.48</v>
      </c>
      <c r="H786" s="59" t="s">
        <v>53</v>
      </c>
    </row>
    <row r="787">
      <c r="A787" s="10" t="s">
        <v>53</v>
      </c>
      <c r="B787" s="11" t="s">
        <v>53</v>
      </c>
      <c r="C787" s="11" t="s">
        <v>53</v>
      </c>
      <c r="D787" s="98" t="s">
        <v>1554</v>
      </c>
      <c r="E787" s="98" t="s">
        <v>1555</v>
      </c>
      <c r="F787" s="98"/>
      <c r="G787" s="99" t="n">
        <v>9.28</v>
      </c>
      <c r="H787" s="59" t="s">
        <v>53</v>
      </c>
    </row>
    <row r="788">
      <c r="A788" s="10" t="s">
        <v>53</v>
      </c>
      <c r="B788" s="11" t="s">
        <v>53</v>
      </c>
      <c r="C788" s="11" t="s">
        <v>53</v>
      </c>
      <c r="D788" s="98" t="s">
        <v>1556</v>
      </c>
      <c r="E788" s="98" t="s">
        <v>1557</v>
      </c>
      <c r="F788" s="98"/>
      <c r="G788" s="99" t="n">
        <v>7.2072</v>
      </c>
      <c r="H788" s="59" t="s">
        <v>53</v>
      </c>
    </row>
    <row r="789">
      <c r="A789" s="10" t="s">
        <v>53</v>
      </c>
      <c r="B789" s="11" t="s">
        <v>53</v>
      </c>
      <c r="C789" s="11" t="s">
        <v>53</v>
      </c>
      <c r="D789" s="98" t="s">
        <v>1558</v>
      </c>
      <c r="E789" s="98" t="s">
        <v>1559</v>
      </c>
      <c r="F789" s="98"/>
      <c r="G789" s="99" t="n">
        <v>31.95</v>
      </c>
      <c r="H789" s="59" t="s">
        <v>53</v>
      </c>
    </row>
    <row r="790">
      <c r="A790" s="10" t="s">
        <v>53</v>
      </c>
      <c r="B790" s="11" t="s">
        <v>53</v>
      </c>
      <c r="C790" s="11" t="s">
        <v>53</v>
      </c>
      <c r="D790" s="98" t="s">
        <v>1568</v>
      </c>
      <c r="E790" s="98" t="s">
        <v>1569</v>
      </c>
      <c r="F790" s="98"/>
      <c r="G790" s="99" t="n">
        <v>15.36</v>
      </c>
      <c r="H790" s="59" t="s">
        <v>53</v>
      </c>
    </row>
    <row r="791">
      <c r="A791" s="10" t="s">
        <v>53</v>
      </c>
      <c r="B791" s="11" t="s">
        <v>53</v>
      </c>
      <c r="C791" s="11" t="s">
        <v>53</v>
      </c>
      <c r="D791" s="98" t="s">
        <v>1570</v>
      </c>
      <c r="E791" s="98" t="s">
        <v>1571</v>
      </c>
      <c r="F791" s="98"/>
      <c r="G791" s="99" t="n">
        <v>3.87</v>
      </c>
      <c r="H791" s="59" t="s">
        <v>53</v>
      </c>
    </row>
    <row r="792">
      <c r="A792" s="10" t="s">
        <v>53</v>
      </c>
      <c r="B792" s="11" t="s">
        <v>53</v>
      </c>
      <c r="C792" s="11" t="s">
        <v>53</v>
      </c>
      <c r="D792" s="98" t="s">
        <v>1572</v>
      </c>
      <c r="E792" s="98" t="s">
        <v>1571</v>
      </c>
      <c r="F792" s="98"/>
      <c r="G792" s="99" t="n">
        <v>5.16</v>
      </c>
      <c r="H792" s="59" t="s">
        <v>53</v>
      </c>
    </row>
    <row r="793">
      <c r="A793" s="96" t="s">
        <v>53</v>
      </c>
      <c r="B793" s="52" t="s">
        <v>707</v>
      </c>
      <c r="C793" s="52" t="s">
        <v>269</v>
      </c>
      <c r="D793" s="52" t="s">
        <v>718</v>
      </c>
      <c r="E793" s="52"/>
      <c r="F793" s="52" t="s">
        <v>53</v>
      </c>
      <c r="G793" s="33" t="s">
        <v>53</v>
      </c>
      <c r="H793" s="56" t="s">
        <v>53</v>
      </c>
    </row>
    <row r="794">
      <c r="A794" s="10" t="s">
        <v>719</v>
      </c>
      <c r="B794" s="11" t="s">
        <v>707</v>
      </c>
      <c r="C794" s="11" t="s">
        <v>720</v>
      </c>
      <c r="D794" s="11" t="s">
        <v>721</v>
      </c>
      <c r="E794" s="11"/>
      <c r="F794" s="11" t="s">
        <v>61</v>
      </c>
      <c r="G794" s="57" t="n">
        <v>12.5325</v>
      </c>
      <c r="H794" s="97" t="n">
        <v>0</v>
      </c>
    </row>
    <row r="795">
      <c r="A795" s="62"/>
      <c r="D795" s="98" t="s">
        <v>1239</v>
      </c>
      <c r="E795" s="98" t="s">
        <v>1548</v>
      </c>
      <c r="F795" s="98"/>
      <c r="G795" s="99" t="n">
        <v>0.2025</v>
      </c>
      <c r="H795" s="100"/>
    </row>
    <row r="796">
      <c r="A796" s="10" t="s">
        <v>53</v>
      </c>
      <c r="B796" s="11" t="s">
        <v>53</v>
      </c>
      <c r="C796" s="11" t="s">
        <v>53</v>
      </c>
      <c r="D796" s="98" t="s">
        <v>1573</v>
      </c>
      <c r="E796" s="98" t="s">
        <v>1550</v>
      </c>
      <c r="F796" s="98"/>
      <c r="G796" s="99" t="n">
        <v>0.45</v>
      </c>
      <c r="H796" s="59" t="s">
        <v>53</v>
      </c>
    </row>
    <row r="797">
      <c r="A797" s="10" t="s">
        <v>53</v>
      </c>
      <c r="B797" s="11" t="s">
        <v>53</v>
      </c>
      <c r="C797" s="11" t="s">
        <v>53</v>
      </c>
      <c r="D797" s="98" t="s">
        <v>1574</v>
      </c>
      <c r="E797" s="98" t="s">
        <v>1552</v>
      </c>
      <c r="F797" s="98"/>
      <c r="G797" s="99" t="n">
        <v>8.91</v>
      </c>
      <c r="H797" s="59" t="s">
        <v>53</v>
      </c>
    </row>
    <row r="798">
      <c r="A798" s="10" t="s">
        <v>53</v>
      </c>
      <c r="B798" s="11" t="s">
        <v>53</v>
      </c>
      <c r="C798" s="11" t="s">
        <v>53</v>
      </c>
      <c r="D798" s="98" t="s">
        <v>1575</v>
      </c>
      <c r="E798" s="98" t="s">
        <v>1565</v>
      </c>
      <c r="F798" s="98"/>
      <c r="G798" s="99" t="n">
        <v>0.945</v>
      </c>
      <c r="H798" s="59" t="s">
        <v>53</v>
      </c>
    </row>
    <row r="799">
      <c r="A799" s="10" t="s">
        <v>53</v>
      </c>
      <c r="B799" s="11" t="s">
        <v>53</v>
      </c>
      <c r="C799" s="11" t="s">
        <v>53</v>
      </c>
      <c r="D799" s="98" t="s">
        <v>1576</v>
      </c>
      <c r="E799" s="98" t="s">
        <v>1567</v>
      </c>
      <c r="F799" s="98"/>
      <c r="G799" s="99" t="n">
        <v>2.025</v>
      </c>
      <c r="H799" s="59" t="s">
        <v>53</v>
      </c>
    </row>
    <row r="800">
      <c r="A800" s="96" t="s">
        <v>53</v>
      </c>
      <c r="B800" s="52" t="s">
        <v>707</v>
      </c>
      <c r="C800" s="52" t="s">
        <v>315</v>
      </c>
      <c r="D800" s="52" t="s">
        <v>316</v>
      </c>
      <c r="E800" s="52"/>
      <c r="F800" s="52" t="s">
        <v>53</v>
      </c>
      <c r="G800" s="33" t="s">
        <v>53</v>
      </c>
      <c r="H800" s="56" t="s">
        <v>53</v>
      </c>
    </row>
    <row r="801">
      <c r="A801" s="10" t="s">
        <v>724</v>
      </c>
      <c r="B801" s="11" t="s">
        <v>707</v>
      </c>
      <c r="C801" s="11" t="s">
        <v>725</v>
      </c>
      <c r="D801" s="11" t="s">
        <v>726</v>
      </c>
      <c r="E801" s="11"/>
      <c r="F801" s="11" t="s">
        <v>126</v>
      </c>
      <c r="G801" s="57" t="n">
        <v>11</v>
      </c>
      <c r="H801" s="97" t="n">
        <v>0</v>
      </c>
    </row>
    <row r="802">
      <c r="A802" s="62"/>
      <c r="D802" s="98" t="s">
        <v>1459</v>
      </c>
      <c r="E802" s="98" t="s">
        <v>1577</v>
      </c>
      <c r="F802" s="98"/>
      <c r="G802" s="99" t="n">
        <v>11</v>
      </c>
      <c r="H802" s="100"/>
    </row>
    <row r="803">
      <c r="A803" s="10" t="s">
        <v>728</v>
      </c>
      <c r="B803" s="11" t="s">
        <v>707</v>
      </c>
      <c r="C803" s="11" t="s">
        <v>729</v>
      </c>
      <c r="D803" s="11" t="s">
        <v>730</v>
      </c>
      <c r="E803" s="11"/>
      <c r="F803" s="11" t="s">
        <v>126</v>
      </c>
      <c r="G803" s="57" t="n">
        <v>9</v>
      </c>
      <c r="H803" s="97" t="n">
        <v>0</v>
      </c>
    </row>
    <row r="804">
      <c r="A804" s="62"/>
      <c r="D804" s="98" t="s">
        <v>1578</v>
      </c>
      <c r="E804" s="98" t="s">
        <v>1577</v>
      </c>
      <c r="F804" s="98"/>
      <c r="G804" s="99" t="n">
        <v>9</v>
      </c>
      <c r="H804" s="100"/>
    </row>
    <row r="805">
      <c r="A805" s="10" t="s">
        <v>731</v>
      </c>
      <c r="B805" s="11" t="s">
        <v>707</v>
      </c>
      <c r="C805" s="11" t="s">
        <v>732</v>
      </c>
      <c r="D805" s="11" t="s">
        <v>733</v>
      </c>
      <c r="E805" s="11"/>
      <c r="F805" s="11" t="s">
        <v>126</v>
      </c>
      <c r="G805" s="57" t="n">
        <v>11</v>
      </c>
      <c r="H805" s="97" t="n">
        <v>0</v>
      </c>
    </row>
    <row r="806">
      <c r="A806" s="62"/>
      <c r="D806" s="98" t="s">
        <v>1459</v>
      </c>
      <c r="E806" s="98" t="s">
        <v>1577</v>
      </c>
      <c r="F806" s="98"/>
      <c r="G806" s="99" t="n">
        <v>11</v>
      </c>
      <c r="H806" s="100"/>
    </row>
    <row r="807">
      <c r="A807" s="10" t="s">
        <v>734</v>
      </c>
      <c r="B807" s="11" t="s">
        <v>707</v>
      </c>
      <c r="C807" s="11" t="s">
        <v>735</v>
      </c>
      <c r="D807" s="11" t="s">
        <v>736</v>
      </c>
      <c r="E807" s="11"/>
      <c r="F807" s="11" t="s">
        <v>126</v>
      </c>
      <c r="G807" s="57" t="n">
        <v>9</v>
      </c>
      <c r="H807" s="97" t="n">
        <v>0</v>
      </c>
    </row>
    <row r="808">
      <c r="A808" s="62"/>
      <c r="D808" s="98" t="s">
        <v>1578</v>
      </c>
      <c r="E808" s="98" t="s">
        <v>1577</v>
      </c>
      <c r="F808" s="98"/>
      <c r="G808" s="99" t="n">
        <v>9</v>
      </c>
      <c r="H808" s="100"/>
    </row>
    <row r="809">
      <c r="A809" s="10" t="s">
        <v>737</v>
      </c>
      <c r="B809" s="11" t="s">
        <v>707</v>
      </c>
      <c r="C809" s="11" t="s">
        <v>738</v>
      </c>
      <c r="D809" s="11" t="s">
        <v>739</v>
      </c>
      <c r="E809" s="11"/>
      <c r="F809" s="11" t="s">
        <v>314</v>
      </c>
      <c r="G809" s="57" t="n">
        <v>0.06228</v>
      </c>
      <c r="H809" s="97" t="n">
        <v>0</v>
      </c>
    </row>
    <row r="810">
      <c r="A810" s="96" t="s">
        <v>53</v>
      </c>
      <c r="B810" s="52" t="s">
        <v>707</v>
      </c>
      <c r="C810" s="52" t="s">
        <v>740</v>
      </c>
      <c r="D810" s="52" t="s">
        <v>741</v>
      </c>
      <c r="E810" s="52"/>
      <c r="F810" s="52" t="s">
        <v>53</v>
      </c>
      <c r="G810" s="33" t="s">
        <v>53</v>
      </c>
      <c r="H810" s="56" t="s">
        <v>53</v>
      </c>
    </row>
    <row r="811">
      <c r="A811" s="10" t="s">
        <v>742</v>
      </c>
      <c r="B811" s="11" t="s">
        <v>707</v>
      </c>
      <c r="C811" s="11" t="s">
        <v>743</v>
      </c>
      <c r="D811" s="11" t="s">
        <v>744</v>
      </c>
      <c r="E811" s="11"/>
      <c r="F811" s="11" t="s">
        <v>174</v>
      </c>
      <c r="G811" s="57" t="n">
        <v>7</v>
      </c>
      <c r="H811" s="97" t="n">
        <v>0</v>
      </c>
    </row>
    <row r="812">
      <c r="A812" s="10" t="s">
        <v>747</v>
      </c>
      <c r="B812" s="11" t="s">
        <v>707</v>
      </c>
      <c r="C812" s="11" t="s">
        <v>748</v>
      </c>
      <c r="D812" s="11" t="s">
        <v>749</v>
      </c>
      <c r="E812" s="11"/>
      <c r="F812" s="11" t="s">
        <v>126</v>
      </c>
      <c r="G812" s="57" t="n">
        <v>15.6</v>
      </c>
      <c r="H812" s="97" t="n">
        <v>0</v>
      </c>
    </row>
    <row r="813">
      <c r="A813" s="62"/>
      <c r="D813" s="98" t="s">
        <v>1579</v>
      </c>
      <c r="E813" s="98" t="s">
        <v>1580</v>
      </c>
      <c r="F813" s="98"/>
      <c r="G813" s="99" t="n">
        <v>15.6</v>
      </c>
      <c r="H813" s="100"/>
    </row>
    <row r="814">
      <c r="A814" s="10" t="s">
        <v>750</v>
      </c>
      <c r="B814" s="11" t="s">
        <v>707</v>
      </c>
      <c r="C814" s="11" t="s">
        <v>751</v>
      </c>
      <c r="D814" s="11" t="s">
        <v>752</v>
      </c>
      <c r="E814" s="11"/>
      <c r="F814" s="11" t="s">
        <v>126</v>
      </c>
      <c r="G814" s="57" t="n">
        <v>6.8</v>
      </c>
      <c r="H814" s="97" t="n">
        <v>0</v>
      </c>
    </row>
    <row r="815">
      <c r="A815" s="62"/>
      <c r="D815" s="98" t="s">
        <v>1581</v>
      </c>
      <c r="E815" s="98" t="s">
        <v>1582</v>
      </c>
      <c r="F815" s="98"/>
      <c r="G815" s="99" t="n">
        <v>6.8</v>
      </c>
      <c r="H815" s="100"/>
    </row>
    <row r="816">
      <c r="A816" s="10" t="s">
        <v>753</v>
      </c>
      <c r="B816" s="11" t="s">
        <v>707</v>
      </c>
      <c r="C816" s="11" t="s">
        <v>754</v>
      </c>
      <c r="D816" s="11" t="s">
        <v>755</v>
      </c>
      <c r="E816" s="11"/>
      <c r="F816" s="11" t="s">
        <v>126</v>
      </c>
      <c r="G816" s="57" t="n">
        <v>14.2</v>
      </c>
      <c r="H816" s="97" t="n">
        <v>0</v>
      </c>
    </row>
    <row r="817">
      <c r="A817" s="62"/>
      <c r="D817" s="98" t="s">
        <v>1583</v>
      </c>
      <c r="E817" s="98" t="s">
        <v>1584</v>
      </c>
      <c r="F817" s="98"/>
      <c r="G817" s="99" t="n">
        <v>14.2</v>
      </c>
      <c r="H817" s="100"/>
    </row>
    <row r="818">
      <c r="A818" s="10" t="s">
        <v>756</v>
      </c>
      <c r="B818" s="11" t="s">
        <v>707</v>
      </c>
      <c r="C818" s="11" t="s">
        <v>757</v>
      </c>
      <c r="D818" s="11" t="s">
        <v>758</v>
      </c>
      <c r="E818" s="11"/>
      <c r="F818" s="11" t="s">
        <v>126</v>
      </c>
      <c r="G818" s="57" t="n">
        <v>32.4</v>
      </c>
      <c r="H818" s="97" t="n">
        <v>0</v>
      </c>
    </row>
    <row r="819">
      <c r="A819" s="62"/>
      <c r="D819" s="98" t="s">
        <v>1585</v>
      </c>
      <c r="E819" s="98" t="s">
        <v>1586</v>
      </c>
      <c r="F819" s="98"/>
      <c r="G819" s="99" t="n">
        <v>32.4</v>
      </c>
      <c r="H819" s="100"/>
    </row>
    <row r="820">
      <c r="A820" s="10" t="s">
        <v>759</v>
      </c>
      <c r="B820" s="11" t="s">
        <v>707</v>
      </c>
      <c r="C820" s="11" t="s">
        <v>760</v>
      </c>
      <c r="D820" s="11" t="s">
        <v>761</v>
      </c>
      <c r="E820" s="11"/>
      <c r="F820" s="11" t="s">
        <v>126</v>
      </c>
      <c r="G820" s="57" t="n">
        <v>20.1</v>
      </c>
      <c r="H820" s="97" t="n">
        <v>0</v>
      </c>
    </row>
    <row r="821">
      <c r="A821" s="62"/>
      <c r="D821" s="98" t="s">
        <v>1587</v>
      </c>
      <c r="E821" s="98" t="s">
        <v>1588</v>
      </c>
      <c r="F821" s="98"/>
      <c r="G821" s="99" t="n">
        <v>12</v>
      </c>
      <c r="H821" s="100"/>
    </row>
    <row r="822">
      <c r="A822" s="10" t="s">
        <v>53</v>
      </c>
      <c r="B822" s="11" t="s">
        <v>53</v>
      </c>
      <c r="C822" s="11" t="s">
        <v>53</v>
      </c>
      <c r="D822" s="98" t="s">
        <v>1589</v>
      </c>
      <c r="E822" s="98" t="s">
        <v>1590</v>
      </c>
      <c r="F822" s="98"/>
      <c r="G822" s="99" t="n">
        <v>8.1</v>
      </c>
      <c r="H822" s="59" t="s">
        <v>53</v>
      </c>
    </row>
    <row r="823">
      <c r="A823" s="10" t="s">
        <v>762</v>
      </c>
      <c r="B823" s="11" t="s">
        <v>707</v>
      </c>
      <c r="C823" s="11" t="s">
        <v>763</v>
      </c>
      <c r="D823" s="11" t="s">
        <v>764</v>
      </c>
      <c r="E823" s="11"/>
      <c r="F823" s="11" t="s">
        <v>126</v>
      </c>
      <c r="G823" s="57" t="n">
        <v>64.6</v>
      </c>
      <c r="H823" s="97" t="n">
        <v>0</v>
      </c>
    </row>
    <row r="824">
      <c r="A824" s="62"/>
      <c r="D824" s="98" t="s">
        <v>1591</v>
      </c>
      <c r="E824" s="98" t="s">
        <v>1592</v>
      </c>
      <c r="F824" s="98"/>
      <c r="G824" s="99" t="n">
        <v>18</v>
      </c>
      <c r="H824" s="100"/>
    </row>
    <row r="825">
      <c r="A825" s="10" t="s">
        <v>53</v>
      </c>
      <c r="B825" s="11" t="s">
        <v>53</v>
      </c>
      <c r="C825" s="11" t="s">
        <v>53</v>
      </c>
      <c r="D825" s="98" t="s">
        <v>1593</v>
      </c>
      <c r="E825" s="98" t="s">
        <v>1594</v>
      </c>
      <c r="F825" s="98"/>
      <c r="G825" s="99" t="n">
        <v>6.2</v>
      </c>
      <c r="H825" s="59" t="s">
        <v>53</v>
      </c>
    </row>
    <row r="826">
      <c r="A826" s="10" t="s">
        <v>53</v>
      </c>
      <c r="B826" s="11" t="s">
        <v>53</v>
      </c>
      <c r="C826" s="11" t="s">
        <v>53</v>
      </c>
      <c r="D826" s="98" t="s">
        <v>1595</v>
      </c>
      <c r="E826" s="98" t="s">
        <v>1596</v>
      </c>
      <c r="F826" s="98"/>
      <c r="G826" s="99" t="n">
        <v>12.4</v>
      </c>
      <c r="H826" s="59" t="s">
        <v>53</v>
      </c>
    </row>
    <row r="827">
      <c r="A827" s="10" t="s">
        <v>53</v>
      </c>
      <c r="B827" s="11" t="s">
        <v>53</v>
      </c>
      <c r="C827" s="11" t="s">
        <v>53</v>
      </c>
      <c r="D827" s="98" t="s">
        <v>1597</v>
      </c>
      <c r="E827" s="98" t="s">
        <v>1598</v>
      </c>
      <c r="F827" s="98"/>
      <c r="G827" s="99" t="n">
        <v>21</v>
      </c>
      <c r="H827" s="59" t="s">
        <v>53</v>
      </c>
    </row>
    <row r="828">
      <c r="A828" s="10" t="s">
        <v>53</v>
      </c>
      <c r="B828" s="11" t="s">
        <v>53</v>
      </c>
      <c r="C828" s="11" t="s">
        <v>53</v>
      </c>
      <c r="D828" s="98" t="s">
        <v>1599</v>
      </c>
      <c r="E828" s="98" t="s">
        <v>1600</v>
      </c>
      <c r="F828" s="98"/>
      <c r="G828" s="99" t="n">
        <v>7</v>
      </c>
      <c r="H828" s="59" t="s">
        <v>53</v>
      </c>
    </row>
    <row r="829">
      <c r="A829" s="10" t="s">
        <v>765</v>
      </c>
      <c r="B829" s="11" t="s">
        <v>707</v>
      </c>
      <c r="C829" s="11" t="s">
        <v>766</v>
      </c>
      <c r="D829" s="11" t="s">
        <v>767</v>
      </c>
      <c r="E829" s="11"/>
      <c r="F829" s="11" t="s">
        <v>126</v>
      </c>
      <c r="G829" s="57" t="n">
        <v>153.2</v>
      </c>
      <c r="H829" s="97" t="n">
        <v>0</v>
      </c>
    </row>
    <row r="830">
      <c r="A830" s="62"/>
      <c r="D830" s="98" t="s">
        <v>1601</v>
      </c>
      <c r="E830" s="98" t="s">
        <v>1602</v>
      </c>
      <c r="F830" s="98"/>
      <c r="G830" s="99" t="n">
        <v>27.6</v>
      </c>
      <c r="H830" s="100"/>
    </row>
    <row r="831">
      <c r="A831" s="10" t="s">
        <v>53</v>
      </c>
      <c r="B831" s="11" t="s">
        <v>53</v>
      </c>
      <c r="C831" s="11" t="s">
        <v>53</v>
      </c>
      <c r="D831" s="98" t="s">
        <v>1603</v>
      </c>
      <c r="E831" s="98" t="s">
        <v>1604</v>
      </c>
      <c r="F831" s="98"/>
      <c r="G831" s="99" t="n">
        <v>8.4</v>
      </c>
      <c r="H831" s="59" t="s">
        <v>53</v>
      </c>
    </row>
    <row r="832">
      <c r="A832" s="10" t="s">
        <v>53</v>
      </c>
      <c r="B832" s="11" t="s">
        <v>53</v>
      </c>
      <c r="C832" s="11" t="s">
        <v>53</v>
      </c>
      <c r="D832" s="98" t="s">
        <v>1605</v>
      </c>
      <c r="E832" s="98" t="s">
        <v>1606</v>
      </c>
      <c r="F832" s="98"/>
      <c r="G832" s="99" t="n">
        <v>92</v>
      </c>
      <c r="H832" s="59" t="s">
        <v>53</v>
      </c>
    </row>
    <row r="833">
      <c r="A833" s="10" t="s">
        <v>53</v>
      </c>
      <c r="B833" s="11" t="s">
        <v>53</v>
      </c>
      <c r="C833" s="11" t="s">
        <v>53</v>
      </c>
      <c r="D833" s="98" t="s">
        <v>1607</v>
      </c>
      <c r="E833" s="98" t="s">
        <v>1608</v>
      </c>
      <c r="F833" s="98"/>
      <c r="G833" s="99" t="n">
        <v>25.2</v>
      </c>
      <c r="H833" s="59" t="s">
        <v>53</v>
      </c>
    </row>
    <row r="834">
      <c r="A834" s="10" t="s">
        <v>768</v>
      </c>
      <c r="B834" s="11" t="s">
        <v>707</v>
      </c>
      <c r="C834" s="11" t="s">
        <v>769</v>
      </c>
      <c r="D834" s="11" t="s">
        <v>770</v>
      </c>
      <c r="E834" s="11"/>
      <c r="F834" s="11" t="s">
        <v>126</v>
      </c>
      <c r="G834" s="57" t="n">
        <v>24</v>
      </c>
      <c r="H834" s="97" t="n">
        <v>0</v>
      </c>
    </row>
    <row r="835">
      <c r="A835" s="62"/>
      <c r="D835" s="98" t="s">
        <v>1591</v>
      </c>
      <c r="E835" s="98" t="s">
        <v>1609</v>
      </c>
      <c r="F835" s="98"/>
      <c r="G835" s="99" t="n">
        <v>18</v>
      </c>
      <c r="H835" s="100"/>
    </row>
    <row r="836">
      <c r="A836" s="10" t="s">
        <v>53</v>
      </c>
      <c r="B836" s="11" t="s">
        <v>53</v>
      </c>
      <c r="C836" s="11" t="s">
        <v>53</v>
      </c>
      <c r="D836" s="98" t="s">
        <v>1610</v>
      </c>
      <c r="E836" s="98" t="s">
        <v>1611</v>
      </c>
      <c r="F836" s="98"/>
      <c r="G836" s="99" t="n">
        <v>6</v>
      </c>
      <c r="H836" s="59" t="s">
        <v>53</v>
      </c>
    </row>
    <row r="837">
      <c r="A837" s="10" t="s">
        <v>771</v>
      </c>
      <c r="B837" s="11" t="s">
        <v>707</v>
      </c>
      <c r="C837" s="11" t="s">
        <v>772</v>
      </c>
      <c r="D837" s="11" t="s">
        <v>773</v>
      </c>
      <c r="E837" s="11"/>
      <c r="F837" s="11" t="s">
        <v>126</v>
      </c>
      <c r="G837" s="57" t="n">
        <v>26.2</v>
      </c>
      <c r="H837" s="97" t="n">
        <v>0</v>
      </c>
    </row>
    <row r="838">
      <c r="A838" s="62"/>
      <c r="D838" s="98" t="s">
        <v>1612</v>
      </c>
      <c r="E838" s="98" t="s">
        <v>1613</v>
      </c>
      <c r="F838" s="98"/>
      <c r="G838" s="99" t="n">
        <v>14</v>
      </c>
      <c r="H838" s="100"/>
    </row>
    <row r="839">
      <c r="A839" s="10" t="s">
        <v>53</v>
      </c>
      <c r="B839" s="11" t="s">
        <v>53</v>
      </c>
      <c r="C839" s="11" t="s">
        <v>53</v>
      </c>
      <c r="D839" s="98" t="s">
        <v>1614</v>
      </c>
      <c r="E839" s="98" t="s">
        <v>1615</v>
      </c>
      <c r="F839" s="98"/>
      <c r="G839" s="99" t="n">
        <v>12.2</v>
      </c>
      <c r="H839" s="59" t="s">
        <v>53</v>
      </c>
    </row>
    <row r="840">
      <c r="A840" s="10" t="s">
        <v>774</v>
      </c>
      <c r="B840" s="11" t="s">
        <v>707</v>
      </c>
      <c r="C840" s="11" t="s">
        <v>775</v>
      </c>
      <c r="D840" s="11" t="s">
        <v>776</v>
      </c>
      <c r="E840" s="11"/>
      <c r="F840" s="11" t="s">
        <v>126</v>
      </c>
      <c r="G840" s="57" t="n">
        <v>69</v>
      </c>
      <c r="H840" s="97" t="n">
        <v>0</v>
      </c>
    </row>
    <row r="841">
      <c r="A841" s="62"/>
      <c r="D841" s="98" t="s">
        <v>1579</v>
      </c>
      <c r="E841" s="98" t="s">
        <v>1580</v>
      </c>
      <c r="F841" s="98"/>
      <c r="G841" s="99" t="n">
        <v>15.6</v>
      </c>
      <c r="H841" s="100"/>
    </row>
    <row r="842">
      <c r="A842" s="10" t="s">
        <v>53</v>
      </c>
      <c r="B842" s="11" t="s">
        <v>53</v>
      </c>
      <c r="C842" s="11" t="s">
        <v>53</v>
      </c>
      <c r="D842" s="98" t="s">
        <v>1581</v>
      </c>
      <c r="E842" s="98" t="s">
        <v>1582</v>
      </c>
      <c r="F842" s="98"/>
      <c r="G842" s="99" t="n">
        <v>6.8</v>
      </c>
      <c r="H842" s="59" t="s">
        <v>53</v>
      </c>
    </row>
    <row r="843">
      <c r="A843" s="10" t="s">
        <v>53</v>
      </c>
      <c r="B843" s="11" t="s">
        <v>53</v>
      </c>
      <c r="C843" s="11" t="s">
        <v>53</v>
      </c>
      <c r="D843" s="98" t="s">
        <v>1583</v>
      </c>
      <c r="E843" s="98" t="s">
        <v>1584</v>
      </c>
      <c r="F843" s="98"/>
      <c r="G843" s="99" t="n">
        <v>14.2</v>
      </c>
      <c r="H843" s="59" t="s">
        <v>53</v>
      </c>
    </row>
    <row r="844">
      <c r="A844" s="10" t="s">
        <v>53</v>
      </c>
      <c r="B844" s="11" t="s">
        <v>53</v>
      </c>
      <c r="C844" s="11" t="s">
        <v>53</v>
      </c>
      <c r="D844" s="98" t="s">
        <v>1585</v>
      </c>
      <c r="E844" s="98" t="s">
        <v>1586</v>
      </c>
      <c r="F844" s="98"/>
      <c r="G844" s="99" t="n">
        <v>32.4</v>
      </c>
      <c r="H844" s="59" t="s">
        <v>53</v>
      </c>
    </row>
    <row r="845">
      <c r="A845" s="10" t="s">
        <v>778</v>
      </c>
      <c r="B845" s="11" t="s">
        <v>707</v>
      </c>
      <c r="C845" s="11" t="s">
        <v>779</v>
      </c>
      <c r="D845" s="11" t="s">
        <v>780</v>
      </c>
      <c r="E845" s="11"/>
      <c r="F845" s="11" t="s">
        <v>84</v>
      </c>
      <c r="G845" s="57" t="n">
        <v>0.19114</v>
      </c>
      <c r="H845" s="97" t="n">
        <v>0</v>
      </c>
    </row>
    <row r="846">
      <c r="A846" s="62"/>
      <c r="D846" s="98" t="s">
        <v>1616</v>
      </c>
      <c r="E846" s="98" t="s">
        <v>1580</v>
      </c>
      <c r="F846" s="98"/>
      <c r="G846" s="99" t="n">
        <v>0.13728</v>
      </c>
      <c r="H846" s="100"/>
    </row>
    <row r="847">
      <c r="A847" s="10" t="s">
        <v>53</v>
      </c>
      <c r="B847" s="11" t="s">
        <v>53</v>
      </c>
      <c r="C847" s="11" t="s">
        <v>53</v>
      </c>
      <c r="D847" s="98" t="s">
        <v>1617</v>
      </c>
      <c r="E847" s="98" t="s">
        <v>1582</v>
      </c>
      <c r="F847" s="98"/>
      <c r="G847" s="99" t="n">
        <v>0.05386</v>
      </c>
      <c r="H847" s="59" t="s">
        <v>53</v>
      </c>
    </row>
    <row r="848">
      <c r="A848" s="10" t="s">
        <v>781</v>
      </c>
      <c r="B848" s="11" t="s">
        <v>707</v>
      </c>
      <c r="C848" s="11" t="s">
        <v>782</v>
      </c>
      <c r="D848" s="11" t="s">
        <v>783</v>
      </c>
      <c r="E848" s="11"/>
      <c r="F848" s="11" t="s">
        <v>84</v>
      </c>
      <c r="G848" s="57" t="n">
        <v>0.36907</v>
      </c>
      <c r="H848" s="97" t="n">
        <v>0</v>
      </c>
    </row>
    <row r="849">
      <c r="A849" s="62"/>
      <c r="D849" s="98" t="s">
        <v>1618</v>
      </c>
      <c r="E849" s="98" t="s">
        <v>1584</v>
      </c>
      <c r="F849" s="98"/>
      <c r="G849" s="99" t="n">
        <v>0.11246</v>
      </c>
      <c r="H849" s="100"/>
    </row>
    <row r="850">
      <c r="A850" s="10" t="s">
        <v>53</v>
      </c>
      <c r="B850" s="11" t="s">
        <v>53</v>
      </c>
      <c r="C850" s="11" t="s">
        <v>53</v>
      </c>
      <c r="D850" s="98" t="s">
        <v>1619</v>
      </c>
      <c r="E850" s="98" t="s">
        <v>1586</v>
      </c>
      <c r="F850" s="98"/>
      <c r="G850" s="99" t="n">
        <v>0.25661</v>
      </c>
      <c r="H850" s="59" t="s">
        <v>53</v>
      </c>
    </row>
    <row r="851">
      <c r="A851" s="10" t="s">
        <v>784</v>
      </c>
      <c r="B851" s="11" t="s">
        <v>707</v>
      </c>
      <c r="C851" s="11" t="s">
        <v>785</v>
      </c>
      <c r="D851" s="11" t="s">
        <v>786</v>
      </c>
      <c r="E851" s="11"/>
      <c r="F851" s="11" t="s">
        <v>126</v>
      </c>
      <c r="G851" s="57" t="n">
        <v>237.9</v>
      </c>
      <c r="H851" s="97" t="n">
        <v>0</v>
      </c>
    </row>
    <row r="852">
      <c r="A852" s="62"/>
      <c r="D852" s="98" t="s">
        <v>1587</v>
      </c>
      <c r="E852" s="98" t="s">
        <v>1588</v>
      </c>
      <c r="F852" s="98"/>
      <c r="G852" s="99" t="n">
        <v>12</v>
      </c>
      <c r="H852" s="100"/>
    </row>
    <row r="853">
      <c r="A853" s="10" t="s">
        <v>53</v>
      </c>
      <c r="B853" s="11" t="s">
        <v>53</v>
      </c>
      <c r="C853" s="11" t="s">
        <v>53</v>
      </c>
      <c r="D853" s="98" t="s">
        <v>1589</v>
      </c>
      <c r="E853" s="98" t="s">
        <v>1590</v>
      </c>
      <c r="F853" s="98"/>
      <c r="G853" s="99" t="n">
        <v>8.1</v>
      </c>
      <c r="H853" s="59" t="s">
        <v>53</v>
      </c>
    </row>
    <row r="854">
      <c r="A854" s="10" t="s">
        <v>53</v>
      </c>
      <c r="B854" s="11" t="s">
        <v>53</v>
      </c>
      <c r="C854" s="11" t="s">
        <v>53</v>
      </c>
      <c r="D854" s="98" t="s">
        <v>1591</v>
      </c>
      <c r="E854" s="98" t="s">
        <v>1592</v>
      </c>
      <c r="F854" s="98"/>
      <c r="G854" s="99" t="n">
        <v>18</v>
      </c>
      <c r="H854" s="59" t="s">
        <v>53</v>
      </c>
    </row>
    <row r="855">
      <c r="A855" s="10" t="s">
        <v>53</v>
      </c>
      <c r="B855" s="11" t="s">
        <v>53</v>
      </c>
      <c r="C855" s="11" t="s">
        <v>53</v>
      </c>
      <c r="D855" s="98" t="s">
        <v>1593</v>
      </c>
      <c r="E855" s="98" t="s">
        <v>1594</v>
      </c>
      <c r="F855" s="98"/>
      <c r="G855" s="99" t="n">
        <v>6.2</v>
      </c>
      <c r="H855" s="59" t="s">
        <v>53</v>
      </c>
    </row>
    <row r="856">
      <c r="A856" s="10" t="s">
        <v>53</v>
      </c>
      <c r="B856" s="11" t="s">
        <v>53</v>
      </c>
      <c r="C856" s="11" t="s">
        <v>53</v>
      </c>
      <c r="D856" s="98" t="s">
        <v>1595</v>
      </c>
      <c r="E856" s="98" t="s">
        <v>1596</v>
      </c>
      <c r="F856" s="98"/>
      <c r="G856" s="99" t="n">
        <v>12.4</v>
      </c>
      <c r="H856" s="59" t="s">
        <v>53</v>
      </c>
    </row>
    <row r="857">
      <c r="A857" s="10" t="s">
        <v>53</v>
      </c>
      <c r="B857" s="11" t="s">
        <v>53</v>
      </c>
      <c r="C857" s="11" t="s">
        <v>53</v>
      </c>
      <c r="D857" s="98" t="s">
        <v>1597</v>
      </c>
      <c r="E857" s="98" t="s">
        <v>1598</v>
      </c>
      <c r="F857" s="98"/>
      <c r="G857" s="99" t="n">
        <v>21</v>
      </c>
      <c r="H857" s="59" t="s">
        <v>53</v>
      </c>
    </row>
    <row r="858">
      <c r="A858" s="10" t="s">
        <v>53</v>
      </c>
      <c r="B858" s="11" t="s">
        <v>53</v>
      </c>
      <c r="C858" s="11" t="s">
        <v>53</v>
      </c>
      <c r="D858" s="98" t="s">
        <v>1599</v>
      </c>
      <c r="E858" s="98" t="s">
        <v>1600</v>
      </c>
      <c r="F858" s="98"/>
      <c r="G858" s="99" t="n">
        <v>7</v>
      </c>
      <c r="H858" s="59" t="s">
        <v>53</v>
      </c>
    </row>
    <row r="859">
      <c r="A859" s="10" t="s">
        <v>53</v>
      </c>
      <c r="B859" s="11" t="s">
        <v>53</v>
      </c>
      <c r="C859" s="11" t="s">
        <v>53</v>
      </c>
      <c r="D859" s="98" t="s">
        <v>1601</v>
      </c>
      <c r="E859" s="98" t="s">
        <v>1602</v>
      </c>
      <c r="F859" s="98"/>
      <c r="G859" s="99" t="n">
        <v>27.6</v>
      </c>
      <c r="H859" s="59" t="s">
        <v>53</v>
      </c>
    </row>
    <row r="860">
      <c r="A860" s="10" t="s">
        <v>53</v>
      </c>
      <c r="B860" s="11" t="s">
        <v>53</v>
      </c>
      <c r="C860" s="11" t="s">
        <v>53</v>
      </c>
      <c r="D860" s="98" t="s">
        <v>1603</v>
      </c>
      <c r="E860" s="98" t="s">
        <v>1604</v>
      </c>
      <c r="F860" s="98"/>
      <c r="G860" s="99" t="n">
        <v>8.4</v>
      </c>
      <c r="H860" s="59" t="s">
        <v>53</v>
      </c>
    </row>
    <row r="861">
      <c r="A861" s="10" t="s">
        <v>53</v>
      </c>
      <c r="B861" s="11" t="s">
        <v>53</v>
      </c>
      <c r="C861" s="11" t="s">
        <v>53</v>
      </c>
      <c r="D861" s="98" t="s">
        <v>1605</v>
      </c>
      <c r="E861" s="98" t="s">
        <v>1606</v>
      </c>
      <c r="F861" s="98"/>
      <c r="G861" s="99" t="n">
        <v>92</v>
      </c>
      <c r="H861" s="59" t="s">
        <v>53</v>
      </c>
    </row>
    <row r="862">
      <c r="A862" s="10" t="s">
        <v>53</v>
      </c>
      <c r="B862" s="11" t="s">
        <v>53</v>
      </c>
      <c r="C862" s="11" t="s">
        <v>53</v>
      </c>
      <c r="D862" s="98" t="s">
        <v>1607</v>
      </c>
      <c r="E862" s="98" t="s">
        <v>1608</v>
      </c>
      <c r="F862" s="98"/>
      <c r="G862" s="99" t="n">
        <v>25.2</v>
      </c>
      <c r="H862" s="59" t="s">
        <v>53</v>
      </c>
    </row>
    <row r="863">
      <c r="A863" s="10" t="s">
        <v>787</v>
      </c>
      <c r="B863" s="11" t="s">
        <v>707</v>
      </c>
      <c r="C863" s="11" t="s">
        <v>782</v>
      </c>
      <c r="D863" s="11" t="s">
        <v>783</v>
      </c>
      <c r="E863" s="11"/>
      <c r="F863" s="11" t="s">
        <v>84</v>
      </c>
      <c r="G863" s="57" t="n">
        <v>3.50935</v>
      </c>
      <c r="H863" s="97" t="n">
        <v>0</v>
      </c>
    </row>
    <row r="864">
      <c r="A864" s="62"/>
      <c r="D864" s="98" t="s">
        <v>1620</v>
      </c>
      <c r="E864" s="98" t="s">
        <v>1602</v>
      </c>
      <c r="F864" s="98"/>
      <c r="G864" s="99" t="n">
        <v>0.59506</v>
      </c>
      <c r="H864" s="100"/>
    </row>
    <row r="865">
      <c r="A865" s="10" t="s">
        <v>53</v>
      </c>
      <c r="B865" s="11" t="s">
        <v>53</v>
      </c>
      <c r="C865" s="11" t="s">
        <v>53</v>
      </c>
      <c r="D865" s="98" t="s">
        <v>1621</v>
      </c>
      <c r="E865" s="98" t="s">
        <v>1604</v>
      </c>
      <c r="F865" s="98"/>
      <c r="G865" s="99" t="n">
        <v>0.1811</v>
      </c>
      <c r="H865" s="59" t="s">
        <v>53</v>
      </c>
    </row>
    <row r="866">
      <c r="A866" s="10" t="s">
        <v>53</v>
      </c>
      <c r="B866" s="11" t="s">
        <v>53</v>
      </c>
      <c r="C866" s="11" t="s">
        <v>53</v>
      </c>
      <c r="D866" s="98" t="s">
        <v>1622</v>
      </c>
      <c r="E866" s="98" t="s">
        <v>1594</v>
      </c>
      <c r="F866" s="98"/>
      <c r="G866" s="99" t="n">
        <v>0.13367</v>
      </c>
      <c r="H866" s="59" t="s">
        <v>53</v>
      </c>
    </row>
    <row r="867">
      <c r="A867" s="10" t="s">
        <v>53</v>
      </c>
      <c r="B867" s="11" t="s">
        <v>53</v>
      </c>
      <c r="C867" s="11" t="s">
        <v>53</v>
      </c>
      <c r="D867" s="98" t="s">
        <v>1623</v>
      </c>
      <c r="E867" s="98" t="s">
        <v>1606</v>
      </c>
      <c r="F867" s="98"/>
      <c r="G867" s="99" t="n">
        <v>1.4168</v>
      </c>
      <c r="H867" s="59" t="s">
        <v>53</v>
      </c>
    </row>
    <row r="868">
      <c r="A868" s="10" t="s">
        <v>53</v>
      </c>
      <c r="B868" s="11" t="s">
        <v>53</v>
      </c>
      <c r="C868" s="11" t="s">
        <v>53</v>
      </c>
      <c r="D868" s="98" t="s">
        <v>1624</v>
      </c>
      <c r="E868" s="98" t="s">
        <v>1608</v>
      </c>
      <c r="F868" s="98"/>
      <c r="G868" s="99" t="n">
        <v>0.38808</v>
      </c>
      <c r="H868" s="59" t="s">
        <v>53</v>
      </c>
    </row>
    <row r="869">
      <c r="A869" s="10" t="s">
        <v>53</v>
      </c>
      <c r="B869" s="11" t="s">
        <v>53</v>
      </c>
      <c r="C869" s="11" t="s">
        <v>53</v>
      </c>
      <c r="D869" s="98" t="s">
        <v>1625</v>
      </c>
      <c r="E869" s="98" t="s">
        <v>1596</v>
      </c>
      <c r="F869" s="98"/>
      <c r="G869" s="99" t="n">
        <v>0.19096</v>
      </c>
      <c r="H869" s="59" t="s">
        <v>53</v>
      </c>
    </row>
    <row r="870">
      <c r="A870" s="10" t="s">
        <v>53</v>
      </c>
      <c r="B870" s="11" t="s">
        <v>53</v>
      </c>
      <c r="C870" s="11" t="s">
        <v>53</v>
      </c>
      <c r="D870" s="98" t="s">
        <v>1626</v>
      </c>
      <c r="E870" s="98" t="s">
        <v>1598</v>
      </c>
      <c r="F870" s="98"/>
      <c r="G870" s="99" t="n">
        <v>0.45276</v>
      </c>
      <c r="H870" s="59" t="s">
        <v>53</v>
      </c>
    </row>
    <row r="871">
      <c r="A871" s="10" t="s">
        <v>53</v>
      </c>
      <c r="B871" s="11" t="s">
        <v>53</v>
      </c>
      <c r="C871" s="11" t="s">
        <v>53</v>
      </c>
      <c r="D871" s="98" t="s">
        <v>1627</v>
      </c>
      <c r="E871" s="98" t="s">
        <v>1600</v>
      </c>
      <c r="F871" s="98"/>
      <c r="G871" s="99" t="n">
        <v>0.15092</v>
      </c>
      <c r="H871" s="59" t="s">
        <v>53</v>
      </c>
    </row>
    <row r="872">
      <c r="A872" s="10" t="s">
        <v>788</v>
      </c>
      <c r="B872" s="11" t="s">
        <v>707</v>
      </c>
      <c r="C872" s="11" t="s">
        <v>789</v>
      </c>
      <c r="D872" s="11" t="s">
        <v>790</v>
      </c>
      <c r="E872" s="11"/>
      <c r="F872" s="11" t="s">
        <v>84</v>
      </c>
      <c r="G872" s="57" t="n">
        <v>0.44352</v>
      </c>
      <c r="H872" s="97" t="n">
        <v>0</v>
      </c>
    </row>
    <row r="873">
      <c r="A873" s="62"/>
      <c r="D873" s="98" t="s">
        <v>1628</v>
      </c>
      <c r="E873" s="98" t="s">
        <v>1592</v>
      </c>
      <c r="F873" s="98"/>
      <c r="G873" s="99" t="n">
        <v>0.44352</v>
      </c>
      <c r="H873" s="100"/>
    </row>
    <row r="874">
      <c r="A874" s="10" t="s">
        <v>791</v>
      </c>
      <c r="B874" s="11" t="s">
        <v>707</v>
      </c>
      <c r="C874" s="11" t="s">
        <v>779</v>
      </c>
      <c r="D874" s="11" t="s">
        <v>780</v>
      </c>
      <c r="E874" s="11"/>
      <c r="F874" s="11" t="s">
        <v>84</v>
      </c>
      <c r="G874" s="57" t="n">
        <v>0.43336</v>
      </c>
      <c r="H874" s="97" t="n">
        <v>0</v>
      </c>
    </row>
    <row r="875">
      <c r="A875" s="62"/>
      <c r="D875" s="98" t="s">
        <v>1629</v>
      </c>
      <c r="E875" s="98" t="s">
        <v>1588</v>
      </c>
      <c r="F875" s="98"/>
      <c r="G875" s="99" t="n">
        <v>0.25872</v>
      </c>
      <c r="H875" s="100"/>
    </row>
    <row r="876">
      <c r="A876" s="10" t="s">
        <v>53</v>
      </c>
      <c r="B876" s="11" t="s">
        <v>53</v>
      </c>
      <c r="C876" s="11" t="s">
        <v>53</v>
      </c>
      <c r="D876" s="98" t="s">
        <v>1630</v>
      </c>
      <c r="E876" s="98" t="s">
        <v>1590</v>
      </c>
      <c r="F876" s="98"/>
      <c r="G876" s="99" t="n">
        <v>0.17464</v>
      </c>
      <c r="H876" s="59" t="s">
        <v>53</v>
      </c>
    </row>
    <row r="877">
      <c r="A877" s="10" t="s">
        <v>792</v>
      </c>
      <c r="B877" s="11" t="s">
        <v>707</v>
      </c>
      <c r="C877" s="11" t="s">
        <v>793</v>
      </c>
      <c r="D877" s="11" t="s">
        <v>794</v>
      </c>
      <c r="E877" s="11"/>
      <c r="F877" s="11" t="s">
        <v>126</v>
      </c>
      <c r="G877" s="57" t="n">
        <v>24</v>
      </c>
      <c r="H877" s="97" t="n">
        <v>0</v>
      </c>
    </row>
    <row r="878">
      <c r="A878" s="62"/>
      <c r="D878" s="98" t="s">
        <v>1591</v>
      </c>
      <c r="E878" s="98" t="s">
        <v>1609</v>
      </c>
      <c r="F878" s="98"/>
      <c r="G878" s="99" t="n">
        <v>18</v>
      </c>
      <c r="H878" s="100"/>
    </row>
    <row r="879">
      <c r="A879" s="10" t="s">
        <v>53</v>
      </c>
      <c r="B879" s="11" t="s">
        <v>53</v>
      </c>
      <c r="C879" s="11" t="s">
        <v>53</v>
      </c>
      <c r="D879" s="98" t="s">
        <v>1610</v>
      </c>
      <c r="E879" s="98" t="s">
        <v>1611</v>
      </c>
      <c r="F879" s="98"/>
      <c r="G879" s="99" t="n">
        <v>6</v>
      </c>
      <c r="H879" s="59" t="s">
        <v>53</v>
      </c>
    </row>
    <row r="880">
      <c r="A880" s="10" t="s">
        <v>795</v>
      </c>
      <c r="B880" s="11" t="s">
        <v>707</v>
      </c>
      <c r="C880" s="11" t="s">
        <v>796</v>
      </c>
      <c r="D880" s="11" t="s">
        <v>797</v>
      </c>
      <c r="E880" s="11"/>
      <c r="F880" s="11" t="s">
        <v>84</v>
      </c>
      <c r="G880" s="57" t="n">
        <v>0.66528</v>
      </c>
      <c r="H880" s="97" t="n">
        <v>0</v>
      </c>
    </row>
    <row r="881">
      <c r="A881" s="62"/>
      <c r="D881" s="98" t="s">
        <v>1631</v>
      </c>
      <c r="E881" s="98" t="s">
        <v>1609</v>
      </c>
      <c r="F881" s="98"/>
      <c r="G881" s="99" t="n">
        <v>0.49896</v>
      </c>
      <c r="H881" s="100"/>
    </row>
    <row r="882">
      <c r="A882" s="10" t="s">
        <v>53</v>
      </c>
      <c r="B882" s="11" t="s">
        <v>53</v>
      </c>
      <c r="C882" s="11" t="s">
        <v>53</v>
      </c>
      <c r="D882" s="98" t="s">
        <v>1632</v>
      </c>
      <c r="E882" s="98" t="s">
        <v>1611</v>
      </c>
      <c r="F882" s="98"/>
      <c r="G882" s="99" t="n">
        <v>0.16632</v>
      </c>
      <c r="H882" s="59" t="s">
        <v>53</v>
      </c>
    </row>
    <row r="883">
      <c r="A883" s="10" t="s">
        <v>798</v>
      </c>
      <c r="B883" s="11" t="s">
        <v>707</v>
      </c>
      <c r="C883" s="11" t="s">
        <v>799</v>
      </c>
      <c r="D883" s="11" t="s">
        <v>800</v>
      </c>
      <c r="E883" s="11"/>
      <c r="F883" s="11" t="s">
        <v>126</v>
      </c>
      <c r="G883" s="57" t="n">
        <v>26.2</v>
      </c>
      <c r="H883" s="97" t="n">
        <v>0</v>
      </c>
    </row>
    <row r="884">
      <c r="A884" s="62"/>
      <c r="D884" s="98" t="s">
        <v>1612</v>
      </c>
      <c r="E884" s="98" t="s">
        <v>1613</v>
      </c>
      <c r="F884" s="98"/>
      <c r="G884" s="99" t="n">
        <v>14</v>
      </c>
      <c r="H884" s="100"/>
    </row>
    <row r="885">
      <c r="A885" s="10" t="s">
        <v>53</v>
      </c>
      <c r="B885" s="11" t="s">
        <v>53</v>
      </c>
      <c r="C885" s="11" t="s">
        <v>53</v>
      </c>
      <c r="D885" s="98" t="s">
        <v>1614</v>
      </c>
      <c r="E885" s="98" t="s">
        <v>1615</v>
      </c>
      <c r="F885" s="98"/>
      <c r="G885" s="99" t="n">
        <v>12.2</v>
      </c>
      <c r="H885" s="59" t="s">
        <v>53</v>
      </c>
    </row>
    <row r="886">
      <c r="A886" s="10" t="s">
        <v>801</v>
      </c>
      <c r="B886" s="11" t="s">
        <v>707</v>
      </c>
      <c r="C886" s="11" t="s">
        <v>802</v>
      </c>
      <c r="D886" s="11" t="s">
        <v>803</v>
      </c>
      <c r="E886" s="11"/>
      <c r="F886" s="11" t="s">
        <v>84</v>
      </c>
      <c r="G886" s="57" t="n">
        <v>1.38336</v>
      </c>
      <c r="H886" s="97" t="n">
        <v>0</v>
      </c>
    </row>
    <row r="887">
      <c r="A887" s="62"/>
      <c r="D887" s="98" t="s">
        <v>1633</v>
      </c>
      <c r="E887" s="98" t="s">
        <v>1613</v>
      </c>
      <c r="F887" s="98"/>
      <c r="G887" s="99" t="n">
        <v>0.7392</v>
      </c>
      <c r="H887" s="100"/>
    </row>
    <row r="888">
      <c r="A888" s="10" t="s">
        <v>53</v>
      </c>
      <c r="B888" s="11" t="s">
        <v>53</v>
      </c>
      <c r="C888" s="11" t="s">
        <v>53</v>
      </c>
      <c r="D888" s="98" t="s">
        <v>1634</v>
      </c>
      <c r="E888" s="98" t="s">
        <v>1615</v>
      </c>
      <c r="F888" s="98"/>
      <c r="G888" s="99" t="n">
        <v>0.64416</v>
      </c>
      <c r="H888" s="59" t="s">
        <v>53</v>
      </c>
    </row>
    <row r="889">
      <c r="A889" s="10" t="s">
        <v>804</v>
      </c>
      <c r="B889" s="11" t="s">
        <v>707</v>
      </c>
      <c r="C889" s="11" t="s">
        <v>805</v>
      </c>
      <c r="D889" s="11" t="s">
        <v>806</v>
      </c>
      <c r="E889" s="11"/>
      <c r="F889" s="11" t="s">
        <v>61</v>
      </c>
      <c r="G889" s="57" t="n">
        <v>1546.56071</v>
      </c>
      <c r="H889" s="97" t="n">
        <v>0</v>
      </c>
    </row>
    <row r="890">
      <c r="A890" s="62"/>
      <c r="D890" s="98" t="s">
        <v>1635</v>
      </c>
      <c r="E890" s="98" t="s">
        <v>1636</v>
      </c>
      <c r="F890" s="98"/>
      <c r="G890" s="99" t="n">
        <v>311.20051</v>
      </c>
      <c r="H890" s="100"/>
    </row>
    <row r="891">
      <c r="A891" s="10" t="s">
        <v>53</v>
      </c>
      <c r="B891" s="11" t="s">
        <v>53</v>
      </c>
      <c r="C891" s="11" t="s">
        <v>53</v>
      </c>
      <c r="D891" s="98" t="s">
        <v>1637</v>
      </c>
      <c r="E891" s="98" t="s">
        <v>53</v>
      </c>
      <c r="F891" s="98"/>
      <c r="G891" s="99" t="n">
        <v>1235.3602</v>
      </c>
      <c r="H891" s="59" t="s">
        <v>53</v>
      </c>
    </row>
    <row r="892">
      <c r="A892" s="10" t="s">
        <v>807</v>
      </c>
      <c r="B892" s="11" t="s">
        <v>707</v>
      </c>
      <c r="C892" s="11" t="s">
        <v>808</v>
      </c>
      <c r="D892" s="11" t="s">
        <v>809</v>
      </c>
      <c r="E892" s="11"/>
      <c r="F892" s="11" t="s">
        <v>61</v>
      </c>
      <c r="G892" s="57" t="n">
        <v>1546.56071</v>
      </c>
      <c r="H892" s="97" t="n">
        <v>0</v>
      </c>
    </row>
    <row r="893">
      <c r="A893" s="62"/>
      <c r="D893" s="98" t="s">
        <v>1635</v>
      </c>
      <c r="E893" s="98" t="s">
        <v>1636</v>
      </c>
      <c r="F893" s="98"/>
      <c r="G893" s="99" t="n">
        <v>311.20051</v>
      </c>
      <c r="H893" s="100"/>
    </row>
    <row r="894">
      <c r="A894" s="10" t="s">
        <v>53</v>
      </c>
      <c r="B894" s="11" t="s">
        <v>53</v>
      </c>
      <c r="C894" s="11" t="s">
        <v>53</v>
      </c>
      <c r="D894" s="98" t="s">
        <v>1637</v>
      </c>
      <c r="E894" s="98" t="s">
        <v>53</v>
      </c>
      <c r="F894" s="98"/>
      <c r="G894" s="99" t="n">
        <v>1235.3602</v>
      </c>
      <c r="H894" s="59" t="s">
        <v>53</v>
      </c>
    </row>
    <row r="895">
      <c r="A895" s="10" t="s">
        <v>810</v>
      </c>
      <c r="B895" s="11" t="s">
        <v>707</v>
      </c>
      <c r="C895" s="11" t="s">
        <v>811</v>
      </c>
      <c r="D895" s="11" t="s">
        <v>812</v>
      </c>
      <c r="E895" s="11"/>
      <c r="F895" s="11" t="s">
        <v>126</v>
      </c>
      <c r="G895" s="57" t="n">
        <v>7413.78</v>
      </c>
      <c r="H895" s="97" t="n">
        <v>0</v>
      </c>
    </row>
    <row r="896">
      <c r="A896" s="62"/>
      <c r="D896" s="98" t="s">
        <v>1638</v>
      </c>
      <c r="E896" s="98" t="s">
        <v>1639</v>
      </c>
      <c r="F896" s="98"/>
      <c r="G896" s="99" t="n">
        <v>1369</v>
      </c>
      <c r="H896" s="100"/>
    </row>
    <row r="897">
      <c r="A897" s="10" t="s">
        <v>53</v>
      </c>
      <c r="B897" s="11" t="s">
        <v>53</v>
      </c>
      <c r="C897" s="11" t="s">
        <v>53</v>
      </c>
      <c r="D897" s="98" t="s">
        <v>1640</v>
      </c>
      <c r="E897" s="98" t="s">
        <v>1639</v>
      </c>
      <c r="F897" s="98"/>
      <c r="G897" s="99" t="n">
        <v>4752</v>
      </c>
      <c r="H897" s="59" t="s">
        <v>53</v>
      </c>
    </row>
    <row r="898">
      <c r="A898" s="10" t="s">
        <v>53</v>
      </c>
      <c r="B898" s="11" t="s">
        <v>53</v>
      </c>
      <c r="C898" s="11" t="s">
        <v>53</v>
      </c>
      <c r="D898" s="98" t="s">
        <v>1641</v>
      </c>
      <c r="E898" s="98" t="s">
        <v>1639</v>
      </c>
      <c r="F898" s="98"/>
      <c r="G898" s="99" t="n">
        <v>176.4</v>
      </c>
      <c r="H898" s="59" t="s">
        <v>53</v>
      </c>
    </row>
    <row r="899">
      <c r="A899" s="10" t="s">
        <v>53</v>
      </c>
      <c r="B899" s="11" t="s">
        <v>53</v>
      </c>
      <c r="C899" s="11" t="s">
        <v>53</v>
      </c>
      <c r="D899" s="98" t="s">
        <v>1642</v>
      </c>
      <c r="E899" s="98" t="s">
        <v>1639</v>
      </c>
      <c r="F899" s="98"/>
      <c r="G899" s="99" t="n">
        <v>442.4</v>
      </c>
      <c r="H899" s="59" t="s">
        <v>53</v>
      </c>
    </row>
    <row r="900">
      <c r="A900" s="10" t="s">
        <v>53</v>
      </c>
      <c r="B900" s="11" t="s">
        <v>53</v>
      </c>
      <c r="C900" s="11" t="s">
        <v>53</v>
      </c>
      <c r="D900" s="98" t="s">
        <v>1643</v>
      </c>
      <c r="E900" s="98" t="s">
        <v>53</v>
      </c>
      <c r="F900" s="98"/>
      <c r="G900" s="99" t="n">
        <v>673.98</v>
      </c>
      <c r="H900" s="59" t="s">
        <v>53</v>
      </c>
    </row>
    <row r="901">
      <c r="A901" s="10" t="s">
        <v>813</v>
      </c>
      <c r="B901" s="11" t="s">
        <v>707</v>
      </c>
      <c r="C901" s="11" t="s">
        <v>814</v>
      </c>
      <c r="D901" s="11" t="s">
        <v>815</v>
      </c>
      <c r="E901" s="11"/>
      <c r="F901" s="11" t="s">
        <v>61</v>
      </c>
      <c r="G901" s="57" t="n">
        <v>1546.56071</v>
      </c>
      <c r="H901" s="97" t="n">
        <v>0</v>
      </c>
    </row>
    <row r="902">
      <c r="A902" s="62"/>
      <c r="D902" s="98" t="s">
        <v>1635</v>
      </c>
      <c r="E902" s="98" t="s">
        <v>1636</v>
      </c>
      <c r="F902" s="98"/>
      <c r="G902" s="99" t="n">
        <v>311.20051</v>
      </c>
      <c r="H902" s="100"/>
    </row>
    <row r="903">
      <c r="A903" s="10" t="s">
        <v>53</v>
      </c>
      <c r="B903" s="11" t="s">
        <v>53</v>
      </c>
      <c r="C903" s="11" t="s">
        <v>53</v>
      </c>
      <c r="D903" s="98" t="s">
        <v>1637</v>
      </c>
      <c r="E903" s="98" t="s">
        <v>53</v>
      </c>
      <c r="F903" s="98"/>
      <c r="G903" s="99" t="n">
        <v>1235.3602</v>
      </c>
      <c r="H903" s="59" t="s">
        <v>53</v>
      </c>
    </row>
    <row r="904">
      <c r="A904" s="10" t="s">
        <v>816</v>
      </c>
      <c r="B904" s="11" t="s">
        <v>707</v>
      </c>
      <c r="C904" s="11" t="s">
        <v>811</v>
      </c>
      <c r="D904" s="11" t="s">
        <v>812</v>
      </c>
      <c r="E904" s="11"/>
      <c r="F904" s="11" t="s">
        <v>126</v>
      </c>
      <c r="G904" s="57" t="n">
        <v>1858.373</v>
      </c>
      <c r="H904" s="97" t="n">
        <v>0</v>
      </c>
    </row>
    <row r="905">
      <c r="A905" s="62"/>
      <c r="D905" s="98" t="s">
        <v>1644</v>
      </c>
      <c r="E905" s="98" t="s">
        <v>1639</v>
      </c>
      <c r="F905" s="98"/>
      <c r="G905" s="99" t="n">
        <v>345.63</v>
      </c>
      <c r="H905" s="100"/>
    </row>
    <row r="906">
      <c r="A906" s="10" t="s">
        <v>53</v>
      </c>
      <c r="B906" s="11" t="s">
        <v>53</v>
      </c>
      <c r="C906" s="11" t="s">
        <v>53</v>
      </c>
      <c r="D906" s="98" t="s">
        <v>1645</v>
      </c>
      <c r="E906" s="98" t="s">
        <v>1639</v>
      </c>
      <c r="F906" s="98"/>
      <c r="G906" s="99" t="n">
        <v>1207.8</v>
      </c>
      <c r="H906" s="59" t="s">
        <v>53</v>
      </c>
    </row>
    <row r="907">
      <c r="A907" s="10" t="s">
        <v>53</v>
      </c>
      <c r="B907" s="11" t="s">
        <v>53</v>
      </c>
      <c r="C907" s="11" t="s">
        <v>53</v>
      </c>
      <c r="D907" s="98" t="s">
        <v>1646</v>
      </c>
      <c r="E907" s="98" t="s">
        <v>1639</v>
      </c>
      <c r="F907" s="98"/>
      <c r="G907" s="99" t="n">
        <v>136</v>
      </c>
      <c r="H907" s="59" t="s">
        <v>53</v>
      </c>
    </row>
    <row r="908">
      <c r="A908" s="10" t="s">
        <v>53</v>
      </c>
      <c r="B908" s="11" t="s">
        <v>53</v>
      </c>
      <c r="C908" s="11" t="s">
        <v>53</v>
      </c>
      <c r="D908" s="98" t="s">
        <v>1647</v>
      </c>
      <c r="E908" s="98" t="s">
        <v>53</v>
      </c>
      <c r="F908" s="98"/>
      <c r="G908" s="99" t="n">
        <v>168.943</v>
      </c>
      <c r="H908" s="59" t="s">
        <v>53</v>
      </c>
    </row>
    <row r="909">
      <c r="A909" s="10" t="s">
        <v>817</v>
      </c>
      <c r="B909" s="11" t="s">
        <v>707</v>
      </c>
      <c r="C909" s="11" t="s">
        <v>818</v>
      </c>
      <c r="D909" s="11" t="s">
        <v>819</v>
      </c>
      <c r="E909" s="11"/>
      <c r="F909" s="11" t="s">
        <v>314</v>
      </c>
      <c r="G909" s="57" t="n">
        <v>48.10692</v>
      </c>
      <c r="H909" s="97" t="n">
        <v>0</v>
      </c>
    </row>
    <row r="910">
      <c r="A910" s="96" t="s">
        <v>53</v>
      </c>
      <c r="B910" s="52" t="s">
        <v>707</v>
      </c>
      <c r="C910" s="52" t="s">
        <v>362</v>
      </c>
      <c r="D910" s="52" t="s">
        <v>363</v>
      </c>
      <c r="E910" s="52"/>
      <c r="F910" s="52" t="s">
        <v>53</v>
      </c>
      <c r="G910" s="33" t="s">
        <v>53</v>
      </c>
      <c r="H910" s="56" t="s">
        <v>53</v>
      </c>
    </row>
    <row r="911">
      <c r="A911" s="10" t="s">
        <v>820</v>
      </c>
      <c r="B911" s="11" t="s">
        <v>707</v>
      </c>
      <c r="C911" s="11" t="s">
        <v>821</v>
      </c>
      <c r="D911" s="11" t="s">
        <v>822</v>
      </c>
      <c r="E911" s="11"/>
      <c r="F911" s="11" t="s">
        <v>61</v>
      </c>
      <c r="G911" s="57" t="n">
        <v>1546.56071</v>
      </c>
      <c r="H911" s="97" t="n">
        <v>0</v>
      </c>
    </row>
    <row r="912">
      <c r="A912" s="62"/>
      <c r="D912" s="98" t="s">
        <v>1635</v>
      </c>
      <c r="E912" s="98" t="s">
        <v>1636</v>
      </c>
      <c r="F912" s="98"/>
      <c r="G912" s="99" t="n">
        <v>311.20051</v>
      </c>
      <c r="H912" s="100"/>
    </row>
    <row r="913">
      <c r="A913" s="10" t="s">
        <v>53</v>
      </c>
      <c r="B913" s="11" t="s">
        <v>53</v>
      </c>
      <c r="C913" s="11" t="s">
        <v>53</v>
      </c>
      <c r="D913" s="98" t="s">
        <v>1637</v>
      </c>
      <c r="E913" s="98" t="s">
        <v>53</v>
      </c>
      <c r="F913" s="98"/>
      <c r="G913" s="99" t="n">
        <v>1235.3602</v>
      </c>
      <c r="H913" s="59" t="s">
        <v>53</v>
      </c>
    </row>
    <row r="914">
      <c r="A914" s="10" t="s">
        <v>824</v>
      </c>
      <c r="B914" s="11" t="s">
        <v>707</v>
      </c>
      <c r="C914" s="11" t="s">
        <v>825</v>
      </c>
      <c r="D914" s="11" t="s">
        <v>826</v>
      </c>
      <c r="E914" s="11"/>
      <c r="F914" s="11" t="s">
        <v>126</v>
      </c>
      <c r="G914" s="57" t="n">
        <v>177.41</v>
      </c>
      <c r="H914" s="97" t="n">
        <v>0</v>
      </c>
    </row>
    <row r="915">
      <c r="A915" s="62"/>
      <c r="D915" s="98" t="s">
        <v>1648</v>
      </c>
      <c r="E915" s="98" t="s">
        <v>53</v>
      </c>
      <c r="F915" s="98"/>
      <c r="G915" s="99" t="n">
        <v>177.41</v>
      </c>
      <c r="H915" s="100"/>
    </row>
    <row r="916">
      <c r="A916" s="10" t="s">
        <v>827</v>
      </c>
      <c r="B916" s="11" t="s">
        <v>707</v>
      </c>
      <c r="C916" s="11" t="s">
        <v>828</v>
      </c>
      <c r="D916" s="11" t="s">
        <v>829</v>
      </c>
      <c r="E916" s="11"/>
      <c r="F916" s="11" t="s">
        <v>61</v>
      </c>
      <c r="G916" s="57" t="n">
        <v>48.9126</v>
      </c>
      <c r="H916" s="97" t="n">
        <v>0</v>
      </c>
    </row>
    <row r="917">
      <c r="A917" s="62"/>
      <c r="D917" s="98" t="s">
        <v>1649</v>
      </c>
      <c r="E917" s="98" t="s">
        <v>1650</v>
      </c>
      <c r="F917" s="98"/>
      <c r="G917" s="99" t="n">
        <v>28.512</v>
      </c>
      <c r="H917" s="100"/>
    </row>
    <row r="918">
      <c r="A918" s="10" t="s">
        <v>53</v>
      </c>
      <c r="B918" s="11" t="s">
        <v>53</v>
      </c>
      <c r="C918" s="11" t="s">
        <v>53</v>
      </c>
      <c r="D918" s="98" t="s">
        <v>1651</v>
      </c>
      <c r="E918" s="98" t="s">
        <v>1652</v>
      </c>
      <c r="F918" s="98"/>
      <c r="G918" s="99" t="n">
        <v>2.178</v>
      </c>
      <c r="H918" s="59" t="s">
        <v>53</v>
      </c>
    </row>
    <row r="919">
      <c r="A919" s="10" t="s">
        <v>53</v>
      </c>
      <c r="B919" s="11" t="s">
        <v>53</v>
      </c>
      <c r="C919" s="11" t="s">
        <v>53</v>
      </c>
      <c r="D919" s="98" t="s">
        <v>1653</v>
      </c>
      <c r="E919" s="98" t="s">
        <v>1654</v>
      </c>
      <c r="F919" s="98"/>
      <c r="G919" s="99" t="n">
        <v>0.792</v>
      </c>
      <c r="H919" s="59" t="s">
        <v>53</v>
      </c>
    </row>
    <row r="920">
      <c r="A920" s="10" t="s">
        <v>53</v>
      </c>
      <c r="B920" s="11" t="s">
        <v>53</v>
      </c>
      <c r="C920" s="11" t="s">
        <v>53</v>
      </c>
      <c r="D920" s="98" t="s">
        <v>1655</v>
      </c>
      <c r="E920" s="98" t="s">
        <v>1656</v>
      </c>
      <c r="F920" s="98"/>
      <c r="G920" s="99" t="n">
        <v>1.881</v>
      </c>
      <c r="H920" s="59" t="s">
        <v>53</v>
      </c>
    </row>
    <row r="921">
      <c r="A921" s="10" t="s">
        <v>53</v>
      </c>
      <c r="B921" s="11" t="s">
        <v>53</v>
      </c>
      <c r="C921" s="11" t="s">
        <v>53</v>
      </c>
      <c r="D921" s="98" t="s">
        <v>1657</v>
      </c>
      <c r="E921" s="98" t="s">
        <v>1658</v>
      </c>
      <c r="F921" s="98"/>
      <c r="G921" s="99" t="n">
        <v>7.161</v>
      </c>
      <c r="H921" s="59" t="s">
        <v>53</v>
      </c>
    </row>
    <row r="922">
      <c r="A922" s="10" t="s">
        <v>53</v>
      </c>
      <c r="B922" s="11" t="s">
        <v>53</v>
      </c>
      <c r="C922" s="11" t="s">
        <v>53</v>
      </c>
      <c r="D922" s="98" t="s">
        <v>1659</v>
      </c>
      <c r="E922" s="98" t="s">
        <v>1660</v>
      </c>
      <c r="F922" s="98"/>
      <c r="G922" s="99" t="n">
        <v>3.96</v>
      </c>
      <c r="H922" s="59" t="s">
        <v>53</v>
      </c>
    </row>
    <row r="923">
      <c r="A923" s="10" t="s">
        <v>53</v>
      </c>
      <c r="B923" s="11" t="s">
        <v>53</v>
      </c>
      <c r="C923" s="11" t="s">
        <v>53</v>
      </c>
      <c r="D923" s="98" t="s">
        <v>1661</v>
      </c>
      <c r="E923" s="98" t="s">
        <v>1662</v>
      </c>
      <c r="F923" s="98"/>
      <c r="G923" s="99" t="n">
        <v>2.475</v>
      </c>
      <c r="H923" s="59" t="s">
        <v>53</v>
      </c>
    </row>
    <row r="924">
      <c r="A924" s="10" t="s">
        <v>53</v>
      </c>
      <c r="B924" s="11" t="s">
        <v>53</v>
      </c>
      <c r="C924" s="11" t="s">
        <v>53</v>
      </c>
      <c r="D924" s="98" t="s">
        <v>1663</v>
      </c>
      <c r="E924" s="98" t="s">
        <v>1664</v>
      </c>
      <c r="F924" s="98"/>
      <c r="G924" s="99" t="n">
        <v>1.9536</v>
      </c>
      <c r="H924" s="59" t="s">
        <v>53</v>
      </c>
    </row>
    <row r="925">
      <c r="A925" s="10" t="s">
        <v>830</v>
      </c>
      <c r="B925" s="11" t="s">
        <v>707</v>
      </c>
      <c r="C925" s="11" t="s">
        <v>831</v>
      </c>
      <c r="D925" s="11" t="s">
        <v>832</v>
      </c>
      <c r="E925" s="11"/>
      <c r="F925" s="11" t="s">
        <v>174</v>
      </c>
      <c r="G925" s="57" t="n">
        <v>20</v>
      </c>
      <c r="H925" s="97" t="n">
        <v>0</v>
      </c>
    </row>
    <row r="926">
      <c r="A926" s="10" t="s">
        <v>833</v>
      </c>
      <c r="B926" s="11" t="s">
        <v>707</v>
      </c>
      <c r="C926" s="11" t="s">
        <v>834</v>
      </c>
      <c r="D926" s="11" t="s">
        <v>835</v>
      </c>
      <c r="E926" s="11"/>
      <c r="F926" s="11" t="s">
        <v>174</v>
      </c>
      <c r="G926" s="57" t="n">
        <v>194</v>
      </c>
      <c r="H926" s="97" t="n">
        <v>0</v>
      </c>
    </row>
    <row r="927">
      <c r="A927" s="62"/>
      <c r="D927" s="98" t="s">
        <v>1665</v>
      </c>
      <c r="E927" s="98" t="s">
        <v>53</v>
      </c>
      <c r="F927" s="98"/>
      <c r="G927" s="99" t="n">
        <v>194</v>
      </c>
      <c r="H927" s="100"/>
    </row>
    <row r="928">
      <c r="A928" s="10" t="s">
        <v>836</v>
      </c>
      <c r="B928" s="11" t="s">
        <v>707</v>
      </c>
      <c r="C928" s="11" t="s">
        <v>837</v>
      </c>
      <c r="D928" s="11" t="s">
        <v>838</v>
      </c>
      <c r="E928" s="11"/>
      <c r="F928" s="11" t="s">
        <v>174</v>
      </c>
      <c r="G928" s="57" t="n">
        <v>194</v>
      </c>
      <c r="H928" s="97" t="n">
        <v>0</v>
      </c>
    </row>
    <row r="929">
      <c r="A929" s="62"/>
      <c r="D929" s="98" t="s">
        <v>1665</v>
      </c>
      <c r="E929" s="98" t="s">
        <v>53</v>
      </c>
      <c r="F929" s="98"/>
      <c r="G929" s="99" t="n">
        <v>194</v>
      </c>
      <c r="H929" s="100"/>
    </row>
    <row r="930">
      <c r="A930" s="10" t="s">
        <v>839</v>
      </c>
      <c r="B930" s="11" t="s">
        <v>707</v>
      </c>
      <c r="C930" s="11" t="s">
        <v>840</v>
      </c>
      <c r="D930" s="11" t="s">
        <v>841</v>
      </c>
      <c r="E930" s="11"/>
      <c r="F930" s="11" t="s">
        <v>126</v>
      </c>
      <c r="G930" s="57" t="n">
        <v>178.01</v>
      </c>
      <c r="H930" s="97" t="n">
        <v>0</v>
      </c>
    </row>
    <row r="931">
      <c r="A931" s="62"/>
      <c r="D931" s="98" t="s">
        <v>1666</v>
      </c>
      <c r="E931" s="98" t="s">
        <v>53</v>
      </c>
      <c r="F931" s="98"/>
      <c r="G931" s="99" t="n">
        <v>178.01</v>
      </c>
      <c r="H931" s="100"/>
    </row>
    <row r="932">
      <c r="A932" s="10" t="s">
        <v>842</v>
      </c>
      <c r="B932" s="11" t="s">
        <v>707</v>
      </c>
      <c r="C932" s="11" t="s">
        <v>843</v>
      </c>
      <c r="D932" s="11" t="s">
        <v>844</v>
      </c>
      <c r="E932" s="11"/>
      <c r="F932" s="11" t="s">
        <v>174</v>
      </c>
      <c r="G932" s="57" t="n">
        <v>9</v>
      </c>
      <c r="H932" s="97" t="n">
        <v>0</v>
      </c>
    </row>
    <row r="933">
      <c r="A933" s="10" t="s">
        <v>845</v>
      </c>
      <c r="B933" s="11" t="s">
        <v>707</v>
      </c>
      <c r="C933" s="11" t="s">
        <v>846</v>
      </c>
      <c r="D933" s="11" t="s">
        <v>847</v>
      </c>
      <c r="E933" s="11"/>
      <c r="F933" s="11" t="s">
        <v>174</v>
      </c>
      <c r="G933" s="57" t="n">
        <v>16</v>
      </c>
      <c r="H933" s="97" t="n">
        <v>0</v>
      </c>
    </row>
    <row r="934">
      <c r="A934" s="10" t="s">
        <v>848</v>
      </c>
      <c r="B934" s="11" t="s">
        <v>707</v>
      </c>
      <c r="C934" s="11" t="s">
        <v>849</v>
      </c>
      <c r="D934" s="11" t="s">
        <v>850</v>
      </c>
      <c r="E934" s="11"/>
      <c r="F934" s="11" t="s">
        <v>126</v>
      </c>
      <c r="G934" s="57" t="n">
        <v>19.1</v>
      </c>
      <c r="H934" s="97" t="n">
        <v>0</v>
      </c>
    </row>
    <row r="935">
      <c r="A935" s="62"/>
      <c r="D935" s="98" t="s">
        <v>1667</v>
      </c>
      <c r="E935" s="98" t="s">
        <v>53</v>
      </c>
      <c r="F935" s="98"/>
      <c r="G935" s="99" t="n">
        <v>19.1</v>
      </c>
      <c r="H935" s="100"/>
    </row>
    <row r="936">
      <c r="A936" s="10" t="s">
        <v>851</v>
      </c>
      <c r="B936" s="11" t="s">
        <v>707</v>
      </c>
      <c r="C936" s="11" t="s">
        <v>852</v>
      </c>
      <c r="D936" s="11" t="s">
        <v>853</v>
      </c>
      <c r="E936" s="11"/>
      <c r="F936" s="11" t="s">
        <v>126</v>
      </c>
      <c r="G936" s="57" t="n">
        <v>107.4</v>
      </c>
      <c r="H936" s="97" t="n">
        <v>0</v>
      </c>
    </row>
    <row r="937">
      <c r="A937" s="62"/>
      <c r="D937" s="98" t="s">
        <v>1668</v>
      </c>
      <c r="E937" s="98" t="s">
        <v>53</v>
      </c>
      <c r="F937" s="98"/>
      <c r="G937" s="99" t="n">
        <v>107.4</v>
      </c>
      <c r="H937" s="100"/>
    </row>
    <row r="938">
      <c r="A938" s="10" t="s">
        <v>854</v>
      </c>
      <c r="B938" s="11" t="s">
        <v>707</v>
      </c>
      <c r="C938" s="11" t="s">
        <v>855</v>
      </c>
      <c r="D938" s="11" t="s">
        <v>856</v>
      </c>
      <c r="E938" s="11"/>
      <c r="F938" s="11" t="s">
        <v>126</v>
      </c>
      <c r="G938" s="57" t="n">
        <v>79.5</v>
      </c>
      <c r="H938" s="97" t="n">
        <v>0</v>
      </c>
    </row>
    <row r="939">
      <c r="A939" s="62"/>
      <c r="D939" s="98" t="s">
        <v>1669</v>
      </c>
      <c r="E939" s="98" t="s">
        <v>53</v>
      </c>
      <c r="F939" s="98"/>
      <c r="G939" s="99" t="n">
        <v>50</v>
      </c>
      <c r="H939" s="100"/>
    </row>
    <row r="940">
      <c r="A940" s="10" t="s">
        <v>53</v>
      </c>
      <c r="B940" s="11" t="s">
        <v>53</v>
      </c>
      <c r="C940" s="11" t="s">
        <v>53</v>
      </c>
      <c r="D940" s="98" t="s">
        <v>1431</v>
      </c>
      <c r="E940" s="98" t="s">
        <v>53</v>
      </c>
      <c r="F940" s="98"/>
      <c r="G940" s="99" t="n">
        <v>29.5</v>
      </c>
      <c r="H940" s="59" t="s">
        <v>53</v>
      </c>
    </row>
    <row r="941">
      <c r="A941" s="10" t="s">
        <v>857</v>
      </c>
      <c r="B941" s="11" t="s">
        <v>707</v>
      </c>
      <c r="C941" s="11" t="s">
        <v>858</v>
      </c>
      <c r="D941" s="11" t="s">
        <v>859</v>
      </c>
      <c r="E941" s="11"/>
      <c r="F941" s="11" t="s">
        <v>126</v>
      </c>
      <c r="G941" s="57" t="n">
        <v>54.5</v>
      </c>
      <c r="H941" s="97" t="n">
        <v>0</v>
      </c>
    </row>
    <row r="942">
      <c r="A942" s="62"/>
      <c r="D942" s="98" t="s">
        <v>1670</v>
      </c>
      <c r="E942" s="98" t="s">
        <v>53</v>
      </c>
      <c r="F942" s="98"/>
      <c r="G942" s="99" t="n">
        <v>25</v>
      </c>
      <c r="H942" s="100"/>
    </row>
    <row r="943">
      <c r="A943" s="10" t="s">
        <v>53</v>
      </c>
      <c r="B943" s="11" t="s">
        <v>53</v>
      </c>
      <c r="C943" s="11" t="s">
        <v>53</v>
      </c>
      <c r="D943" s="98" t="s">
        <v>1431</v>
      </c>
      <c r="E943" s="98" t="s">
        <v>53</v>
      </c>
      <c r="F943" s="98"/>
      <c r="G943" s="99" t="n">
        <v>29.5</v>
      </c>
      <c r="H943" s="59" t="s">
        <v>53</v>
      </c>
    </row>
    <row r="944">
      <c r="A944" s="10" t="s">
        <v>860</v>
      </c>
      <c r="B944" s="11" t="s">
        <v>707</v>
      </c>
      <c r="C944" s="11" t="s">
        <v>861</v>
      </c>
      <c r="D944" s="11" t="s">
        <v>862</v>
      </c>
      <c r="E944" s="11"/>
      <c r="F944" s="11" t="s">
        <v>61</v>
      </c>
      <c r="G944" s="57" t="n">
        <v>1546.56071</v>
      </c>
      <c r="H944" s="97" t="n">
        <v>0</v>
      </c>
    </row>
    <row r="945">
      <c r="A945" s="62"/>
      <c r="D945" s="98" t="s">
        <v>1635</v>
      </c>
      <c r="E945" s="98" t="s">
        <v>1636</v>
      </c>
      <c r="F945" s="98"/>
      <c r="G945" s="99" t="n">
        <v>311.20051</v>
      </c>
      <c r="H945" s="100"/>
    </row>
    <row r="946">
      <c r="A946" s="10" t="s">
        <v>53</v>
      </c>
      <c r="B946" s="11" t="s">
        <v>53</v>
      </c>
      <c r="C946" s="11" t="s">
        <v>53</v>
      </c>
      <c r="D946" s="98" t="s">
        <v>1637</v>
      </c>
      <c r="E946" s="98" t="s">
        <v>53</v>
      </c>
      <c r="F946" s="98"/>
      <c r="G946" s="99" t="n">
        <v>1235.3602</v>
      </c>
      <c r="H946" s="59" t="s">
        <v>53</v>
      </c>
    </row>
    <row r="947">
      <c r="A947" s="10" t="s">
        <v>863</v>
      </c>
      <c r="B947" s="11" t="s">
        <v>707</v>
      </c>
      <c r="C947" s="11" t="s">
        <v>864</v>
      </c>
      <c r="D947" s="11" t="s">
        <v>865</v>
      </c>
      <c r="E947" s="11"/>
      <c r="F947" s="11" t="s">
        <v>61</v>
      </c>
      <c r="G947" s="57" t="n">
        <v>1778.54482</v>
      </c>
      <c r="H947" s="97" t="n">
        <v>0</v>
      </c>
    </row>
    <row r="948">
      <c r="A948" s="62"/>
      <c r="D948" s="98" t="s">
        <v>1671</v>
      </c>
      <c r="E948" s="98" t="s">
        <v>53</v>
      </c>
      <c r="F948" s="98"/>
      <c r="G948" s="99" t="n">
        <v>1546.56071</v>
      </c>
      <c r="H948" s="100"/>
    </row>
    <row r="949">
      <c r="A949" s="10" t="s">
        <v>53</v>
      </c>
      <c r="B949" s="11" t="s">
        <v>53</v>
      </c>
      <c r="C949" s="11" t="s">
        <v>53</v>
      </c>
      <c r="D949" s="98" t="s">
        <v>1672</v>
      </c>
      <c r="E949" s="98" t="s">
        <v>53</v>
      </c>
      <c r="F949" s="98"/>
      <c r="G949" s="99" t="n">
        <v>231.98411</v>
      </c>
      <c r="H949" s="59" t="s">
        <v>53</v>
      </c>
    </row>
    <row r="950">
      <c r="A950" s="10" t="s">
        <v>866</v>
      </c>
      <c r="B950" s="11" t="s">
        <v>707</v>
      </c>
      <c r="C950" s="11" t="s">
        <v>867</v>
      </c>
      <c r="D950" s="11" t="s">
        <v>868</v>
      </c>
      <c r="E950" s="11"/>
      <c r="F950" s="11" t="s">
        <v>126</v>
      </c>
      <c r="G950" s="57" t="n">
        <v>177.41</v>
      </c>
      <c r="H950" s="97" t="n">
        <v>0</v>
      </c>
    </row>
    <row r="951">
      <c r="A951" s="10" t="s">
        <v>869</v>
      </c>
      <c r="B951" s="11" t="s">
        <v>707</v>
      </c>
      <c r="C951" s="11" t="s">
        <v>870</v>
      </c>
      <c r="D951" s="11" t="s">
        <v>871</v>
      </c>
      <c r="E951" s="11"/>
      <c r="F951" s="11" t="s">
        <v>61</v>
      </c>
      <c r="G951" s="57" t="n">
        <v>48.9126</v>
      </c>
      <c r="H951" s="97" t="n">
        <v>0</v>
      </c>
    </row>
    <row r="952">
      <c r="A952" s="62"/>
      <c r="D952" s="98" t="s">
        <v>1649</v>
      </c>
      <c r="E952" s="98" t="s">
        <v>1650</v>
      </c>
      <c r="F952" s="98"/>
      <c r="G952" s="99" t="n">
        <v>28.512</v>
      </c>
      <c r="H952" s="100"/>
    </row>
    <row r="953">
      <c r="A953" s="10" t="s">
        <v>53</v>
      </c>
      <c r="B953" s="11" t="s">
        <v>53</v>
      </c>
      <c r="C953" s="11" t="s">
        <v>53</v>
      </c>
      <c r="D953" s="98" t="s">
        <v>1651</v>
      </c>
      <c r="E953" s="98" t="s">
        <v>1652</v>
      </c>
      <c r="F953" s="98"/>
      <c r="G953" s="99" t="n">
        <v>2.178</v>
      </c>
      <c r="H953" s="59" t="s">
        <v>53</v>
      </c>
    </row>
    <row r="954">
      <c r="A954" s="10" t="s">
        <v>53</v>
      </c>
      <c r="B954" s="11" t="s">
        <v>53</v>
      </c>
      <c r="C954" s="11" t="s">
        <v>53</v>
      </c>
      <c r="D954" s="98" t="s">
        <v>1653</v>
      </c>
      <c r="E954" s="98" t="s">
        <v>1654</v>
      </c>
      <c r="F954" s="98"/>
      <c r="G954" s="99" t="n">
        <v>0.792</v>
      </c>
      <c r="H954" s="59" t="s">
        <v>53</v>
      </c>
    </row>
    <row r="955">
      <c r="A955" s="10" t="s">
        <v>53</v>
      </c>
      <c r="B955" s="11" t="s">
        <v>53</v>
      </c>
      <c r="C955" s="11" t="s">
        <v>53</v>
      </c>
      <c r="D955" s="98" t="s">
        <v>1655</v>
      </c>
      <c r="E955" s="98" t="s">
        <v>1656</v>
      </c>
      <c r="F955" s="98"/>
      <c r="G955" s="99" t="n">
        <v>1.881</v>
      </c>
      <c r="H955" s="59" t="s">
        <v>53</v>
      </c>
    </row>
    <row r="956">
      <c r="A956" s="10" t="s">
        <v>53</v>
      </c>
      <c r="B956" s="11" t="s">
        <v>53</v>
      </c>
      <c r="C956" s="11" t="s">
        <v>53</v>
      </c>
      <c r="D956" s="98" t="s">
        <v>1657</v>
      </c>
      <c r="E956" s="98" t="s">
        <v>1658</v>
      </c>
      <c r="F956" s="98"/>
      <c r="G956" s="99" t="n">
        <v>7.161</v>
      </c>
      <c r="H956" s="59" t="s">
        <v>53</v>
      </c>
    </row>
    <row r="957">
      <c r="A957" s="10" t="s">
        <v>53</v>
      </c>
      <c r="B957" s="11" t="s">
        <v>53</v>
      </c>
      <c r="C957" s="11" t="s">
        <v>53</v>
      </c>
      <c r="D957" s="98" t="s">
        <v>1659</v>
      </c>
      <c r="E957" s="98" t="s">
        <v>1660</v>
      </c>
      <c r="F957" s="98"/>
      <c r="G957" s="99" t="n">
        <v>3.96</v>
      </c>
      <c r="H957" s="59" t="s">
        <v>53</v>
      </c>
    </row>
    <row r="958">
      <c r="A958" s="10" t="s">
        <v>53</v>
      </c>
      <c r="B958" s="11" t="s">
        <v>53</v>
      </c>
      <c r="C958" s="11" t="s">
        <v>53</v>
      </c>
      <c r="D958" s="98" t="s">
        <v>1661</v>
      </c>
      <c r="E958" s="98" t="s">
        <v>1662</v>
      </c>
      <c r="F958" s="98"/>
      <c r="G958" s="99" t="n">
        <v>2.475</v>
      </c>
      <c r="H958" s="59" t="s">
        <v>53</v>
      </c>
    </row>
    <row r="959">
      <c r="A959" s="10" t="s">
        <v>53</v>
      </c>
      <c r="B959" s="11" t="s">
        <v>53</v>
      </c>
      <c r="C959" s="11" t="s">
        <v>53</v>
      </c>
      <c r="D959" s="98" t="s">
        <v>1663</v>
      </c>
      <c r="E959" s="98" t="s">
        <v>1664</v>
      </c>
      <c r="F959" s="98"/>
      <c r="G959" s="99" t="n">
        <v>1.9536</v>
      </c>
      <c r="H959" s="59" t="s">
        <v>53</v>
      </c>
    </row>
    <row r="960">
      <c r="A960" s="10" t="s">
        <v>872</v>
      </c>
      <c r="B960" s="11" t="s">
        <v>707</v>
      </c>
      <c r="C960" s="11" t="s">
        <v>387</v>
      </c>
      <c r="D960" s="11" t="s">
        <v>388</v>
      </c>
      <c r="E960" s="11"/>
      <c r="F960" s="11" t="s">
        <v>126</v>
      </c>
      <c r="G960" s="57" t="n">
        <v>142.52</v>
      </c>
      <c r="H960" s="97" t="n">
        <v>0</v>
      </c>
    </row>
    <row r="961">
      <c r="A961" s="10" t="s">
        <v>873</v>
      </c>
      <c r="B961" s="11" t="s">
        <v>707</v>
      </c>
      <c r="C961" s="11" t="s">
        <v>138</v>
      </c>
      <c r="D961" s="11" t="s">
        <v>874</v>
      </c>
      <c r="E961" s="11"/>
      <c r="F961" s="11" t="s">
        <v>174</v>
      </c>
      <c r="G961" s="57" t="n">
        <v>78.386</v>
      </c>
      <c r="H961" s="97" t="n">
        <v>0</v>
      </c>
    </row>
    <row r="962">
      <c r="A962" s="62"/>
      <c r="D962" s="98" t="s">
        <v>1673</v>
      </c>
      <c r="E962" s="98" t="s">
        <v>53</v>
      </c>
      <c r="F962" s="98"/>
      <c r="G962" s="99" t="n">
        <v>71.26</v>
      </c>
      <c r="H962" s="100"/>
    </row>
    <row r="963">
      <c r="A963" s="10" t="s">
        <v>53</v>
      </c>
      <c r="B963" s="11" t="s">
        <v>53</v>
      </c>
      <c r="C963" s="11" t="s">
        <v>53</v>
      </c>
      <c r="D963" s="98" t="s">
        <v>1674</v>
      </c>
      <c r="E963" s="98" t="s">
        <v>53</v>
      </c>
      <c r="F963" s="98"/>
      <c r="G963" s="99" t="n">
        <v>7.126</v>
      </c>
      <c r="H963" s="59" t="s">
        <v>53</v>
      </c>
    </row>
    <row r="964">
      <c r="A964" s="10" t="s">
        <v>875</v>
      </c>
      <c r="B964" s="11" t="s">
        <v>707</v>
      </c>
      <c r="C964" s="11" t="s">
        <v>138</v>
      </c>
      <c r="D964" s="11" t="s">
        <v>876</v>
      </c>
      <c r="E964" s="11"/>
      <c r="F964" s="11" t="s">
        <v>61</v>
      </c>
      <c r="G964" s="57" t="n">
        <v>45.8609</v>
      </c>
      <c r="H964" s="97" t="n">
        <v>0</v>
      </c>
    </row>
    <row r="965">
      <c r="A965" s="62"/>
      <c r="D965" s="98" t="s">
        <v>1675</v>
      </c>
      <c r="E965" s="98" t="s">
        <v>1650</v>
      </c>
      <c r="F965" s="98"/>
      <c r="G965" s="99" t="n">
        <v>21.645</v>
      </c>
      <c r="H965" s="100"/>
    </row>
    <row r="966">
      <c r="A966" s="10" t="s">
        <v>53</v>
      </c>
      <c r="B966" s="11" t="s">
        <v>53</v>
      </c>
      <c r="C966" s="11" t="s">
        <v>53</v>
      </c>
      <c r="D966" s="98" t="s">
        <v>1676</v>
      </c>
      <c r="E966" s="98" t="s">
        <v>1652</v>
      </c>
      <c r="F966" s="98"/>
      <c r="G966" s="99" t="n">
        <v>2.3275</v>
      </c>
      <c r="H966" s="59" t="s">
        <v>53</v>
      </c>
    </row>
    <row r="967">
      <c r="A967" s="10" t="s">
        <v>53</v>
      </c>
      <c r="B967" s="11" t="s">
        <v>53</v>
      </c>
      <c r="C967" s="11" t="s">
        <v>53</v>
      </c>
      <c r="D967" s="98" t="s">
        <v>1677</v>
      </c>
      <c r="E967" s="98" t="s">
        <v>1654</v>
      </c>
      <c r="F967" s="98"/>
      <c r="G967" s="99" t="n">
        <v>0.4225</v>
      </c>
      <c r="H967" s="59" t="s">
        <v>53</v>
      </c>
    </row>
    <row r="968">
      <c r="A968" s="10" t="s">
        <v>53</v>
      </c>
      <c r="B968" s="11" t="s">
        <v>53</v>
      </c>
      <c r="C968" s="11" t="s">
        <v>53</v>
      </c>
      <c r="D968" s="98" t="s">
        <v>1678</v>
      </c>
      <c r="E968" s="98" t="s">
        <v>1656</v>
      </c>
      <c r="F968" s="98"/>
      <c r="G968" s="99" t="n">
        <v>1.495</v>
      </c>
      <c r="H968" s="59" t="s">
        <v>53</v>
      </c>
    </row>
    <row r="969">
      <c r="A969" s="10" t="s">
        <v>53</v>
      </c>
      <c r="B969" s="11" t="s">
        <v>53</v>
      </c>
      <c r="C969" s="11" t="s">
        <v>53</v>
      </c>
      <c r="D969" s="98" t="s">
        <v>1679</v>
      </c>
      <c r="E969" s="98" t="s">
        <v>1658</v>
      </c>
      <c r="F969" s="98"/>
      <c r="G969" s="99" t="n">
        <v>11.685</v>
      </c>
      <c r="H969" s="59" t="s">
        <v>53</v>
      </c>
    </row>
    <row r="970">
      <c r="A970" s="10" t="s">
        <v>53</v>
      </c>
      <c r="B970" s="11" t="s">
        <v>53</v>
      </c>
      <c r="C970" s="11" t="s">
        <v>53</v>
      </c>
      <c r="D970" s="98" t="s">
        <v>1680</v>
      </c>
      <c r="E970" s="98" t="s">
        <v>1660</v>
      </c>
      <c r="F970" s="98"/>
      <c r="G970" s="99" t="n">
        <v>3.185</v>
      </c>
      <c r="H970" s="59" t="s">
        <v>53</v>
      </c>
    </row>
    <row r="971">
      <c r="A971" s="10" t="s">
        <v>53</v>
      </c>
      <c r="B971" s="11" t="s">
        <v>53</v>
      </c>
      <c r="C971" s="11" t="s">
        <v>53</v>
      </c>
      <c r="D971" s="98" t="s">
        <v>1681</v>
      </c>
      <c r="E971" s="98" t="s">
        <v>1662</v>
      </c>
      <c r="F971" s="98"/>
      <c r="G971" s="99" t="n">
        <v>3.0625</v>
      </c>
      <c r="H971" s="59" t="s">
        <v>53</v>
      </c>
    </row>
    <row r="972">
      <c r="A972" s="10" t="s">
        <v>53</v>
      </c>
      <c r="B972" s="11" t="s">
        <v>53</v>
      </c>
      <c r="C972" s="11" t="s">
        <v>53</v>
      </c>
      <c r="D972" s="98" t="s">
        <v>1682</v>
      </c>
      <c r="E972" s="98" t="s">
        <v>1664</v>
      </c>
      <c r="F972" s="98"/>
      <c r="G972" s="99" t="n">
        <v>2.0384</v>
      </c>
      <c r="H972" s="59" t="s">
        <v>53</v>
      </c>
    </row>
    <row r="973">
      <c r="A973" s="10" t="s">
        <v>877</v>
      </c>
      <c r="B973" s="11" t="s">
        <v>707</v>
      </c>
      <c r="C973" s="11" t="s">
        <v>878</v>
      </c>
      <c r="D973" s="11" t="s">
        <v>879</v>
      </c>
      <c r="E973" s="11"/>
      <c r="F973" s="11" t="s">
        <v>126</v>
      </c>
      <c r="G973" s="57" t="n">
        <v>177.41</v>
      </c>
      <c r="H973" s="97" t="n">
        <v>0</v>
      </c>
    </row>
    <row r="974">
      <c r="A974" s="62"/>
      <c r="D974" s="98" t="s">
        <v>1648</v>
      </c>
      <c r="E974" s="98" t="s">
        <v>53</v>
      </c>
      <c r="F974" s="98"/>
      <c r="G974" s="99" t="n">
        <v>177.41</v>
      </c>
      <c r="H974" s="100"/>
    </row>
    <row r="975">
      <c r="A975" s="10" t="s">
        <v>880</v>
      </c>
      <c r="B975" s="11" t="s">
        <v>707</v>
      </c>
      <c r="C975" s="11" t="s">
        <v>881</v>
      </c>
      <c r="D975" s="11" t="s">
        <v>882</v>
      </c>
      <c r="E975" s="11"/>
      <c r="F975" s="11" t="s">
        <v>174</v>
      </c>
      <c r="G975" s="57" t="n">
        <v>100.07744</v>
      </c>
      <c r="H975" s="97" t="n">
        <v>0</v>
      </c>
    </row>
    <row r="976">
      <c r="A976" s="62"/>
      <c r="D976" s="98" t="s">
        <v>1683</v>
      </c>
      <c r="E976" s="98" t="s">
        <v>53</v>
      </c>
      <c r="F976" s="98"/>
      <c r="G976" s="99" t="n">
        <v>90.97949</v>
      </c>
      <c r="H976" s="100"/>
    </row>
    <row r="977">
      <c r="A977" s="10" t="s">
        <v>53</v>
      </c>
      <c r="B977" s="11" t="s">
        <v>53</v>
      </c>
      <c r="C977" s="11" t="s">
        <v>53</v>
      </c>
      <c r="D977" s="98" t="s">
        <v>1684</v>
      </c>
      <c r="E977" s="98" t="s">
        <v>53</v>
      </c>
      <c r="F977" s="98"/>
      <c r="G977" s="99" t="n">
        <v>9.09795</v>
      </c>
      <c r="H977" s="59" t="s">
        <v>53</v>
      </c>
    </row>
    <row r="978">
      <c r="A978" s="10" t="s">
        <v>883</v>
      </c>
      <c r="B978" s="11" t="s">
        <v>707</v>
      </c>
      <c r="C978" s="11" t="s">
        <v>884</v>
      </c>
      <c r="D978" s="11" t="s">
        <v>885</v>
      </c>
      <c r="E978" s="11"/>
      <c r="F978" s="11" t="s">
        <v>174</v>
      </c>
      <c r="G978" s="57" t="n">
        <v>100.07744</v>
      </c>
      <c r="H978" s="97" t="n">
        <v>0</v>
      </c>
    </row>
    <row r="979">
      <c r="A979" s="62"/>
      <c r="D979" s="98" t="s">
        <v>1683</v>
      </c>
      <c r="E979" s="98" t="s">
        <v>53</v>
      </c>
      <c r="F979" s="98"/>
      <c r="G979" s="99" t="n">
        <v>90.97949</v>
      </c>
      <c r="H979" s="100"/>
    </row>
    <row r="980">
      <c r="A980" s="10" t="s">
        <v>53</v>
      </c>
      <c r="B980" s="11" t="s">
        <v>53</v>
      </c>
      <c r="C980" s="11" t="s">
        <v>53</v>
      </c>
      <c r="D980" s="98" t="s">
        <v>1684</v>
      </c>
      <c r="E980" s="98" t="s">
        <v>53</v>
      </c>
      <c r="F980" s="98"/>
      <c r="G980" s="99" t="n">
        <v>9.09795</v>
      </c>
      <c r="H980" s="59" t="s">
        <v>53</v>
      </c>
    </row>
    <row r="981">
      <c r="A981" s="10" t="s">
        <v>886</v>
      </c>
      <c r="B981" s="11" t="s">
        <v>707</v>
      </c>
      <c r="C981" s="11" t="s">
        <v>138</v>
      </c>
      <c r="D981" s="11" t="s">
        <v>887</v>
      </c>
      <c r="E981" s="11"/>
      <c r="F981" s="11" t="s">
        <v>174</v>
      </c>
      <c r="G981" s="57" t="n">
        <v>3.90302</v>
      </c>
      <c r="H981" s="97" t="n">
        <v>0</v>
      </c>
    </row>
    <row r="982">
      <c r="A982" s="62"/>
      <c r="D982" s="98" t="s">
        <v>1685</v>
      </c>
      <c r="E982" s="98" t="s">
        <v>53</v>
      </c>
      <c r="F982" s="98"/>
      <c r="G982" s="99" t="n">
        <v>3.5482</v>
      </c>
      <c r="H982" s="100"/>
    </row>
    <row r="983">
      <c r="A983" s="10" t="s">
        <v>53</v>
      </c>
      <c r="B983" s="11" t="s">
        <v>53</v>
      </c>
      <c r="C983" s="11" t="s">
        <v>53</v>
      </c>
      <c r="D983" s="98" t="s">
        <v>1686</v>
      </c>
      <c r="E983" s="98" t="s">
        <v>53</v>
      </c>
      <c r="F983" s="98"/>
      <c r="G983" s="99" t="n">
        <v>0.35482</v>
      </c>
      <c r="H983" s="59" t="s">
        <v>53</v>
      </c>
    </row>
    <row r="984">
      <c r="A984" s="10" t="s">
        <v>888</v>
      </c>
      <c r="B984" s="11" t="s">
        <v>707</v>
      </c>
      <c r="C984" s="11" t="s">
        <v>889</v>
      </c>
      <c r="D984" s="11" t="s">
        <v>890</v>
      </c>
      <c r="E984" s="11"/>
      <c r="F984" s="11" t="s">
        <v>174</v>
      </c>
      <c r="G984" s="57" t="n">
        <v>20</v>
      </c>
      <c r="H984" s="97" t="n">
        <v>0</v>
      </c>
    </row>
    <row r="985">
      <c r="A985" s="10" t="s">
        <v>891</v>
      </c>
      <c r="B985" s="11" t="s">
        <v>707</v>
      </c>
      <c r="C985" s="11" t="s">
        <v>138</v>
      </c>
      <c r="D985" s="11" t="s">
        <v>892</v>
      </c>
      <c r="E985" s="11"/>
      <c r="F985" s="11" t="s">
        <v>174</v>
      </c>
      <c r="G985" s="57" t="n">
        <v>20</v>
      </c>
      <c r="H985" s="97" t="n">
        <v>0</v>
      </c>
    </row>
    <row r="986">
      <c r="A986" s="10" t="s">
        <v>893</v>
      </c>
      <c r="B986" s="11" t="s">
        <v>707</v>
      </c>
      <c r="C986" s="11" t="s">
        <v>894</v>
      </c>
      <c r="D986" s="11" t="s">
        <v>895</v>
      </c>
      <c r="E986" s="11"/>
      <c r="F986" s="11" t="s">
        <v>174</v>
      </c>
      <c r="G986" s="57" t="n">
        <v>191</v>
      </c>
      <c r="H986" s="97" t="n">
        <v>0</v>
      </c>
    </row>
    <row r="987">
      <c r="A987" s="62"/>
      <c r="D987" s="98" t="s">
        <v>1687</v>
      </c>
      <c r="E987" s="98" t="s">
        <v>53</v>
      </c>
      <c r="F987" s="98"/>
      <c r="G987" s="99" t="n">
        <v>95</v>
      </c>
      <c r="H987" s="100"/>
    </row>
    <row r="988">
      <c r="A988" s="10" t="s">
        <v>53</v>
      </c>
      <c r="B988" s="11" t="s">
        <v>53</v>
      </c>
      <c r="C988" s="11" t="s">
        <v>53</v>
      </c>
      <c r="D988" s="98" t="s">
        <v>1688</v>
      </c>
      <c r="E988" s="98" t="s">
        <v>53</v>
      </c>
      <c r="F988" s="98"/>
      <c r="G988" s="99" t="n">
        <v>96</v>
      </c>
      <c r="H988" s="59" t="s">
        <v>53</v>
      </c>
    </row>
    <row r="989">
      <c r="A989" s="10" t="s">
        <v>896</v>
      </c>
      <c r="B989" s="11" t="s">
        <v>707</v>
      </c>
      <c r="C989" s="11" t="s">
        <v>138</v>
      </c>
      <c r="D989" s="11" t="s">
        <v>897</v>
      </c>
      <c r="E989" s="11"/>
      <c r="F989" s="11" t="s">
        <v>174</v>
      </c>
      <c r="G989" s="57" t="n">
        <v>139.16667</v>
      </c>
      <c r="H989" s="97" t="n">
        <v>0</v>
      </c>
    </row>
    <row r="990">
      <c r="A990" s="62"/>
      <c r="D990" s="98" t="s">
        <v>1689</v>
      </c>
      <c r="E990" s="98" t="s">
        <v>53</v>
      </c>
      <c r="F990" s="98"/>
      <c r="G990" s="99" t="n">
        <v>69.16667</v>
      </c>
      <c r="H990" s="100"/>
    </row>
    <row r="991">
      <c r="A991" s="10" t="s">
        <v>53</v>
      </c>
      <c r="B991" s="11" t="s">
        <v>53</v>
      </c>
      <c r="C991" s="11" t="s">
        <v>53</v>
      </c>
      <c r="D991" s="98" t="s">
        <v>1690</v>
      </c>
      <c r="E991" s="98" t="s">
        <v>53</v>
      </c>
      <c r="F991" s="98"/>
      <c r="G991" s="99" t="n">
        <v>70</v>
      </c>
      <c r="H991" s="59" t="s">
        <v>53</v>
      </c>
    </row>
    <row r="992">
      <c r="A992" s="10" t="s">
        <v>898</v>
      </c>
      <c r="B992" s="11" t="s">
        <v>707</v>
      </c>
      <c r="C992" s="11" t="s">
        <v>138</v>
      </c>
      <c r="D992" s="11" t="s">
        <v>899</v>
      </c>
      <c r="E992" s="11"/>
      <c r="F992" s="11" t="s">
        <v>174</v>
      </c>
      <c r="G992" s="57" t="n">
        <v>191</v>
      </c>
      <c r="H992" s="97" t="n">
        <v>0</v>
      </c>
    </row>
    <row r="993">
      <c r="A993" s="62"/>
      <c r="D993" s="98" t="s">
        <v>1687</v>
      </c>
      <c r="E993" s="98" t="s">
        <v>53</v>
      </c>
      <c r="F993" s="98"/>
      <c r="G993" s="99" t="n">
        <v>95</v>
      </c>
      <c r="H993" s="100"/>
    </row>
    <row r="994">
      <c r="A994" s="10" t="s">
        <v>53</v>
      </c>
      <c r="B994" s="11" t="s">
        <v>53</v>
      </c>
      <c r="C994" s="11" t="s">
        <v>53</v>
      </c>
      <c r="D994" s="98" t="s">
        <v>1688</v>
      </c>
      <c r="E994" s="98" t="s">
        <v>53</v>
      </c>
      <c r="F994" s="98"/>
      <c r="G994" s="99" t="n">
        <v>96</v>
      </c>
      <c r="H994" s="59" t="s">
        <v>53</v>
      </c>
    </row>
    <row r="995">
      <c r="A995" s="10" t="s">
        <v>900</v>
      </c>
      <c r="B995" s="11" t="s">
        <v>707</v>
      </c>
      <c r="C995" s="11" t="s">
        <v>138</v>
      </c>
      <c r="D995" s="11" t="s">
        <v>901</v>
      </c>
      <c r="E995" s="11"/>
      <c r="F995" s="11" t="s">
        <v>174</v>
      </c>
      <c r="G995" s="57" t="n">
        <v>191</v>
      </c>
      <c r="H995" s="97" t="n">
        <v>0</v>
      </c>
    </row>
    <row r="996">
      <c r="A996" s="62"/>
      <c r="D996" s="98" t="s">
        <v>1687</v>
      </c>
      <c r="E996" s="98" t="s">
        <v>53</v>
      </c>
      <c r="F996" s="98"/>
      <c r="G996" s="99" t="n">
        <v>95</v>
      </c>
      <c r="H996" s="100"/>
    </row>
    <row r="997">
      <c r="A997" s="10" t="s">
        <v>53</v>
      </c>
      <c r="B997" s="11" t="s">
        <v>53</v>
      </c>
      <c r="C997" s="11" t="s">
        <v>53</v>
      </c>
      <c r="D997" s="98" t="s">
        <v>1688</v>
      </c>
      <c r="E997" s="98" t="s">
        <v>53</v>
      </c>
      <c r="F997" s="98"/>
      <c r="G997" s="99" t="n">
        <v>96</v>
      </c>
      <c r="H997" s="59" t="s">
        <v>53</v>
      </c>
    </row>
    <row r="998">
      <c r="A998" s="10" t="s">
        <v>902</v>
      </c>
      <c r="B998" s="11" t="s">
        <v>707</v>
      </c>
      <c r="C998" s="11" t="s">
        <v>138</v>
      </c>
      <c r="D998" s="11" t="s">
        <v>903</v>
      </c>
      <c r="E998" s="11"/>
      <c r="F998" s="11" t="s">
        <v>174</v>
      </c>
      <c r="G998" s="57" t="n">
        <v>420</v>
      </c>
      <c r="H998" s="97" t="n">
        <v>0</v>
      </c>
    </row>
    <row r="999">
      <c r="A999" s="62"/>
      <c r="D999" s="98" t="s">
        <v>1691</v>
      </c>
      <c r="E999" s="98" t="s">
        <v>1692</v>
      </c>
      <c r="F999" s="98"/>
      <c r="G999" s="99" t="n">
        <v>420</v>
      </c>
      <c r="H999" s="100"/>
    </row>
    <row r="1000">
      <c r="A1000" s="10" t="s">
        <v>904</v>
      </c>
      <c r="B1000" s="11" t="s">
        <v>707</v>
      </c>
      <c r="C1000" s="11" t="s">
        <v>905</v>
      </c>
      <c r="D1000" s="11" t="s">
        <v>906</v>
      </c>
      <c r="E1000" s="11"/>
      <c r="F1000" s="11" t="s">
        <v>174</v>
      </c>
      <c r="G1000" s="57" t="n">
        <v>150</v>
      </c>
      <c r="H1000" s="97" t="n">
        <v>0</v>
      </c>
    </row>
    <row r="1001">
      <c r="A1001" s="62"/>
      <c r="D1001" s="98" t="s">
        <v>1693</v>
      </c>
      <c r="E1001" s="98" t="s">
        <v>53</v>
      </c>
      <c r="F1001" s="98"/>
      <c r="G1001" s="99" t="n">
        <v>150</v>
      </c>
      <c r="H1001" s="100"/>
    </row>
    <row r="1002">
      <c r="A1002" s="10" t="s">
        <v>907</v>
      </c>
      <c r="B1002" s="11" t="s">
        <v>707</v>
      </c>
      <c r="C1002" s="11" t="s">
        <v>138</v>
      </c>
      <c r="D1002" s="11" t="s">
        <v>908</v>
      </c>
      <c r="E1002" s="11"/>
      <c r="F1002" s="11" t="s">
        <v>174</v>
      </c>
      <c r="G1002" s="57" t="n">
        <v>150</v>
      </c>
      <c r="H1002" s="97" t="n">
        <v>0</v>
      </c>
    </row>
    <row r="1003">
      <c r="A1003" s="62"/>
      <c r="D1003" s="98" t="s">
        <v>1693</v>
      </c>
      <c r="E1003" s="98" t="s">
        <v>53</v>
      </c>
      <c r="F1003" s="98"/>
      <c r="G1003" s="99" t="n">
        <v>150</v>
      </c>
      <c r="H1003" s="100"/>
    </row>
    <row r="1004">
      <c r="A1004" s="10" t="s">
        <v>909</v>
      </c>
      <c r="B1004" s="11" t="s">
        <v>707</v>
      </c>
      <c r="C1004" s="11" t="s">
        <v>910</v>
      </c>
      <c r="D1004" s="11" t="s">
        <v>911</v>
      </c>
      <c r="E1004" s="11"/>
      <c r="F1004" s="11" t="s">
        <v>126</v>
      </c>
      <c r="G1004" s="57" t="n">
        <v>178.01</v>
      </c>
      <c r="H1004" s="97" t="n">
        <v>0</v>
      </c>
    </row>
    <row r="1005">
      <c r="A1005" s="62"/>
      <c r="D1005" s="98" t="s">
        <v>1666</v>
      </c>
      <c r="E1005" s="98" t="s">
        <v>53</v>
      </c>
      <c r="F1005" s="98"/>
      <c r="G1005" s="99" t="n">
        <v>178.01</v>
      </c>
      <c r="H1005" s="100"/>
    </row>
    <row r="1006">
      <c r="A1006" s="10" t="s">
        <v>912</v>
      </c>
      <c r="B1006" s="11" t="s">
        <v>707</v>
      </c>
      <c r="C1006" s="11" t="s">
        <v>138</v>
      </c>
      <c r="D1006" s="11" t="s">
        <v>913</v>
      </c>
      <c r="E1006" s="11"/>
      <c r="F1006" s="11" t="s">
        <v>174</v>
      </c>
      <c r="G1006" s="57" t="n">
        <v>44.5025</v>
      </c>
      <c r="H1006" s="97" t="n">
        <v>0</v>
      </c>
    </row>
    <row r="1007">
      <c r="A1007" s="62"/>
      <c r="D1007" s="98" t="s">
        <v>1694</v>
      </c>
      <c r="E1007" s="98" t="s">
        <v>53</v>
      </c>
      <c r="F1007" s="98"/>
      <c r="G1007" s="99" t="n">
        <v>44.5025</v>
      </c>
      <c r="H1007" s="100"/>
    </row>
    <row r="1008">
      <c r="A1008" s="10" t="s">
        <v>914</v>
      </c>
      <c r="B1008" s="11" t="s">
        <v>707</v>
      </c>
      <c r="C1008" s="11" t="s">
        <v>138</v>
      </c>
      <c r="D1008" s="11" t="s">
        <v>915</v>
      </c>
      <c r="E1008" s="11"/>
      <c r="F1008" s="11" t="s">
        <v>174</v>
      </c>
      <c r="G1008" s="57" t="n">
        <v>194</v>
      </c>
      <c r="H1008" s="97" t="n">
        <v>0</v>
      </c>
    </row>
    <row r="1009">
      <c r="A1009" s="62"/>
      <c r="D1009" s="98" t="s">
        <v>1665</v>
      </c>
      <c r="E1009" s="98" t="s">
        <v>53</v>
      </c>
      <c r="F1009" s="98"/>
      <c r="G1009" s="99" t="n">
        <v>194</v>
      </c>
      <c r="H1009" s="100"/>
    </row>
    <row r="1010">
      <c r="A1010" s="10" t="s">
        <v>916</v>
      </c>
      <c r="B1010" s="11" t="s">
        <v>707</v>
      </c>
      <c r="C1010" s="11" t="s">
        <v>138</v>
      </c>
      <c r="D1010" s="11" t="s">
        <v>917</v>
      </c>
      <c r="E1010" s="11"/>
      <c r="F1010" s="11" t="s">
        <v>174</v>
      </c>
      <c r="G1010" s="57" t="n">
        <v>42</v>
      </c>
      <c r="H1010" s="97" t="n">
        <v>0</v>
      </c>
    </row>
    <row r="1011">
      <c r="A1011" s="62"/>
      <c r="D1011" s="98" t="s">
        <v>1695</v>
      </c>
      <c r="E1011" s="98" t="s">
        <v>53</v>
      </c>
      <c r="F1011" s="98"/>
      <c r="G1011" s="99" t="n">
        <v>29</v>
      </c>
      <c r="H1011" s="100"/>
    </row>
    <row r="1012">
      <c r="A1012" s="10" t="s">
        <v>53</v>
      </c>
      <c r="B1012" s="11" t="s">
        <v>53</v>
      </c>
      <c r="C1012" s="11" t="s">
        <v>53</v>
      </c>
      <c r="D1012" s="98" t="s">
        <v>1696</v>
      </c>
      <c r="E1012" s="98" t="s">
        <v>53</v>
      </c>
      <c r="F1012" s="98"/>
      <c r="G1012" s="99" t="n">
        <v>13</v>
      </c>
      <c r="H1012" s="59" t="s">
        <v>53</v>
      </c>
    </row>
    <row r="1013">
      <c r="A1013" s="10" t="s">
        <v>918</v>
      </c>
      <c r="B1013" s="11" t="s">
        <v>707</v>
      </c>
      <c r="C1013" s="11" t="s">
        <v>138</v>
      </c>
      <c r="D1013" s="11" t="s">
        <v>919</v>
      </c>
      <c r="E1013" s="11"/>
      <c r="F1013" s="11" t="s">
        <v>174</v>
      </c>
      <c r="G1013" s="57" t="n">
        <v>2</v>
      </c>
      <c r="H1013" s="97" t="n">
        <v>0</v>
      </c>
    </row>
    <row r="1014">
      <c r="A1014" s="62"/>
      <c r="D1014" s="98" t="s">
        <v>1697</v>
      </c>
      <c r="E1014" s="98" t="s">
        <v>53</v>
      </c>
      <c r="F1014" s="98"/>
      <c r="G1014" s="99" t="n">
        <v>2</v>
      </c>
      <c r="H1014" s="100"/>
    </row>
    <row r="1015">
      <c r="A1015" s="10" t="s">
        <v>920</v>
      </c>
      <c r="B1015" s="11" t="s">
        <v>707</v>
      </c>
      <c r="C1015" s="11" t="s">
        <v>921</v>
      </c>
      <c r="D1015" s="11" t="s">
        <v>922</v>
      </c>
      <c r="E1015" s="11"/>
      <c r="F1015" s="11" t="s">
        <v>174</v>
      </c>
      <c r="G1015" s="57" t="n">
        <v>9</v>
      </c>
      <c r="H1015" s="97" t="n">
        <v>0</v>
      </c>
    </row>
    <row r="1016">
      <c r="A1016" s="10" t="s">
        <v>923</v>
      </c>
      <c r="B1016" s="11" t="s">
        <v>707</v>
      </c>
      <c r="C1016" s="11" t="s">
        <v>138</v>
      </c>
      <c r="D1016" s="11" t="s">
        <v>924</v>
      </c>
      <c r="E1016" s="11"/>
      <c r="F1016" s="11" t="s">
        <v>174</v>
      </c>
      <c r="G1016" s="57" t="n">
        <v>9</v>
      </c>
      <c r="H1016" s="97" t="n">
        <v>0</v>
      </c>
    </row>
    <row r="1017">
      <c r="A1017" s="10" t="s">
        <v>925</v>
      </c>
      <c r="B1017" s="11" t="s">
        <v>707</v>
      </c>
      <c r="C1017" s="11" t="s">
        <v>926</v>
      </c>
      <c r="D1017" s="11" t="s">
        <v>927</v>
      </c>
      <c r="E1017" s="11"/>
      <c r="F1017" s="11" t="s">
        <v>174</v>
      </c>
      <c r="G1017" s="57" t="n">
        <v>16</v>
      </c>
      <c r="H1017" s="97" t="n">
        <v>0</v>
      </c>
    </row>
    <row r="1018">
      <c r="A1018" s="10" t="s">
        <v>928</v>
      </c>
      <c r="B1018" s="11" t="s">
        <v>707</v>
      </c>
      <c r="C1018" s="11" t="s">
        <v>138</v>
      </c>
      <c r="D1018" s="11" t="s">
        <v>929</v>
      </c>
      <c r="E1018" s="11"/>
      <c r="F1018" s="11" t="s">
        <v>174</v>
      </c>
      <c r="G1018" s="57" t="n">
        <v>16</v>
      </c>
      <c r="H1018" s="97" t="n">
        <v>0</v>
      </c>
    </row>
    <row r="1019">
      <c r="A1019" s="10" t="s">
        <v>930</v>
      </c>
      <c r="B1019" s="11" t="s">
        <v>707</v>
      </c>
      <c r="C1019" s="11" t="s">
        <v>931</v>
      </c>
      <c r="D1019" s="11" t="s">
        <v>932</v>
      </c>
      <c r="E1019" s="11"/>
      <c r="F1019" s="11" t="s">
        <v>174</v>
      </c>
      <c r="G1019" s="57" t="n">
        <v>32</v>
      </c>
      <c r="H1019" s="97" t="n">
        <v>0</v>
      </c>
    </row>
    <row r="1020">
      <c r="A1020" s="62"/>
      <c r="D1020" s="98" t="s">
        <v>1698</v>
      </c>
      <c r="E1020" s="98" t="s">
        <v>53</v>
      </c>
      <c r="F1020" s="98"/>
      <c r="G1020" s="99" t="n">
        <v>32</v>
      </c>
      <c r="H1020" s="100"/>
    </row>
    <row r="1021">
      <c r="A1021" s="10" t="s">
        <v>933</v>
      </c>
      <c r="B1021" s="11" t="s">
        <v>707</v>
      </c>
      <c r="C1021" s="11" t="s">
        <v>934</v>
      </c>
      <c r="D1021" s="11" t="s">
        <v>935</v>
      </c>
      <c r="E1021" s="11"/>
      <c r="F1021" s="11" t="s">
        <v>126</v>
      </c>
      <c r="G1021" s="57" t="n">
        <v>19.1</v>
      </c>
      <c r="H1021" s="97" t="n">
        <v>0</v>
      </c>
    </row>
    <row r="1022">
      <c r="A1022" s="62"/>
      <c r="D1022" s="98" t="s">
        <v>1667</v>
      </c>
      <c r="E1022" s="98" t="s">
        <v>53</v>
      </c>
      <c r="F1022" s="98"/>
      <c r="G1022" s="99" t="n">
        <v>19.1</v>
      </c>
      <c r="H1022" s="100"/>
    </row>
    <row r="1023">
      <c r="A1023" s="10" t="s">
        <v>936</v>
      </c>
      <c r="B1023" s="11" t="s">
        <v>707</v>
      </c>
      <c r="C1023" s="11" t="s">
        <v>937</v>
      </c>
      <c r="D1023" s="11" t="s">
        <v>938</v>
      </c>
      <c r="E1023" s="11"/>
      <c r="F1023" s="11" t="s">
        <v>174</v>
      </c>
      <c r="G1023" s="57" t="n">
        <v>12.35882</v>
      </c>
      <c r="H1023" s="97" t="n">
        <v>0</v>
      </c>
    </row>
    <row r="1024">
      <c r="A1024" s="62"/>
      <c r="D1024" s="98" t="s">
        <v>1699</v>
      </c>
      <c r="E1024" s="98" t="s">
        <v>53</v>
      </c>
      <c r="F1024" s="98"/>
      <c r="G1024" s="99" t="n">
        <v>11.23529</v>
      </c>
      <c r="H1024" s="100"/>
    </row>
    <row r="1025">
      <c r="A1025" s="10" t="s">
        <v>53</v>
      </c>
      <c r="B1025" s="11" t="s">
        <v>53</v>
      </c>
      <c r="C1025" s="11" t="s">
        <v>53</v>
      </c>
      <c r="D1025" s="98" t="s">
        <v>1700</v>
      </c>
      <c r="E1025" s="98" t="s">
        <v>53</v>
      </c>
      <c r="F1025" s="98"/>
      <c r="G1025" s="99" t="n">
        <v>1.12353</v>
      </c>
      <c r="H1025" s="59" t="s">
        <v>53</v>
      </c>
    </row>
    <row r="1026">
      <c r="A1026" s="10" t="s">
        <v>939</v>
      </c>
      <c r="B1026" s="11" t="s">
        <v>707</v>
      </c>
      <c r="C1026" s="11" t="s">
        <v>940</v>
      </c>
      <c r="D1026" s="11" t="s">
        <v>941</v>
      </c>
      <c r="E1026" s="11"/>
      <c r="F1026" s="11" t="s">
        <v>126</v>
      </c>
      <c r="G1026" s="57" t="n">
        <v>107.4</v>
      </c>
      <c r="H1026" s="97" t="n">
        <v>0</v>
      </c>
    </row>
    <row r="1027">
      <c r="A1027" s="62"/>
      <c r="D1027" s="98" t="s">
        <v>1668</v>
      </c>
      <c r="E1027" s="98" t="s">
        <v>53</v>
      </c>
      <c r="F1027" s="98"/>
      <c r="G1027" s="99" t="n">
        <v>107.4</v>
      </c>
      <c r="H1027" s="100"/>
    </row>
    <row r="1028">
      <c r="A1028" s="10" t="s">
        <v>942</v>
      </c>
      <c r="B1028" s="11" t="s">
        <v>707</v>
      </c>
      <c r="C1028" s="11" t="s">
        <v>943</v>
      </c>
      <c r="D1028" s="11" t="s">
        <v>944</v>
      </c>
      <c r="E1028" s="11"/>
      <c r="F1028" s="11" t="s">
        <v>174</v>
      </c>
      <c r="G1028" s="57" t="n">
        <v>358</v>
      </c>
      <c r="H1028" s="97" t="n">
        <v>0</v>
      </c>
    </row>
    <row r="1029">
      <c r="A1029" s="62"/>
      <c r="D1029" s="98" t="s">
        <v>1701</v>
      </c>
      <c r="E1029" s="98" t="s">
        <v>53</v>
      </c>
      <c r="F1029" s="98"/>
      <c r="G1029" s="99" t="n">
        <v>358</v>
      </c>
      <c r="H1029" s="100"/>
    </row>
    <row r="1030">
      <c r="A1030" s="10" t="s">
        <v>945</v>
      </c>
      <c r="B1030" s="11" t="s">
        <v>707</v>
      </c>
      <c r="C1030" s="11" t="s">
        <v>946</v>
      </c>
      <c r="D1030" s="11" t="s">
        <v>947</v>
      </c>
      <c r="E1030" s="11"/>
      <c r="F1030" s="11" t="s">
        <v>174</v>
      </c>
      <c r="G1030" s="57" t="n">
        <v>60.58461</v>
      </c>
      <c r="H1030" s="97" t="n">
        <v>0</v>
      </c>
    </row>
    <row r="1031">
      <c r="A1031" s="62"/>
      <c r="D1031" s="98" t="s">
        <v>1702</v>
      </c>
      <c r="E1031" s="98" t="s">
        <v>53</v>
      </c>
      <c r="F1031" s="98"/>
      <c r="G1031" s="99" t="n">
        <v>55.07692</v>
      </c>
      <c r="H1031" s="100"/>
    </row>
    <row r="1032">
      <c r="A1032" s="10" t="s">
        <v>53</v>
      </c>
      <c r="B1032" s="11" t="s">
        <v>53</v>
      </c>
      <c r="C1032" s="11" t="s">
        <v>53</v>
      </c>
      <c r="D1032" s="98" t="s">
        <v>1703</v>
      </c>
      <c r="E1032" s="98" t="s">
        <v>53</v>
      </c>
      <c r="F1032" s="98"/>
      <c r="G1032" s="99" t="n">
        <v>5.50769</v>
      </c>
      <c r="H1032" s="59" t="s">
        <v>53</v>
      </c>
    </row>
    <row r="1033">
      <c r="A1033" s="10" t="s">
        <v>948</v>
      </c>
      <c r="B1033" s="11" t="s">
        <v>707</v>
      </c>
      <c r="C1033" s="11" t="s">
        <v>138</v>
      </c>
      <c r="D1033" s="11" t="s">
        <v>949</v>
      </c>
      <c r="E1033" s="11"/>
      <c r="F1033" s="11" t="s">
        <v>174</v>
      </c>
      <c r="G1033" s="57" t="n">
        <v>23.628</v>
      </c>
      <c r="H1033" s="97" t="n">
        <v>0</v>
      </c>
    </row>
    <row r="1034">
      <c r="A1034" s="62"/>
      <c r="D1034" s="98" t="s">
        <v>1704</v>
      </c>
      <c r="E1034" s="98" t="s">
        <v>53</v>
      </c>
      <c r="F1034" s="98"/>
      <c r="G1034" s="99" t="n">
        <v>21.48</v>
      </c>
      <c r="H1034" s="100"/>
    </row>
    <row r="1035">
      <c r="A1035" s="10" t="s">
        <v>53</v>
      </c>
      <c r="B1035" s="11" t="s">
        <v>53</v>
      </c>
      <c r="C1035" s="11" t="s">
        <v>53</v>
      </c>
      <c r="D1035" s="98" t="s">
        <v>1705</v>
      </c>
      <c r="E1035" s="98" t="s">
        <v>53</v>
      </c>
      <c r="F1035" s="98"/>
      <c r="G1035" s="99" t="n">
        <v>2.148</v>
      </c>
      <c r="H1035" s="59" t="s">
        <v>53</v>
      </c>
    </row>
    <row r="1036">
      <c r="A1036" s="10" t="s">
        <v>950</v>
      </c>
      <c r="B1036" s="11" t="s">
        <v>707</v>
      </c>
      <c r="C1036" s="11" t="s">
        <v>951</v>
      </c>
      <c r="D1036" s="11" t="s">
        <v>952</v>
      </c>
      <c r="E1036" s="11"/>
      <c r="F1036" s="11" t="s">
        <v>126</v>
      </c>
      <c r="G1036" s="57" t="n">
        <v>54.5</v>
      </c>
      <c r="H1036" s="97" t="n">
        <v>0</v>
      </c>
    </row>
    <row r="1037">
      <c r="A1037" s="62"/>
      <c r="D1037" s="98" t="s">
        <v>1670</v>
      </c>
      <c r="E1037" s="98" t="s">
        <v>53</v>
      </c>
      <c r="F1037" s="98"/>
      <c r="G1037" s="99" t="n">
        <v>25</v>
      </c>
      <c r="H1037" s="100"/>
    </row>
    <row r="1038">
      <c r="A1038" s="10" t="s">
        <v>53</v>
      </c>
      <c r="B1038" s="11" t="s">
        <v>53</v>
      </c>
      <c r="C1038" s="11" t="s">
        <v>53</v>
      </c>
      <c r="D1038" s="98" t="s">
        <v>1431</v>
      </c>
      <c r="E1038" s="98" t="s">
        <v>53</v>
      </c>
      <c r="F1038" s="98"/>
      <c r="G1038" s="99" t="n">
        <v>29.5</v>
      </c>
      <c r="H1038" s="59" t="s">
        <v>53</v>
      </c>
    </row>
    <row r="1039">
      <c r="A1039" s="10" t="s">
        <v>953</v>
      </c>
      <c r="B1039" s="11" t="s">
        <v>707</v>
      </c>
      <c r="C1039" s="11" t="s">
        <v>138</v>
      </c>
      <c r="D1039" s="11" t="s">
        <v>954</v>
      </c>
      <c r="E1039" s="11"/>
      <c r="F1039" s="11" t="s">
        <v>61</v>
      </c>
      <c r="G1039" s="57" t="n">
        <v>29.975</v>
      </c>
      <c r="H1039" s="97" t="n">
        <v>0</v>
      </c>
    </row>
    <row r="1040">
      <c r="A1040" s="62"/>
      <c r="D1040" s="98" t="s">
        <v>1706</v>
      </c>
      <c r="E1040" s="98" t="s">
        <v>53</v>
      </c>
      <c r="F1040" s="98"/>
      <c r="G1040" s="99" t="n">
        <v>12.5</v>
      </c>
      <c r="H1040" s="100"/>
    </row>
    <row r="1041">
      <c r="A1041" s="10" t="s">
        <v>53</v>
      </c>
      <c r="B1041" s="11" t="s">
        <v>53</v>
      </c>
      <c r="C1041" s="11" t="s">
        <v>53</v>
      </c>
      <c r="D1041" s="98" t="s">
        <v>1707</v>
      </c>
      <c r="E1041" s="98" t="s">
        <v>53</v>
      </c>
      <c r="F1041" s="98"/>
      <c r="G1041" s="99" t="n">
        <v>2.725</v>
      </c>
      <c r="H1041" s="59" t="s">
        <v>53</v>
      </c>
    </row>
    <row r="1042">
      <c r="A1042" s="10" t="s">
        <v>53</v>
      </c>
      <c r="B1042" s="11" t="s">
        <v>53</v>
      </c>
      <c r="C1042" s="11" t="s">
        <v>53</v>
      </c>
      <c r="D1042" s="98" t="s">
        <v>1708</v>
      </c>
      <c r="E1042" s="98" t="s">
        <v>53</v>
      </c>
      <c r="F1042" s="98"/>
      <c r="G1042" s="99" t="n">
        <v>14.75</v>
      </c>
      <c r="H1042" s="59" t="s">
        <v>53</v>
      </c>
    </row>
    <row r="1043">
      <c r="A1043" s="10" t="s">
        <v>955</v>
      </c>
      <c r="B1043" s="11" t="s">
        <v>707</v>
      </c>
      <c r="C1043" s="11" t="s">
        <v>956</v>
      </c>
      <c r="D1043" s="11" t="s">
        <v>957</v>
      </c>
      <c r="E1043" s="11"/>
      <c r="F1043" s="11" t="s">
        <v>126</v>
      </c>
      <c r="G1043" s="57" t="n">
        <v>79.5</v>
      </c>
      <c r="H1043" s="97" t="n">
        <v>0</v>
      </c>
    </row>
    <row r="1044">
      <c r="A1044" s="62"/>
      <c r="D1044" s="98" t="s">
        <v>1669</v>
      </c>
      <c r="E1044" s="98" t="s">
        <v>53</v>
      </c>
      <c r="F1044" s="98"/>
      <c r="G1044" s="99" t="n">
        <v>50</v>
      </c>
      <c r="H1044" s="100"/>
    </row>
    <row r="1045">
      <c r="A1045" s="10" t="s">
        <v>53</v>
      </c>
      <c r="B1045" s="11" t="s">
        <v>53</v>
      </c>
      <c r="C1045" s="11" t="s">
        <v>53</v>
      </c>
      <c r="D1045" s="98" t="s">
        <v>1431</v>
      </c>
      <c r="E1045" s="98" t="s">
        <v>53</v>
      </c>
      <c r="F1045" s="98"/>
      <c r="G1045" s="99" t="n">
        <v>29.5</v>
      </c>
      <c r="H1045" s="59" t="s">
        <v>53</v>
      </c>
    </row>
    <row r="1046">
      <c r="A1046" s="10" t="s">
        <v>958</v>
      </c>
      <c r="B1046" s="11" t="s">
        <v>707</v>
      </c>
      <c r="C1046" s="11" t="s">
        <v>959</v>
      </c>
      <c r="D1046" s="11" t="s">
        <v>960</v>
      </c>
      <c r="E1046" s="11"/>
      <c r="F1046" s="11" t="s">
        <v>174</v>
      </c>
      <c r="G1046" s="57" t="n">
        <v>44.84616</v>
      </c>
      <c r="H1046" s="97" t="n">
        <v>0</v>
      </c>
    </row>
    <row r="1047">
      <c r="A1047" s="62"/>
      <c r="D1047" s="98" t="s">
        <v>1709</v>
      </c>
      <c r="E1047" s="98" t="s">
        <v>53</v>
      </c>
      <c r="F1047" s="98"/>
      <c r="G1047" s="99" t="n">
        <v>25.64103</v>
      </c>
      <c r="H1047" s="100"/>
    </row>
    <row r="1048">
      <c r="A1048" s="10" t="s">
        <v>53</v>
      </c>
      <c r="B1048" s="11" t="s">
        <v>53</v>
      </c>
      <c r="C1048" s="11" t="s">
        <v>53</v>
      </c>
      <c r="D1048" s="98" t="s">
        <v>1710</v>
      </c>
      <c r="E1048" s="98" t="s">
        <v>53</v>
      </c>
      <c r="F1048" s="98"/>
      <c r="G1048" s="99" t="n">
        <v>15.12821</v>
      </c>
      <c r="H1048" s="59" t="s">
        <v>53</v>
      </c>
    </row>
    <row r="1049">
      <c r="A1049" s="10" t="s">
        <v>53</v>
      </c>
      <c r="B1049" s="11" t="s">
        <v>53</v>
      </c>
      <c r="C1049" s="11" t="s">
        <v>53</v>
      </c>
      <c r="D1049" s="98" t="s">
        <v>1711</v>
      </c>
      <c r="E1049" s="98" t="s">
        <v>53</v>
      </c>
      <c r="F1049" s="98"/>
      <c r="G1049" s="99" t="n">
        <v>4.07692</v>
      </c>
      <c r="H1049" s="59" t="s">
        <v>53</v>
      </c>
    </row>
    <row r="1050">
      <c r="A1050" s="10" t="s">
        <v>961</v>
      </c>
      <c r="B1050" s="11" t="s">
        <v>707</v>
      </c>
      <c r="C1050" s="11" t="s">
        <v>392</v>
      </c>
      <c r="D1050" s="11" t="s">
        <v>393</v>
      </c>
      <c r="E1050" s="11"/>
      <c r="F1050" s="11" t="s">
        <v>314</v>
      </c>
      <c r="G1050" s="57" t="n">
        <v>25.84353</v>
      </c>
      <c r="H1050" s="97" t="n">
        <v>0</v>
      </c>
    </row>
    <row r="1051">
      <c r="A1051" s="96" t="s">
        <v>53</v>
      </c>
      <c r="B1051" s="52" t="s">
        <v>707</v>
      </c>
      <c r="C1051" s="52" t="s">
        <v>962</v>
      </c>
      <c r="D1051" s="52" t="s">
        <v>963</v>
      </c>
      <c r="E1051" s="52"/>
      <c r="F1051" s="52" t="s">
        <v>53</v>
      </c>
      <c r="G1051" s="33" t="s">
        <v>53</v>
      </c>
      <c r="H1051" s="56" t="s">
        <v>53</v>
      </c>
    </row>
    <row r="1052">
      <c r="A1052" s="10" t="s">
        <v>964</v>
      </c>
      <c r="B1052" s="11" t="s">
        <v>707</v>
      </c>
      <c r="C1052" s="11" t="s">
        <v>965</v>
      </c>
      <c r="D1052" s="11" t="s">
        <v>966</v>
      </c>
      <c r="E1052" s="11"/>
      <c r="F1052" s="11" t="s">
        <v>61</v>
      </c>
      <c r="G1052" s="57" t="n">
        <v>1546.56071</v>
      </c>
      <c r="H1052" s="97" t="n">
        <v>0</v>
      </c>
    </row>
    <row r="1053">
      <c r="A1053" s="62"/>
      <c r="D1053" s="98" t="s">
        <v>1635</v>
      </c>
      <c r="E1053" s="98" t="s">
        <v>1636</v>
      </c>
      <c r="F1053" s="98"/>
      <c r="G1053" s="99" t="n">
        <v>311.20051</v>
      </c>
      <c r="H1053" s="100"/>
    </row>
    <row r="1054">
      <c r="A1054" s="10" t="s">
        <v>53</v>
      </c>
      <c r="B1054" s="11" t="s">
        <v>53</v>
      </c>
      <c r="C1054" s="11" t="s">
        <v>53</v>
      </c>
      <c r="D1054" s="98" t="s">
        <v>1637</v>
      </c>
      <c r="E1054" s="98" t="s">
        <v>53</v>
      </c>
      <c r="F1054" s="98"/>
      <c r="G1054" s="99" t="n">
        <v>1235.3602</v>
      </c>
      <c r="H1054" s="59" t="s">
        <v>53</v>
      </c>
    </row>
    <row r="1055">
      <c r="A1055" s="10" t="s">
        <v>969</v>
      </c>
      <c r="B1055" s="11" t="s">
        <v>707</v>
      </c>
      <c r="C1055" s="11" t="s">
        <v>970</v>
      </c>
      <c r="D1055" s="11" t="s">
        <v>971</v>
      </c>
      <c r="E1055" s="11"/>
      <c r="F1055" s="11" t="s">
        <v>61</v>
      </c>
      <c r="G1055" s="57" t="n">
        <v>1546.56071</v>
      </c>
      <c r="H1055" s="97" t="n">
        <v>0</v>
      </c>
    </row>
    <row r="1056">
      <c r="A1056" s="62"/>
      <c r="D1056" s="98" t="s">
        <v>1635</v>
      </c>
      <c r="E1056" s="98" t="s">
        <v>1636</v>
      </c>
      <c r="F1056" s="98"/>
      <c r="G1056" s="99" t="n">
        <v>311.20051</v>
      </c>
      <c r="H1056" s="100"/>
    </row>
    <row r="1057">
      <c r="A1057" s="10" t="s">
        <v>53</v>
      </c>
      <c r="B1057" s="11" t="s">
        <v>53</v>
      </c>
      <c r="C1057" s="11" t="s">
        <v>53</v>
      </c>
      <c r="D1057" s="98" t="s">
        <v>1637</v>
      </c>
      <c r="E1057" s="98" t="s">
        <v>53</v>
      </c>
      <c r="F1057" s="98"/>
      <c r="G1057" s="99" t="n">
        <v>1235.3602</v>
      </c>
      <c r="H1057" s="59" t="s">
        <v>53</v>
      </c>
    </row>
    <row r="1058">
      <c r="A1058" s="10" t="s">
        <v>973</v>
      </c>
      <c r="B1058" s="11" t="s">
        <v>707</v>
      </c>
      <c r="C1058" s="11" t="s">
        <v>974</v>
      </c>
      <c r="D1058" s="11" t="s">
        <v>975</v>
      </c>
      <c r="E1058" s="11"/>
      <c r="F1058" s="11" t="s">
        <v>314</v>
      </c>
      <c r="G1058" s="57" t="n">
        <v>0.58769</v>
      </c>
      <c r="H1058" s="97" t="n">
        <v>0</v>
      </c>
    </row>
    <row r="1059">
      <c r="A1059" s="96" t="s">
        <v>53</v>
      </c>
      <c r="B1059" s="52" t="s">
        <v>707</v>
      </c>
      <c r="C1059" s="52" t="s">
        <v>394</v>
      </c>
      <c r="D1059" s="52" t="s">
        <v>395</v>
      </c>
      <c r="E1059" s="52"/>
      <c r="F1059" s="52" t="s">
        <v>53</v>
      </c>
      <c r="G1059" s="33" t="s">
        <v>53</v>
      </c>
      <c r="H1059" s="56" t="s">
        <v>53</v>
      </c>
    </row>
    <row r="1060">
      <c r="A1060" s="10" t="s">
        <v>976</v>
      </c>
      <c r="B1060" s="11" t="s">
        <v>707</v>
      </c>
      <c r="C1060" s="11" t="s">
        <v>977</v>
      </c>
      <c r="D1060" s="11" t="s">
        <v>978</v>
      </c>
      <c r="E1060" s="11"/>
      <c r="F1060" s="11" t="s">
        <v>61</v>
      </c>
      <c r="G1060" s="57" t="n">
        <v>8.85</v>
      </c>
      <c r="H1060" s="97" t="n">
        <v>0</v>
      </c>
    </row>
    <row r="1061">
      <c r="A1061" s="62"/>
      <c r="D1061" s="98" t="s">
        <v>1712</v>
      </c>
      <c r="E1061" s="98" t="s">
        <v>1713</v>
      </c>
      <c r="F1061" s="98"/>
      <c r="G1061" s="99" t="n">
        <v>8.85</v>
      </c>
      <c r="H1061" s="100"/>
    </row>
    <row r="1062">
      <c r="A1062" s="10" t="s">
        <v>980</v>
      </c>
      <c r="B1062" s="11" t="s">
        <v>707</v>
      </c>
      <c r="C1062" s="11" t="s">
        <v>138</v>
      </c>
      <c r="D1062" s="11" t="s">
        <v>981</v>
      </c>
      <c r="E1062" s="11"/>
      <c r="F1062" s="11" t="s">
        <v>61</v>
      </c>
      <c r="G1062" s="57" t="n">
        <v>9.735</v>
      </c>
      <c r="H1062" s="97" t="n">
        <v>0</v>
      </c>
    </row>
    <row r="1063">
      <c r="A1063" s="62"/>
      <c r="D1063" s="98" t="s">
        <v>1712</v>
      </c>
      <c r="E1063" s="98" t="s">
        <v>53</v>
      </c>
      <c r="F1063" s="98"/>
      <c r="G1063" s="99" t="n">
        <v>8.85</v>
      </c>
      <c r="H1063" s="100"/>
    </row>
    <row r="1064">
      <c r="A1064" s="10" t="s">
        <v>53</v>
      </c>
      <c r="B1064" s="11" t="s">
        <v>53</v>
      </c>
      <c r="C1064" s="11" t="s">
        <v>53</v>
      </c>
      <c r="D1064" s="98" t="s">
        <v>1714</v>
      </c>
      <c r="E1064" s="98" t="s">
        <v>53</v>
      </c>
      <c r="F1064" s="98"/>
      <c r="G1064" s="99" t="n">
        <v>0.885</v>
      </c>
      <c r="H1064" s="59" t="s">
        <v>53</v>
      </c>
    </row>
    <row r="1065">
      <c r="A1065" s="10" t="s">
        <v>982</v>
      </c>
      <c r="B1065" s="11" t="s">
        <v>707</v>
      </c>
      <c r="C1065" s="11" t="s">
        <v>421</v>
      </c>
      <c r="D1065" s="11" t="s">
        <v>422</v>
      </c>
      <c r="E1065" s="11"/>
      <c r="F1065" s="11" t="s">
        <v>314</v>
      </c>
      <c r="G1065" s="57" t="n">
        <v>0.17527</v>
      </c>
      <c r="H1065" s="97" t="n">
        <v>0</v>
      </c>
    </row>
    <row r="1066">
      <c r="A1066" s="96" t="s">
        <v>53</v>
      </c>
      <c r="B1066" s="52" t="s">
        <v>707</v>
      </c>
      <c r="C1066" s="52" t="s">
        <v>423</v>
      </c>
      <c r="D1066" s="52" t="s">
        <v>424</v>
      </c>
      <c r="E1066" s="52"/>
      <c r="F1066" s="52" t="s">
        <v>53</v>
      </c>
      <c r="G1066" s="33" t="s">
        <v>53</v>
      </c>
      <c r="H1066" s="56" t="s">
        <v>53</v>
      </c>
    </row>
    <row r="1067">
      <c r="A1067" s="10" t="s">
        <v>983</v>
      </c>
      <c r="B1067" s="11" t="s">
        <v>707</v>
      </c>
      <c r="C1067" s="11" t="s">
        <v>426</v>
      </c>
      <c r="D1067" s="11" t="s">
        <v>427</v>
      </c>
      <c r="E1067" s="11"/>
      <c r="F1067" s="11" t="s">
        <v>97</v>
      </c>
      <c r="G1067" s="57" t="n">
        <v>10</v>
      </c>
      <c r="H1067" s="97" t="n">
        <v>0</v>
      </c>
    </row>
    <row r="1068">
      <c r="A1068" s="62"/>
      <c r="D1068" s="98" t="s">
        <v>1715</v>
      </c>
      <c r="E1068" s="98" t="s">
        <v>1716</v>
      </c>
      <c r="F1068" s="98"/>
      <c r="G1068" s="99" t="n">
        <v>10</v>
      </c>
      <c r="H1068" s="100"/>
    </row>
    <row r="1069">
      <c r="A1069" s="10" t="s">
        <v>985</v>
      </c>
      <c r="B1069" s="11" t="s">
        <v>707</v>
      </c>
      <c r="C1069" s="11" t="s">
        <v>436</v>
      </c>
      <c r="D1069" s="11" t="s">
        <v>437</v>
      </c>
      <c r="E1069" s="11"/>
      <c r="F1069" s="11" t="s">
        <v>314</v>
      </c>
      <c r="G1069" s="57" t="n">
        <v>0.0106</v>
      </c>
      <c r="H1069" s="97" t="n">
        <v>0</v>
      </c>
    </row>
    <row r="1070">
      <c r="A1070" s="96" t="s">
        <v>53</v>
      </c>
      <c r="B1070" s="52" t="s">
        <v>707</v>
      </c>
      <c r="C1070" s="52" t="s">
        <v>438</v>
      </c>
      <c r="D1070" s="52" t="s">
        <v>439</v>
      </c>
      <c r="E1070" s="52"/>
      <c r="F1070" s="52" t="s">
        <v>53</v>
      </c>
      <c r="G1070" s="33" t="s">
        <v>53</v>
      </c>
      <c r="H1070" s="56" t="s">
        <v>53</v>
      </c>
    </row>
    <row r="1071">
      <c r="A1071" s="10" t="s">
        <v>986</v>
      </c>
      <c r="B1071" s="11" t="s">
        <v>707</v>
      </c>
      <c r="C1071" s="11" t="s">
        <v>987</v>
      </c>
      <c r="D1071" s="11" t="s">
        <v>988</v>
      </c>
      <c r="E1071" s="11"/>
      <c r="F1071" s="11" t="s">
        <v>61</v>
      </c>
      <c r="G1071" s="57" t="n">
        <v>4376.4012</v>
      </c>
      <c r="H1071" s="97" t="n">
        <v>0</v>
      </c>
    </row>
    <row r="1072">
      <c r="A1072" s="62"/>
      <c r="D1072" s="98" t="s">
        <v>1717</v>
      </c>
      <c r="E1072" s="98" t="s">
        <v>1580</v>
      </c>
      <c r="F1072" s="98"/>
      <c r="G1072" s="99" t="n">
        <v>6.1776</v>
      </c>
      <c r="H1072" s="100"/>
    </row>
    <row r="1073">
      <c r="A1073" s="10" t="s">
        <v>53</v>
      </c>
      <c r="B1073" s="11" t="s">
        <v>53</v>
      </c>
      <c r="C1073" s="11" t="s">
        <v>53</v>
      </c>
      <c r="D1073" s="98" t="s">
        <v>1718</v>
      </c>
      <c r="E1073" s="98" t="s">
        <v>1582</v>
      </c>
      <c r="F1073" s="98"/>
      <c r="G1073" s="99" t="n">
        <v>2.6928</v>
      </c>
      <c r="H1073" s="59" t="s">
        <v>53</v>
      </c>
    </row>
    <row r="1074">
      <c r="A1074" s="10" t="s">
        <v>53</v>
      </c>
      <c r="B1074" s="11" t="s">
        <v>53</v>
      </c>
      <c r="C1074" s="11" t="s">
        <v>53</v>
      </c>
      <c r="D1074" s="98" t="s">
        <v>1719</v>
      </c>
      <c r="E1074" s="98" t="s">
        <v>1584</v>
      </c>
      <c r="F1074" s="98"/>
      <c r="G1074" s="99" t="n">
        <v>5.6232</v>
      </c>
      <c r="H1074" s="59" t="s">
        <v>53</v>
      </c>
    </row>
    <row r="1075">
      <c r="A1075" s="10" t="s">
        <v>53</v>
      </c>
      <c r="B1075" s="11" t="s">
        <v>53</v>
      </c>
      <c r="C1075" s="11" t="s">
        <v>53</v>
      </c>
      <c r="D1075" s="98" t="s">
        <v>1720</v>
      </c>
      <c r="E1075" s="98" t="s">
        <v>1586</v>
      </c>
      <c r="F1075" s="98"/>
      <c r="G1075" s="99" t="n">
        <v>12.8304</v>
      </c>
      <c r="H1075" s="59" t="s">
        <v>53</v>
      </c>
    </row>
    <row r="1076">
      <c r="A1076" s="10" t="s">
        <v>53</v>
      </c>
      <c r="B1076" s="11" t="s">
        <v>53</v>
      </c>
      <c r="C1076" s="11" t="s">
        <v>53</v>
      </c>
      <c r="D1076" s="98" t="s">
        <v>1721</v>
      </c>
      <c r="E1076" s="98" t="s">
        <v>1602</v>
      </c>
      <c r="F1076" s="98"/>
      <c r="G1076" s="99" t="n">
        <v>17.0016</v>
      </c>
      <c r="H1076" s="59" t="s">
        <v>53</v>
      </c>
    </row>
    <row r="1077">
      <c r="A1077" s="10" t="s">
        <v>53</v>
      </c>
      <c r="B1077" s="11" t="s">
        <v>53</v>
      </c>
      <c r="C1077" s="11" t="s">
        <v>53</v>
      </c>
      <c r="D1077" s="98" t="s">
        <v>1722</v>
      </c>
      <c r="E1077" s="98" t="s">
        <v>1604</v>
      </c>
      <c r="F1077" s="98"/>
      <c r="G1077" s="99" t="n">
        <v>5.1744</v>
      </c>
      <c r="H1077" s="59" t="s">
        <v>53</v>
      </c>
    </row>
    <row r="1078">
      <c r="A1078" s="10" t="s">
        <v>53</v>
      </c>
      <c r="B1078" s="11" t="s">
        <v>53</v>
      </c>
      <c r="C1078" s="11" t="s">
        <v>53</v>
      </c>
      <c r="D1078" s="98" t="s">
        <v>1723</v>
      </c>
      <c r="E1078" s="98" t="s">
        <v>1594</v>
      </c>
      <c r="F1078" s="98"/>
      <c r="G1078" s="99" t="n">
        <v>3.8192</v>
      </c>
      <c r="H1078" s="59" t="s">
        <v>53</v>
      </c>
    </row>
    <row r="1079">
      <c r="A1079" s="10" t="s">
        <v>53</v>
      </c>
      <c r="B1079" s="11" t="s">
        <v>53</v>
      </c>
      <c r="C1079" s="11" t="s">
        <v>53</v>
      </c>
      <c r="D1079" s="98" t="s">
        <v>1724</v>
      </c>
      <c r="E1079" s="98" t="s">
        <v>1606</v>
      </c>
      <c r="F1079" s="98"/>
      <c r="G1079" s="99" t="n">
        <v>48.576</v>
      </c>
      <c r="H1079" s="59" t="s">
        <v>53</v>
      </c>
    </row>
    <row r="1080">
      <c r="A1080" s="10" t="s">
        <v>53</v>
      </c>
      <c r="B1080" s="11" t="s">
        <v>53</v>
      </c>
      <c r="C1080" s="11" t="s">
        <v>53</v>
      </c>
      <c r="D1080" s="98" t="s">
        <v>1725</v>
      </c>
      <c r="E1080" s="98" t="s">
        <v>1608</v>
      </c>
      <c r="F1080" s="98"/>
      <c r="G1080" s="99" t="n">
        <v>13.3056</v>
      </c>
      <c r="H1080" s="59" t="s">
        <v>53</v>
      </c>
    </row>
    <row r="1081">
      <c r="A1081" s="10" t="s">
        <v>53</v>
      </c>
      <c r="B1081" s="11" t="s">
        <v>53</v>
      </c>
      <c r="C1081" s="11" t="s">
        <v>53</v>
      </c>
      <c r="D1081" s="98" t="s">
        <v>1726</v>
      </c>
      <c r="E1081" s="98" t="s">
        <v>1596</v>
      </c>
      <c r="F1081" s="98"/>
      <c r="G1081" s="99" t="n">
        <v>6.5472</v>
      </c>
      <c r="H1081" s="59" t="s">
        <v>53</v>
      </c>
    </row>
    <row r="1082">
      <c r="A1082" s="10" t="s">
        <v>53</v>
      </c>
      <c r="B1082" s="11" t="s">
        <v>53</v>
      </c>
      <c r="C1082" s="11" t="s">
        <v>53</v>
      </c>
      <c r="D1082" s="98" t="s">
        <v>1727</v>
      </c>
      <c r="E1082" s="98" t="s">
        <v>1598</v>
      </c>
      <c r="F1082" s="98"/>
      <c r="G1082" s="99" t="n">
        <v>12.936</v>
      </c>
      <c r="H1082" s="59" t="s">
        <v>53</v>
      </c>
    </row>
    <row r="1083">
      <c r="A1083" s="10" t="s">
        <v>53</v>
      </c>
      <c r="B1083" s="11" t="s">
        <v>53</v>
      </c>
      <c r="C1083" s="11" t="s">
        <v>53</v>
      </c>
      <c r="D1083" s="98" t="s">
        <v>1728</v>
      </c>
      <c r="E1083" s="98" t="s">
        <v>1600</v>
      </c>
      <c r="F1083" s="98"/>
      <c r="G1083" s="99" t="n">
        <v>4.312</v>
      </c>
      <c r="H1083" s="59" t="s">
        <v>53</v>
      </c>
    </row>
    <row r="1084">
      <c r="A1084" s="10" t="s">
        <v>53</v>
      </c>
      <c r="B1084" s="11" t="s">
        <v>53</v>
      </c>
      <c r="C1084" s="11" t="s">
        <v>53</v>
      </c>
      <c r="D1084" s="98" t="s">
        <v>1729</v>
      </c>
      <c r="E1084" s="98" t="s">
        <v>1592</v>
      </c>
      <c r="F1084" s="98"/>
      <c r="G1084" s="99" t="n">
        <v>11.88</v>
      </c>
      <c r="H1084" s="59" t="s">
        <v>53</v>
      </c>
    </row>
    <row r="1085">
      <c r="A1085" s="10" t="s">
        <v>53</v>
      </c>
      <c r="B1085" s="11" t="s">
        <v>53</v>
      </c>
      <c r="C1085" s="11" t="s">
        <v>53</v>
      </c>
      <c r="D1085" s="98" t="s">
        <v>1730</v>
      </c>
      <c r="E1085" s="98" t="s">
        <v>1588</v>
      </c>
      <c r="F1085" s="98"/>
      <c r="G1085" s="99" t="n">
        <v>7.392</v>
      </c>
      <c r="H1085" s="59" t="s">
        <v>53</v>
      </c>
    </row>
    <row r="1086">
      <c r="A1086" s="10" t="s">
        <v>53</v>
      </c>
      <c r="B1086" s="11" t="s">
        <v>53</v>
      </c>
      <c r="C1086" s="11" t="s">
        <v>53</v>
      </c>
      <c r="D1086" s="98" t="s">
        <v>1731</v>
      </c>
      <c r="E1086" s="98" t="s">
        <v>1590</v>
      </c>
      <c r="F1086" s="98"/>
      <c r="G1086" s="99" t="n">
        <v>4.9896</v>
      </c>
      <c r="H1086" s="59" t="s">
        <v>53</v>
      </c>
    </row>
    <row r="1087">
      <c r="A1087" s="10" t="s">
        <v>53</v>
      </c>
      <c r="B1087" s="11" t="s">
        <v>53</v>
      </c>
      <c r="C1087" s="11" t="s">
        <v>53</v>
      </c>
      <c r="D1087" s="98" t="s">
        <v>1732</v>
      </c>
      <c r="E1087" s="98" t="s">
        <v>1609</v>
      </c>
      <c r="F1087" s="98"/>
      <c r="G1087" s="99" t="n">
        <v>12.672</v>
      </c>
      <c r="H1087" s="59" t="s">
        <v>53</v>
      </c>
    </row>
    <row r="1088">
      <c r="A1088" s="10" t="s">
        <v>53</v>
      </c>
      <c r="B1088" s="11" t="s">
        <v>53</v>
      </c>
      <c r="C1088" s="11" t="s">
        <v>53</v>
      </c>
      <c r="D1088" s="98" t="s">
        <v>1733</v>
      </c>
      <c r="E1088" s="98" t="s">
        <v>1611</v>
      </c>
      <c r="F1088" s="98"/>
      <c r="G1088" s="99" t="n">
        <v>4.224</v>
      </c>
      <c r="H1088" s="59" t="s">
        <v>53</v>
      </c>
    </row>
    <row r="1089">
      <c r="A1089" s="10" t="s">
        <v>53</v>
      </c>
      <c r="B1089" s="11" t="s">
        <v>53</v>
      </c>
      <c r="C1089" s="11" t="s">
        <v>53</v>
      </c>
      <c r="D1089" s="98" t="s">
        <v>1734</v>
      </c>
      <c r="E1089" s="98" t="s">
        <v>1613</v>
      </c>
      <c r="F1089" s="98"/>
      <c r="G1089" s="99" t="n">
        <v>13.552</v>
      </c>
      <c r="H1089" s="59" t="s">
        <v>53</v>
      </c>
    </row>
    <row r="1090">
      <c r="A1090" s="10" t="s">
        <v>53</v>
      </c>
      <c r="B1090" s="11" t="s">
        <v>53</v>
      </c>
      <c r="C1090" s="11" t="s">
        <v>53</v>
      </c>
      <c r="D1090" s="98" t="s">
        <v>1735</v>
      </c>
      <c r="E1090" s="98" t="s">
        <v>1615</v>
      </c>
      <c r="F1090" s="98"/>
      <c r="G1090" s="99" t="n">
        <v>11.8096</v>
      </c>
      <c r="H1090" s="59" t="s">
        <v>53</v>
      </c>
    </row>
    <row r="1091">
      <c r="A1091" s="10" t="s">
        <v>53</v>
      </c>
      <c r="B1091" s="11" t="s">
        <v>53</v>
      </c>
      <c r="C1091" s="11" t="s">
        <v>53</v>
      </c>
      <c r="D1091" s="98" t="s">
        <v>1736</v>
      </c>
      <c r="E1091" s="98" t="s">
        <v>1639</v>
      </c>
      <c r="F1091" s="98"/>
      <c r="G1091" s="99" t="n">
        <v>273.8</v>
      </c>
      <c r="H1091" s="59" t="s">
        <v>53</v>
      </c>
    </row>
    <row r="1092">
      <c r="A1092" s="10" t="s">
        <v>53</v>
      </c>
      <c r="B1092" s="11" t="s">
        <v>53</v>
      </c>
      <c r="C1092" s="11" t="s">
        <v>53</v>
      </c>
      <c r="D1092" s="98" t="s">
        <v>1737</v>
      </c>
      <c r="E1092" s="98" t="s">
        <v>1639</v>
      </c>
      <c r="F1092" s="98"/>
      <c r="G1092" s="99" t="n">
        <v>950.4</v>
      </c>
      <c r="H1092" s="59" t="s">
        <v>53</v>
      </c>
    </row>
    <row r="1093">
      <c r="A1093" s="10" t="s">
        <v>53</v>
      </c>
      <c r="B1093" s="11" t="s">
        <v>53</v>
      </c>
      <c r="C1093" s="11" t="s">
        <v>53</v>
      </c>
      <c r="D1093" s="98" t="s">
        <v>1738</v>
      </c>
      <c r="E1093" s="98" t="s">
        <v>1639</v>
      </c>
      <c r="F1093" s="98"/>
      <c r="G1093" s="99" t="n">
        <v>35.28</v>
      </c>
      <c r="H1093" s="59" t="s">
        <v>53</v>
      </c>
    </row>
    <row r="1094">
      <c r="A1094" s="10" t="s">
        <v>53</v>
      </c>
      <c r="B1094" s="11" t="s">
        <v>53</v>
      </c>
      <c r="C1094" s="11" t="s">
        <v>53</v>
      </c>
      <c r="D1094" s="98" t="s">
        <v>1739</v>
      </c>
      <c r="E1094" s="98" t="s">
        <v>1639</v>
      </c>
      <c r="F1094" s="98"/>
      <c r="G1094" s="99" t="n">
        <v>88.48</v>
      </c>
      <c r="H1094" s="59" t="s">
        <v>53</v>
      </c>
    </row>
    <row r="1095">
      <c r="A1095" s="10" t="s">
        <v>53</v>
      </c>
      <c r="B1095" s="11" t="s">
        <v>53</v>
      </c>
      <c r="C1095" s="11" t="s">
        <v>53</v>
      </c>
      <c r="D1095" s="98" t="s">
        <v>1740</v>
      </c>
      <c r="E1095" s="98" t="s">
        <v>1639</v>
      </c>
      <c r="F1095" s="98"/>
      <c r="G1095" s="99" t="n">
        <v>271.446</v>
      </c>
      <c r="H1095" s="59" t="s">
        <v>53</v>
      </c>
    </row>
    <row r="1096">
      <c r="A1096" s="10" t="s">
        <v>53</v>
      </c>
      <c r="B1096" s="11" t="s">
        <v>53</v>
      </c>
      <c r="C1096" s="11" t="s">
        <v>53</v>
      </c>
      <c r="D1096" s="98" t="s">
        <v>1741</v>
      </c>
      <c r="E1096" s="98" t="s">
        <v>1639</v>
      </c>
      <c r="F1096" s="98"/>
      <c r="G1096" s="99" t="n">
        <v>980.88</v>
      </c>
      <c r="H1096" s="59" t="s">
        <v>53</v>
      </c>
    </row>
    <row r="1097">
      <c r="A1097" s="10" t="s">
        <v>53</v>
      </c>
      <c r="B1097" s="11" t="s">
        <v>53</v>
      </c>
      <c r="C1097" s="11" t="s">
        <v>53</v>
      </c>
      <c r="D1097" s="98" t="s">
        <v>1742</v>
      </c>
      <c r="E1097" s="98" t="s">
        <v>1639</v>
      </c>
      <c r="F1097" s="98"/>
      <c r="G1097" s="99" t="n">
        <v>116.192</v>
      </c>
      <c r="H1097" s="59" t="s">
        <v>53</v>
      </c>
    </row>
    <row r="1098">
      <c r="A1098" s="10" t="s">
        <v>53</v>
      </c>
      <c r="B1098" s="11" t="s">
        <v>53</v>
      </c>
      <c r="C1098" s="11" t="s">
        <v>53</v>
      </c>
      <c r="D1098" s="98" t="s">
        <v>1743</v>
      </c>
      <c r="E1098" s="98" t="s">
        <v>1744</v>
      </c>
      <c r="F1098" s="98"/>
      <c r="G1098" s="99" t="n">
        <v>48.816</v>
      </c>
      <c r="H1098" s="59" t="s">
        <v>53</v>
      </c>
    </row>
    <row r="1099">
      <c r="A1099" s="10" t="s">
        <v>53</v>
      </c>
      <c r="B1099" s="11" t="s">
        <v>53</v>
      </c>
      <c r="C1099" s="11" t="s">
        <v>53</v>
      </c>
      <c r="D1099" s="98" t="s">
        <v>1745</v>
      </c>
      <c r="E1099" s="98" t="s">
        <v>1746</v>
      </c>
      <c r="F1099" s="98"/>
      <c r="G1099" s="99" t="n">
        <v>7.344</v>
      </c>
      <c r="H1099" s="59" t="s">
        <v>53</v>
      </c>
    </row>
    <row r="1100">
      <c r="A1100" s="10" t="s">
        <v>53</v>
      </c>
      <c r="B1100" s="11" t="s">
        <v>53</v>
      </c>
      <c r="C1100" s="11" t="s">
        <v>53</v>
      </c>
      <c r="D1100" s="98" t="s">
        <v>1747</v>
      </c>
      <c r="E1100" s="98" t="s">
        <v>1748</v>
      </c>
      <c r="F1100" s="98"/>
      <c r="G1100" s="99" t="n">
        <v>25.56</v>
      </c>
      <c r="H1100" s="59" t="s">
        <v>53</v>
      </c>
    </row>
    <row r="1101">
      <c r="A1101" s="10" t="s">
        <v>53</v>
      </c>
      <c r="B1101" s="11" t="s">
        <v>53</v>
      </c>
      <c r="C1101" s="11" t="s">
        <v>53</v>
      </c>
      <c r="D1101" s="98" t="s">
        <v>1749</v>
      </c>
      <c r="E1101" s="98" t="s">
        <v>1750</v>
      </c>
      <c r="F1101" s="98"/>
      <c r="G1101" s="99" t="n">
        <v>93.312</v>
      </c>
      <c r="H1101" s="59" t="s">
        <v>53</v>
      </c>
    </row>
    <row r="1102">
      <c r="A1102" s="10" t="s">
        <v>53</v>
      </c>
      <c r="B1102" s="11" t="s">
        <v>53</v>
      </c>
      <c r="C1102" s="11" t="s">
        <v>53</v>
      </c>
      <c r="D1102" s="98" t="s">
        <v>1751</v>
      </c>
      <c r="E1102" s="98" t="s">
        <v>1752</v>
      </c>
      <c r="F1102" s="98"/>
      <c r="G1102" s="99" t="n">
        <v>144.256</v>
      </c>
      <c r="H1102" s="59" t="s">
        <v>53</v>
      </c>
    </row>
    <row r="1103">
      <c r="A1103" s="10" t="s">
        <v>53</v>
      </c>
      <c r="B1103" s="11" t="s">
        <v>53</v>
      </c>
      <c r="C1103" s="11" t="s">
        <v>53</v>
      </c>
      <c r="D1103" s="98" t="s">
        <v>1753</v>
      </c>
      <c r="E1103" s="98" t="s">
        <v>1754</v>
      </c>
      <c r="F1103" s="98"/>
      <c r="G1103" s="99" t="n">
        <v>47.04</v>
      </c>
      <c r="H1103" s="59" t="s">
        <v>53</v>
      </c>
    </row>
    <row r="1104">
      <c r="A1104" s="10" t="s">
        <v>53</v>
      </c>
      <c r="B1104" s="11" t="s">
        <v>53</v>
      </c>
      <c r="C1104" s="11" t="s">
        <v>53</v>
      </c>
      <c r="D1104" s="98" t="s">
        <v>1755</v>
      </c>
      <c r="E1104" s="98" t="s">
        <v>1756</v>
      </c>
      <c r="F1104" s="98"/>
      <c r="G1104" s="99" t="n">
        <v>10.416</v>
      </c>
      <c r="H1104" s="59" t="s">
        <v>53</v>
      </c>
    </row>
    <row r="1105">
      <c r="A1105" s="10" t="s">
        <v>53</v>
      </c>
      <c r="B1105" s="11" t="s">
        <v>53</v>
      </c>
      <c r="C1105" s="11" t="s">
        <v>53</v>
      </c>
      <c r="D1105" s="98" t="s">
        <v>1757</v>
      </c>
      <c r="E1105" s="98" t="s">
        <v>1758</v>
      </c>
      <c r="F1105" s="98"/>
      <c r="G1105" s="99" t="n">
        <v>401.856</v>
      </c>
      <c r="H1105" s="59" t="s">
        <v>53</v>
      </c>
    </row>
    <row r="1106">
      <c r="A1106" s="10" t="s">
        <v>53</v>
      </c>
      <c r="B1106" s="11" t="s">
        <v>53</v>
      </c>
      <c r="C1106" s="11" t="s">
        <v>53</v>
      </c>
      <c r="D1106" s="98" t="s">
        <v>1759</v>
      </c>
      <c r="E1106" s="98" t="s">
        <v>1760</v>
      </c>
      <c r="F1106" s="98"/>
      <c r="G1106" s="99" t="n">
        <v>108.864</v>
      </c>
      <c r="H1106" s="59" t="s">
        <v>53</v>
      </c>
    </row>
    <row r="1107">
      <c r="A1107" s="10" t="s">
        <v>53</v>
      </c>
      <c r="B1107" s="11" t="s">
        <v>53</v>
      </c>
      <c r="C1107" s="11" t="s">
        <v>53</v>
      </c>
      <c r="D1107" s="98" t="s">
        <v>1761</v>
      </c>
      <c r="E1107" s="98" t="s">
        <v>1762</v>
      </c>
      <c r="F1107" s="98"/>
      <c r="G1107" s="99" t="n">
        <v>47.616</v>
      </c>
      <c r="H1107" s="59" t="s">
        <v>53</v>
      </c>
    </row>
    <row r="1108">
      <c r="A1108" s="10" t="s">
        <v>53</v>
      </c>
      <c r="B1108" s="11" t="s">
        <v>53</v>
      </c>
      <c r="C1108" s="11" t="s">
        <v>53</v>
      </c>
      <c r="D1108" s="98" t="s">
        <v>1763</v>
      </c>
      <c r="E1108" s="98" t="s">
        <v>1764</v>
      </c>
      <c r="F1108" s="98"/>
      <c r="G1108" s="99" t="n">
        <v>109.76</v>
      </c>
      <c r="H1108" s="59" t="s">
        <v>53</v>
      </c>
    </row>
    <row r="1109">
      <c r="A1109" s="10" t="s">
        <v>53</v>
      </c>
      <c r="B1109" s="11" t="s">
        <v>53</v>
      </c>
      <c r="C1109" s="11" t="s">
        <v>53</v>
      </c>
      <c r="D1109" s="98" t="s">
        <v>1765</v>
      </c>
      <c r="E1109" s="98" t="s">
        <v>1766</v>
      </c>
      <c r="F1109" s="98"/>
      <c r="G1109" s="99" t="n">
        <v>31.36</v>
      </c>
      <c r="H1109" s="59" t="s">
        <v>53</v>
      </c>
    </row>
    <row r="1110">
      <c r="A1110" s="10" t="s">
        <v>53</v>
      </c>
      <c r="B1110" s="11" t="s">
        <v>53</v>
      </c>
      <c r="C1110" s="11" t="s">
        <v>53</v>
      </c>
      <c r="D1110" s="98" t="s">
        <v>1767</v>
      </c>
      <c r="E1110" s="98" t="s">
        <v>1768</v>
      </c>
      <c r="F1110" s="98"/>
      <c r="G1110" s="99" t="n">
        <v>92.4</v>
      </c>
      <c r="H1110" s="59" t="s">
        <v>53</v>
      </c>
    </row>
    <row r="1111">
      <c r="A1111" s="10" t="s">
        <v>53</v>
      </c>
      <c r="B1111" s="11" t="s">
        <v>53</v>
      </c>
      <c r="C1111" s="11" t="s">
        <v>53</v>
      </c>
      <c r="D1111" s="98" t="s">
        <v>1769</v>
      </c>
      <c r="E1111" s="98" t="s">
        <v>1770</v>
      </c>
      <c r="F1111" s="98"/>
      <c r="G1111" s="99" t="n">
        <v>55.104</v>
      </c>
      <c r="H1111" s="59" t="s">
        <v>53</v>
      </c>
    </row>
    <row r="1112">
      <c r="A1112" s="10" t="s">
        <v>53</v>
      </c>
      <c r="B1112" s="11" t="s">
        <v>53</v>
      </c>
      <c r="C1112" s="11" t="s">
        <v>53</v>
      </c>
      <c r="D1112" s="98" t="s">
        <v>1771</v>
      </c>
      <c r="E1112" s="98" t="s">
        <v>1772</v>
      </c>
      <c r="F1112" s="98"/>
      <c r="G1112" s="99" t="n">
        <v>30.24</v>
      </c>
      <c r="H1112" s="59" t="s">
        <v>53</v>
      </c>
    </row>
    <row r="1113">
      <c r="A1113" s="10" t="s">
        <v>53</v>
      </c>
      <c r="B1113" s="11" t="s">
        <v>53</v>
      </c>
      <c r="C1113" s="11" t="s">
        <v>53</v>
      </c>
      <c r="D1113" s="98" t="s">
        <v>1773</v>
      </c>
      <c r="E1113" s="98" t="s">
        <v>1774</v>
      </c>
      <c r="F1113" s="98"/>
      <c r="G1113" s="99" t="n">
        <v>0</v>
      </c>
      <c r="H1113" s="59" t="s">
        <v>53</v>
      </c>
    </row>
    <row r="1114">
      <c r="A1114" s="10" t="s">
        <v>53</v>
      </c>
      <c r="B1114" s="11" t="s">
        <v>53</v>
      </c>
      <c r="C1114" s="11" t="s">
        <v>53</v>
      </c>
      <c r="D1114" s="98" t="s">
        <v>1775</v>
      </c>
      <c r="E1114" s="98" t="s">
        <v>1776</v>
      </c>
      <c r="F1114" s="98"/>
      <c r="G1114" s="99" t="n">
        <v>0</v>
      </c>
      <c r="H1114" s="59" t="s">
        <v>53</v>
      </c>
    </row>
    <row r="1115">
      <c r="A1115" s="10" t="s">
        <v>53</v>
      </c>
      <c r="B1115" s="11" t="s">
        <v>53</v>
      </c>
      <c r="C1115" s="11" t="s">
        <v>53</v>
      </c>
      <c r="D1115" s="98" t="s">
        <v>1777</v>
      </c>
      <c r="E1115" s="98" t="s">
        <v>1778</v>
      </c>
      <c r="F1115" s="98"/>
      <c r="G1115" s="99" t="n">
        <v>160.16</v>
      </c>
      <c r="H1115" s="59" t="s">
        <v>53</v>
      </c>
    </row>
    <row r="1116">
      <c r="A1116" s="10" t="s">
        <v>53</v>
      </c>
      <c r="B1116" s="11" t="s">
        <v>53</v>
      </c>
      <c r="C1116" s="11" t="s">
        <v>53</v>
      </c>
      <c r="D1116" s="98" t="s">
        <v>1779</v>
      </c>
      <c r="E1116" s="98" t="s">
        <v>1780</v>
      </c>
      <c r="F1116" s="98"/>
      <c r="G1116" s="99" t="n">
        <v>32.208</v>
      </c>
      <c r="H1116" s="59" t="s">
        <v>53</v>
      </c>
    </row>
    <row r="1117">
      <c r="A1117" s="10" t="s">
        <v>53</v>
      </c>
      <c r="B1117" s="11" t="s">
        <v>53</v>
      </c>
      <c r="C1117" s="11" t="s">
        <v>53</v>
      </c>
      <c r="D1117" s="98" t="s">
        <v>1781</v>
      </c>
      <c r="E1117" s="98" t="s">
        <v>1782</v>
      </c>
      <c r="F1117" s="98"/>
      <c r="G1117" s="99" t="n">
        <v>8.096</v>
      </c>
      <c r="H1117" s="59" t="s">
        <v>53</v>
      </c>
    </row>
    <row r="1118">
      <c r="A1118" s="96" t="s">
        <v>53</v>
      </c>
      <c r="B1118" s="52" t="s">
        <v>707</v>
      </c>
      <c r="C1118" s="52" t="s">
        <v>373</v>
      </c>
      <c r="D1118" s="52" t="s">
        <v>535</v>
      </c>
      <c r="E1118" s="52"/>
      <c r="F1118" s="52" t="s">
        <v>53</v>
      </c>
      <c r="G1118" s="33" t="s">
        <v>53</v>
      </c>
      <c r="H1118" s="56" t="s">
        <v>53</v>
      </c>
    </row>
    <row r="1119">
      <c r="A1119" s="10" t="s">
        <v>991</v>
      </c>
      <c r="B1119" s="11" t="s">
        <v>707</v>
      </c>
      <c r="C1119" s="11" t="s">
        <v>687</v>
      </c>
      <c r="D1119" s="11" t="s">
        <v>688</v>
      </c>
      <c r="E1119" s="11"/>
      <c r="F1119" s="11" t="s">
        <v>61</v>
      </c>
      <c r="G1119" s="57" t="n">
        <v>1069.26</v>
      </c>
      <c r="H1119" s="97" t="n">
        <v>0</v>
      </c>
    </row>
    <row r="1120">
      <c r="A1120" s="62"/>
      <c r="D1120" s="98" t="s">
        <v>1783</v>
      </c>
      <c r="E1120" s="98" t="s">
        <v>1784</v>
      </c>
      <c r="F1120" s="98"/>
      <c r="G1120" s="99" t="n">
        <v>1069.26</v>
      </c>
      <c r="H1120" s="100"/>
    </row>
    <row r="1121">
      <c r="A1121" s="10" t="s">
        <v>993</v>
      </c>
      <c r="B1121" s="11" t="s">
        <v>707</v>
      </c>
      <c r="C1121" s="11" t="s">
        <v>994</v>
      </c>
      <c r="D1121" s="11" t="s">
        <v>995</v>
      </c>
      <c r="E1121" s="11"/>
      <c r="F1121" s="11" t="s">
        <v>61</v>
      </c>
      <c r="G1121" s="57" t="n">
        <v>594</v>
      </c>
      <c r="H1121" s="97" t="n">
        <v>0</v>
      </c>
    </row>
    <row r="1122">
      <c r="A1122" s="62"/>
      <c r="D1122" s="98" t="s">
        <v>1785</v>
      </c>
      <c r="E1122" s="98" t="s">
        <v>1786</v>
      </c>
      <c r="F1122" s="98"/>
      <c r="G1122" s="99" t="n">
        <v>594</v>
      </c>
      <c r="H1122" s="100"/>
    </row>
    <row r="1123">
      <c r="A1123" s="96" t="s">
        <v>53</v>
      </c>
      <c r="B1123" s="52" t="s">
        <v>707</v>
      </c>
      <c r="C1123" s="52" t="s">
        <v>376</v>
      </c>
      <c r="D1123" s="52" t="s">
        <v>554</v>
      </c>
      <c r="E1123" s="52"/>
      <c r="F1123" s="52" t="s">
        <v>53</v>
      </c>
      <c r="G1123" s="33" t="s">
        <v>53</v>
      </c>
      <c r="H1123" s="56" t="s">
        <v>53</v>
      </c>
    </row>
    <row r="1124">
      <c r="A1124" s="10" t="s">
        <v>996</v>
      </c>
      <c r="B1124" s="11" t="s">
        <v>707</v>
      </c>
      <c r="C1124" s="11" t="s">
        <v>997</v>
      </c>
      <c r="D1124" s="11" t="s">
        <v>998</v>
      </c>
      <c r="E1124" s="11"/>
      <c r="F1124" s="11" t="s">
        <v>84</v>
      </c>
      <c r="G1124" s="57" t="n">
        <v>6.75171</v>
      </c>
      <c r="H1124" s="97" t="n">
        <v>0</v>
      </c>
    </row>
    <row r="1125">
      <c r="A1125" s="62"/>
      <c r="D1125" s="98" t="s">
        <v>1787</v>
      </c>
      <c r="E1125" s="98" t="s">
        <v>1788</v>
      </c>
      <c r="F1125" s="98"/>
      <c r="G1125" s="99" t="n">
        <v>1.09519</v>
      </c>
      <c r="H1125" s="100"/>
    </row>
    <row r="1126">
      <c r="A1126" s="10" t="s">
        <v>53</v>
      </c>
      <c r="B1126" s="11" t="s">
        <v>53</v>
      </c>
      <c r="C1126" s="11" t="s">
        <v>53</v>
      </c>
      <c r="D1126" s="98" t="s">
        <v>1789</v>
      </c>
      <c r="E1126" s="98" t="s">
        <v>53</v>
      </c>
      <c r="F1126" s="98"/>
      <c r="G1126" s="99" t="n">
        <v>0.11644</v>
      </c>
      <c r="H1126" s="59" t="s">
        <v>53</v>
      </c>
    </row>
    <row r="1127">
      <c r="A1127" s="10" t="s">
        <v>53</v>
      </c>
      <c r="B1127" s="11" t="s">
        <v>53</v>
      </c>
      <c r="C1127" s="11" t="s">
        <v>53</v>
      </c>
      <c r="D1127" s="98" t="s">
        <v>1790</v>
      </c>
      <c r="E1127" s="98" t="s">
        <v>53</v>
      </c>
      <c r="F1127" s="98"/>
      <c r="G1127" s="99" t="n">
        <v>0.42694</v>
      </c>
      <c r="H1127" s="59" t="s">
        <v>53</v>
      </c>
    </row>
    <row r="1128">
      <c r="A1128" s="10" t="s">
        <v>53</v>
      </c>
      <c r="B1128" s="11" t="s">
        <v>53</v>
      </c>
      <c r="C1128" s="11" t="s">
        <v>53</v>
      </c>
      <c r="D1128" s="98" t="s">
        <v>1791</v>
      </c>
      <c r="E1128" s="98" t="s">
        <v>53</v>
      </c>
      <c r="F1128" s="98"/>
      <c r="G1128" s="99" t="n">
        <v>1.94906</v>
      </c>
      <c r="H1128" s="59" t="s">
        <v>53</v>
      </c>
    </row>
    <row r="1129">
      <c r="A1129" s="10" t="s">
        <v>53</v>
      </c>
      <c r="B1129" s="11" t="s">
        <v>53</v>
      </c>
      <c r="C1129" s="11" t="s">
        <v>53</v>
      </c>
      <c r="D1129" s="98" t="s">
        <v>1792</v>
      </c>
      <c r="E1129" s="98" t="s">
        <v>53</v>
      </c>
      <c r="F1129" s="98"/>
      <c r="G1129" s="99" t="n">
        <v>0.58219</v>
      </c>
      <c r="H1129" s="59" t="s">
        <v>53</v>
      </c>
    </row>
    <row r="1130">
      <c r="A1130" s="10" t="s">
        <v>53</v>
      </c>
      <c r="B1130" s="11" t="s">
        <v>53</v>
      </c>
      <c r="C1130" s="11" t="s">
        <v>53</v>
      </c>
      <c r="D1130" s="98" t="s">
        <v>1793</v>
      </c>
      <c r="E1130" s="98" t="s">
        <v>53</v>
      </c>
      <c r="F1130" s="98"/>
      <c r="G1130" s="99" t="n">
        <v>0.44719</v>
      </c>
      <c r="H1130" s="59" t="s">
        <v>53</v>
      </c>
    </row>
    <row r="1131">
      <c r="A1131" s="10" t="s">
        <v>53</v>
      </c>
      <c r="B1131" s="11" t="s">
        <v>53</v>
      </c>
      <c r="C1131" s="11" t="s">
        <v>53</v>
      </c>
      <c r="D1131" s="98" t="s">
        <v>1794</v>
      </c>
      <c r="E1131" s="98" t="s">
        <v>53</v>
      </c>
      <c r="F1131" s="98"/>
      <c r="G1131" s="99" t="n">
        <v>1.00238</v>
      </c>
      <c r="H1131" s="59" t="s">
        <v>53</v>
      </c>
    </row>
    <row r="1132">
      <c r="A1132" s="10" t="s">
        <v>53</v>
      </c>
      <c r="B1132" s="11" t="s">
        <v>53</v>
      </c>
      <c r="C1132" s="11" t="s">
        <v>53</v>
      </c>
      <c r="D1132" s="98" t="s">
        <v>1795</v>
      </c>
      <c r="E1132" s="98" t="s">
        <v>53</v>
      </c>
      <c r="F1132" s="98"/>
      <c r="G1132" s="99" t="n">
        <v>0.68344</v>
      </c>
      <c r="H1132" s="59" t="s">
        <v>53</v>
      </c>
    </row>
    <row r="1133">
      <c r="A1133" s="10" t="s">
        <v>53</v>
      </c>
      <c r="B1133" s="11" t="s">
        <v>53</v>
      </c>
      <c r="C1133" s="11" t="s">
        <v>53</v>
      </c>
      <c r="D1133" s="98" t="s">
        <v>1796</v>
      </c>
      <c r="E1133" s="98" t="s">
        <v>53</v>
      </c>
      <c r="F1133" s="98"/>
      <c r="G1133" s="99" t="n">
        <v>0.44888</v>
      </c>
      <c r="H1133" s="59" t="s">
        <v>53</v>
      </c>
    </row>
    <row r="1134">
      <c r="A1134" s="10" t="s">
        <v>1000</v>
      </c>
      <c r="B1134" s="11" t="s">
        <v>707</v>
      </c>
      <c r="C1134" s="11" t="s">
        <v>1001</v>
      </c>
      <c r="D1134" s="11" t="s">
        <v>1002</v>
      </c>
      <c r="E1134" s="11"/>
      <c r="F1134" s="11" t="s">
        <v>174</v>
      </c>
      <c r="G1134" s="57" t="n">
        <v>1</v>
      </c>
      <c r="H1134" s="97" t="n">
        <v>0</v>
      </c>
    </row>
    <row r="1135">
      <c r="A1135" s="10" t="s">
        <v>1003</v>
      </c>
      <c r="B1135" s="11" t="s">
        <v>707</v>
      </c>
      <c r="C1135" s="11" t="s">
        <v>1004</v>
      </c>
      <c r="D1135" s="11" t="s">
        <v>1005</v>
      </c>
      <c r="E1135" s="11"/>
      <c r="F1135" s="11" t="s">
        <v>174</v>
      </c>
      <c r="G1135" s="57" t="n">
        <v>1</v>
      </c>
      <c r="H1135" s="97" t="n">
        <v>0</v>
      </c>
    </row>
    <row r="1136">
      <c r="A1136" s="10" t="s">
        <v>1006</v>
      </c>
      <c r="B1136" s="11" t="s">
        <v>707</v>
      </c>
      <c r="C1136" s="11" t="s">
        <v>1007</v>
      </c>
      <c r="D1136" s="11" t="s">
        <v>1008</v>
      </c>
      <c r="E1136" s="11"/>
      <c r="F1136" s="11" t="s">
        <v>174</v>
      </c>
      <c r="G1136" s="57" t="n">
        <v>15</v>
      </c>
      <c r="H1136" s="97" t="n">
        <v>0</v>
      </c>
    </row>
    <row r="1137">
      <c r="A1137" s="62"/>
      <c r="D1137" s="98" t="s">
        <v>1797</v>
      </c>
      <c r="E1137" s="98" t="s">
        <v>53</v>
      </c>
      <c r="F1137" s="98"/>
      <c r="G1137" s="99" t="n">
        <v>15</v>
      </c>
      <c r="H1137" s="100"/>
    </row>
    <row r="1138">
      <c r="A1138" s="96" t="s">
        <v>53</v>
      </c>
      <c r="B1138" s="52" t="s">
        <v>707</v>
      </c>
      <c r="C1138" s="52" t="s">
        <v>581</v>
      </c>
      <c r="D1138" s="52" t="s">
        <v>582</v>
      </c>
      <c r="E1138" s="52"/>
      <c r="F1138" s="52" t="s">
        <v>53</v>
      </c>
      <c r="G1138" s="33" t="s">
        <v>53</v>
      </c>
      <c r="H1138" s="56" t="s">
        <v>53</v>
      </c>
    </row>
    <row r="1139">
      <c r="A1139" s="10" t="s">
        <v>1009</v>
      </c>
      <c r="B1139" s="11" t="s">
        <v>707</v>
      </c>
      <c r="C1139" s="11" t="s">
        <v>584</v>
      </c>
      <c r="D1139" s="11" t="s">
        <v>585</v>
      </c>
      <c r="E1139" s="11"/>
      <c r="F1139" s="11" t="s">
        <v>314</v>
      </c>
      <c r="G1139" s="57" t="n">
        <v>26.28445</v>
      </c>
      <c r="H1139" s="97" t="n">
        <v>0</v>
      </c>
    </row>
    <row r="1140">
      <c r="A1140" s="96" t="s">
        <v>53</v>
      </c>
      <c r="B1140" s="52" t="s">
        <v>707</v>
      </c>
      <c r="C1140" s="52" t="s">
        <v>616</v>
      </c>
      <c r="D1140" s="52" t="s">
        <v>617</v>
      </c>
      <c r="E1140" s="52"/>
      <c r="F1140" s="52" t="s">
        <v>53</v>
      </c>
      <c r="G1140" s="33" t="s">
        <v>53</v>
      </c>
      <c r="H1140" s="56" t="s">
        <v>53</v>
      </c>
    </row>
    <row r="1141">
      <c r="A1141" s="10" t="s">
        <v>1011</v>
      </c>
      <c r="B1141" s="11" t="s">
        <v>707</v>
      </c>
      <c r="C1141" s="11" t="s">
        <v>642</v>
      </c>
      <c r="D1141" s="11" t="s">
        <v>643</v>
      </c>
      <c r="E1141" s="11"/>
      <c r="F1141" s="11" t="s">
        <v>314</v>
      </c>
      <c r="G1141" s="57" t="n">
        <v>64.42052</v>
      </c>
      <c r="H1141" s="97" t="n">
        <v>0</v>
      </c>
    </row>
    <row r="1142">
      <c r="A1142" s="10" t="s">
        <v>1013</v>
      </c>
      <c r="B1142" s="11" t="s">
        <v>707</v>
      </c>
      <c r="C1142" s="11" t="s">
        <v>645</v>
      </c>
      <c r="D1142" s="11" t="s">
        <v>646</v>
      </c>
      <c r="E1142" s="11"/>
      <c r="F1142" s="11" t="s">
        <v>314</v>
      </c>
      <c r="G1142" s="57" t="n">
        <v>644.2052</v>
      </c>
      <c r="H1142" s="97" t="n">
        <v>0</v>
      </c>
    </row>
    <row r="1143">
      <c r="A1143" s="62"/>
      <c r="D1143" s="98" t="s">
        <v>1798</v>
      </c>
      <c r="E1143" s="98" t="s">
        <v>53</v>
      </c>
      <c r="F1143" s="98"/>
      <c r="G1143" s="99" t="n">
        <v>644.2052</v>
      </c>
      <c r="H1143" s="100"/>
    </row>
    <row r="1144">
      <c r="A1144" s="10" t="s">
        <v>1014</v>
      </c>
      <c r="B1144" s="11" t="s">
        <v>707</v>
      </c>
      <c r="C1144" s="11" t="s">
        <v>698</v>
      </c>
      <c r="D1144" s="11" t="s">
        <v>699</v>
      </c>
      <c r="E1144" s="11"/>
      <c r="F1144" s="11" t="s">
        <v>314</v>
      </c>
      <c r="G1144" s="57" t="n">
        <v>64.42052</v>
      </c>
      <c r="H1144" s="97" t="n">
        <v>0</v>
      </c>
    </row>
    <row r="1145">
      <c r="A1145" s="10" t="s">
        <v>1015</v>
      </c>
      <c r="B1145" s="11" t="s">
        <v>707</v>
      </c>
      <c r="C1145" s="11" t="s">
        <v>701</v>
      </c>
      <c r="D1145" s="11" t="s">
        <v>702</v>
      </c>
      <c r="E1145" s="11"/>
      <c r="F1145" s="11" t="s">
        <v>314</v>
      </c>
      <c r="G1145" s="57" t="n">
        <v>386.52312</v>
      </c>
      <c r="H1145" s="97" t="n">
        <v>0</v>
      </c>
    </row>
    <row r="1146">
      <c r="A1146" s="62"/>
      <c r="D1146" s="98" t="s">
        <v>1799</v>
      </c>
      <c r="E1146" s="98" t="s">
        <v>53</v>
      </c>
      <c r="F1146" s="98"/>
      <c r="G1146" s="99" t="n">
        <v>386.52312</v>
      </c>
      <c r="H1146" s="100"/>
    </row>
    <row r="1147">
      <c r="A1147" s="10" t="s">
        <v>1016</v>
      </c>
      <c r="B1147" s="11" t="s">
        <v>707</v>
      </c>
      <c r="C1147" s="11" t="s">
        <v>1017</v>
      </c>
      <c r="D1147" s="11" t="s">
        <v>1018</v>
      </c>
      <c r="E1147" s="11"/>
      <c r="F1147" s="11" t="s">
        <v>314</v>
      </c>
      <c r="G1147" s="57" t="n">
        <v>0.27838</v>
      </c>
      <c r="H1147" s="97" t="n">
        <v>0</v>
      </c>
    </row>
    <row r="1148">
      <c r="A1148" s="10" t="s">
        <v>1019</v>
      </c>
      <c r="B1148" s="11" t="s">
        <v>707</v>
      </c>
      <c r="C1148" s="11" t="s">
        <v>1020</v>
      </c>
      <c r="D1148" s="11" t="s">
        <v>1021</v>
      </c>
      <c r="E1148" s="11"/>
      <c r="F1148" s="11" t="s">
        <v>314</v>
      </c>
      <c r="G1148" s="57" t="n">
        <v>30.76361</v>
      </c>
      <c r="H1148" s="97" t="n">
        <v>0</v>
      </c>
    </row>
    <row r="1149">
      <c r="A1149" s="10" t="s">
        <v>1022</v>
      </c>
      <c r="B1149" s="11" t="s">
        <v>707</v>
      </c>
      <c r="C1149" s="11" t="s">
        <v>1023</v>
      </c>
      <c r="D1149" s="11" t="s">
        <v>1024</v>
      </c>
      <c r="E1149" s="11"/>
      <c r="F1149" s="11" t="s">
        <v>314</v>
      </c>
      <c r="G1149" s="57" t="n">
        <v>0.1</v>
      </c>
      <c r="H1149" s="97" t="n">
        <v>0</v>
      </c>
    </row>
    <row r="1150">
      <c r="A1150" s="10" t="s">
        <v>1025</v>
      </c>
      <c r="B1150" s="11" t="s">
        <v>707</v>
      </c>
      <c r="C1150" s="11" t="s">
        <v>1026</v>
      </c>
      <c r="D1150" s="11" t="s">
        <v>1027</v>
      </c>
      <c r="E1150" s="11"/>
      <c r="F1150" s="11" t="s">
        <v>314</v>
      </c>
      <c r="G1150" s="57" t="n">
        <v>0.04092</v>
      </c>
      <c r="H1150" s="97" t="n">
        <v>0</v>
      </c>
    </row>
    <row r="1151">
      <c r="A1151" s="10" t="s">
        <v>1028</v>
      </c>
      <c r="B1151" s="11" t="s">
        <v>707</v>
      </c>
      <c r="C1151" s="11" t="s">
        <v>627</v>
      </c>
      <c r="D1151" s="11" t="s">
        <v>628</v>
      </c>
      <c r="E1151" s="11"/>
      <c r="F1151" s="11" t="s">
        <v>314</v>
      </c>
      <c r="G1151" s="57" t="n">
        <v>18.62211</v>
      </c>
      <c r="H1151" s="97" t="n">
        <v>0</v>
      </c>
    </row>
    <row r="1152">
      <c r="A1152" s="96" t="s">
        <v>53</v>
      </c>
      <c r="B1152" s="52" t="s">
        <v>1030</v>
      </c>
      <c r="C1152" s="52" t="s">
        <v>53</v>
      </c>
      <c r="D1152" s="52" t="s">
        <v>1029</v>
      </c>
      <c r="E1152" s="52"/>
      <c r="F1152" s="52" t="s">
        <v>53</v>
      </c>
      <c r="G1152" s="33" t="s">
        <v>53</v>
      </c>
      <c r="H1152" s="56" t="s">
        <v>53</v>
      </c>
    </row>
    <row r="1153">
      <c r="A1153" s="96" t="s">
        <v>53</v>
      </c>
      <c r="B1153" s="52" t="s">
        <v>1030</v>
      </c>
      <c r="C1153" s="52" t="s">
        <v>356</v>
      </c>
      <c r="D1153" s="52" t="s">
        <v>451</v>
      </c>
      <c r="E1153" s="52"/>
      <c r="F1153" s="52" t="s">
        <v>53</v>
      </c>
      <c r="G1153" s="33" t="s">
        <v>53</v>
      </c>
      <c r="H1153" s="56" t="s">
        <v>53</v>
      </c>
    </row>
    <row r="1154">
      <c r="A1154" s="10" t="s">
        <v>1031</v>
      </c>
      <c r="B1154" s="11" t="s">
        <v>1030</v>
      </c>
      <c r="C1154" s="11" t="s">
        <v>1032</v>
      </c>
      <c r="D1154" s="11" t="s">
        <v>1033</v>
      </c>
      <c r="E1154" s="11"/>
      <c r="F1154" s="11" t="s">
        <v>455</v>
      </c>
      <c r="G1154" s="57" t="n">
        <v>8</v>
      </c>
      <c r="H1154" s="97" t="n">
        <v>0</v>
      </c>
    </row>
    <row r="1155">
      <c r="A1155" s="10" t="s">
        <v>1037</v>
      </c>
      <c r="B1155" s="11" t="s">
        <v>1030</v>
      </c>
      <c r="C1155" s="11" t="s">
        <v>1038</v>
      </c>
      <c r="D1155" s="11" t="s">
        <v>1039</v>
      </c>
      <c r="E1155" s="11"/>
      <c r="F1155" s="11" t="s">
        <v>455</v>
      </c>
      <c r="G1155" s="57" t="n">
        <v>45</v>
      </c>
      <c r="H1155" s="97" t="n">
        <v>0</v>
      </c>
    </row>
    <row r="1156">
      <c r="A1156" s="10" t="s">
        <v>1041</v>
      </c>
      <c r="B1156" s="11" t="s">
        <v>1030</v>
      </c>
      <c r="C1156" s="11" t="s">
        <v>1038</v>
      </c>
      <c r="D1156" s="11" t="s">
        <v>1042</v>
      </c>
      <c r="E1156" s="11"/>
      <c r="F1156" s="11" t="s">
        <v>455</v>
      </c>
      <c r="G1156" s="57" t="n">
        <v>8</v>
      </c>
      <c r="H1156" s="97" t="n">
        <v>0</v>
      </c>
    </row>
    <row r="1157">
      <c r="A1157" s="96" t="s">
        <v>53</v>
      </c>
      <c r="B1157" s="52" t="s">
        <v>1030</v>
      </c>
      <c r="C1157" s="52" t="s">
        <v>1043</v>
      </c>
      <c r="D1157" s="52" t="s">
        <v>1044</v>
      </c>
      <c r="E1157" s="52"/>
      <c r="F1157" s="52" t="s">
        <v>53</v>
      </c>
      <c r="G1157" s="33" t="s">
        <v>53</v>
      </c>
      <c r="H1157" s="56" t="s">
        <v>53</v>
      </c>
    </row>
    <row r="1158">
      <c r="A1158" s="10" t="s">
        <v>1045</v>
      </c>
      <c r="B1158" s="11" t="s">
        <v>1030</v>
      </c>
      <c r="C1158" s="11" t="s">
        <v>1046</v>
      </c>
      <c r="D1158" s="11" t="s">
        <v>1047</v>
      </c>
      <c r="E1158" s="11"/>
      <c r="F1158" s="11" t="s">
        <v>126</v>
      </c>
      <c r="G1158" s="57" t="n">
        <v>150</v>
      </c>
      <c r="H1158" s="97" t="n">
        <v>0</v>
      </c>
    </row>
    <row r="1159">
      <c r="A1159" s="62"/>
      <c r="D1159" s="98" t="s">
        <v>1693</v>
      </c>
      <c r="E1159" s="98" t="s">
        <v>53</v>
      </c>
      <c r="F1159" s="98"/>
      <c r="G1159" s="99" t="n">
        <v>150</v>
      </c>
      <c r="H1159" s="100"/>
    </row>
    <row r="1160">
      <c r="A1160" s="10" t="s">
        <v>1050</v>
      </c>
      <c r="B1160" s="11" t="s">
        <v>1030</v>
      </c>
      <c r="C1160" s="11" t="s">
        <v>1051</v>
      </c>
      <c r="D1160" s="11" t="s">
        <v>1052</v>
      </c>
      <c r="E1160" s="11"/>
      <c r="F1160" s="11" t="s">
        <v>126</v>
      </c>
      <c r="G1160" s="57" t="n">
        <v>165</v>
      </c>
      <c r="H1160" s="97" t="n">
        <v>0</v>
      </c>
    </row>
    <row r="1161">
      <c r="A1161" s="62"/>
      <c r="D1161" s="98" t="s">
        <v>1693</v>
      </c>
      <c r="E1161" s="98" t="s">
        <v>53</v>
      </c>
      <c r="F1161" s="98"/>
      <c r="G1161" s="99" t="n">
        <v>150</v>
      </c>
      <c r="H1161" s="100"/>
    </row>
    <row r="1162">
      <c r="A1162" s="10" t="s">
        <v>53</v>
      </c>
      <c r="B1162" s="11" t="s">
        <v>53</v>
      </c>
      <c r="C1162" s="11" t="s">
        <v>53</v>
      </c>
      <c r="D1162" s="98" t="s">
        <v>1800</v>
      </c>
      <c r="E1162" s="98" t="s">
        <v>53</v>
      </c>
      <c r="F1162" s="98"/>
      <c r="G1162" s="99" t="n">
        <v>15</v>
      </c>
      <c r="H1162" s="59" t="s">
        <v>53</v>
      </c>
    </row>
    <row r="1163">
      <c r="A1163" s="10" t="s">
        <v>1053</v>
      </c>
      <c r="B1163" s="11" t="s">
        <v>1030</v>
      </c>
      <c r="C1163" s="11" t="s">
        <v>1054</v>
      </c>
      <c r="D1163" s="11" t="s">
        <v>1055</v>
      </c>
      <c r="E1163" s="11"/>
      <c r="F1163" s="11" t="s">
        <v>126</v>
      </c>
      <c r="G1163" s="57" t="n">
        <v>119</v>
      </c>
      <c r="H1163" s="97" t="n">
        <v>0</v>
      </c>
    </row>
    <row r="1164">
      <c r="A1164" s="62"/>
      <c r="D1164" s="98" t="s">
        <v>1801</v>
      </c>
      <c r="E1164" s="98" t="s">
        <v>53</v>
      </c>
      <c r="F1164" s="98"/>
      <c r="G1164" s="99" t="n">
        <v>119</v>
      </c>
      <c r="H1164" s="100"/>
    </row>
    <row r="1165">
      <c r="A1165" s="10" t="s">
        <v>1057</v>
      </c>
      <c r="B1165" s="11" t="s">
        <v>1030</v>
      </c>
      <c r="C1165" s="11" t="s">
        <v>1058</v>
      </c>
      <c r="D1165" s="11" t="s">
        <v>1059</v>
      </c>
      <c r="E1165" s="11"/>
      <c r="F1165" s="11" t="s">
        <v>174</v>
      </c>
      <c r="G1165" s="57" t="n">
        <v>5</v>
      </c>
      <c r="H1165" s="97" t="n">
        <v>0</v>
      </c>
    </row>
    <row r="1166">
      <c r="A1166" s="10" t="s">
        <v>1061</v>
      </c>
      <c r="B1166" s="11" t="s">
        <v>1030</v>
      </c>
      <c r="C1166" s="11" t="s">
        <v>1062</v>
      </c>
      <c r="D1166" s="11" t="s">
        <v>1063</v>
      </c>
      <c r="E1166" s="11"/>
      <c r="F1166" s="11" t="s">
        <v>174</v>
      </c>
      <c r="G1166" s="57" t="n">
        <v>7</v>
      </c>
      <c r="H1166" s="97" t="n">
        <v>0</v>
      </c>
    </row>
    <row r="1167">
      <c r="A1167" s="10" t="s">
        <v>1065</v>
      </c>
      <c r="B1167" s="11" t="s">
        <v>1030</v>
      </c>
      <c r="C1167" s="11" t="s">
        <v>1066</v>
      </c>
      <c r="D1167" s="11" t="s">
        <v>1063</v>
      </c>
      <c r="E1167" s="11"/>
      <c r="F1167" s="11" t="s">
        <v>174</v>
      </c>
      <c r="G1167" s="57" t="n">
        <v>30</v>
      </c>
      <c r="H1167" s="97" t="n">
        <v>0</v>
      </c>
    </row>
    <row r="1168">
      <c r="A1168" s="10" t="s">
        <v>1068</v>
      </c>
      <c r="B1168" s="11" t="s">
        <v>1030</v>
      </c>
      <c r="C1168" s="11" t="s">
        <v>1069</v>
      </c>
      <c r="D1168" s="11" t="s">
        <v>1063</v>
      </c>
      <c r="E1168" s="11"/>
      <c r="F1168" s="11" t="s">
        <v>174</v>
      </c>
      <c r="G1168" s="57" t="n">
        <v>7</v>
      </c>
      <c r="H1168" s="97" t="n">
        <v>0</v>
      </c>
    </row>
    <row r="1169">
      <c r="A1169" s="10" t="s">
        <v>1071</v>
      </c>
      <c r="B1169" s="11" t="s">
        <v>1030</v>
      </c>
      <c r="C1169" s="11" t="s">
        <v>1072</v>
      </c>
      <c r="D1169" s="11" t="s">
        <v>1073</v>
      </c>
      <c r="E1169" s="11"/>
      <c r="F1169" s="11" t="s">
        <v>174</v>
      </c>
      <c r="G1169" s="57" t="n">
        <v>7</v>
      </c>
      <c r="H1169" s="97" t="n">
        <v>0</v>
      </c>
    </row>
    <row r="1170">
      <c r="A1170" s="10" t="s">
        <v>1075</v>
      </c>
      <c r="B1170" s="11" t="s">
        <v>1030</v>
      </c>
      <c r="C1170" s="11" t="s">
        <v>1076</v>
      </c>
      <c r="D1170" s="11" t="s">
        <v>1077</v>
      </c>
      <c r="E1170" s="11"/>
      <c r="F1170" s="11" t="s">
        <v>174</v>
      </c>
      <c r="G1170" s="57" t="n">
        <v>7</v>
      </c>
      <c r="H1170" s="97" t="n">
        <v>0</v>
      </c>
    </row>
    <row r="1171">
      <c r="A1171" s="10" t="s">
        <v>1079</v>
      </c>
      <c r="B1171" s="11" t="s">
        <v>1030</v>
      </c>
      <c r="C1171" s="11" t="s">
        <v>1080</v>
      </c>
      <c r="D1171" s="11" t="s">
        <v>1081</v>
      </c>
      <c r="E1171" s="11"/>
      <c r="F1171" s="11" t="s">
        <v>174</v>
      </c>
      <c r="G1171" s="57" t="n">
        <v>7</v>
      </c>
      <c r="H1171" s="97" t="n">
        <v>0</v>
      </c>
    </row>
    <row r="1172">
      <c r="A1172" s="10" t="s">
        <v>1083</v>
      </c>
      <c r="B1172" s="11" t="s">
        <v>1030</v>
      </c>
      <c r="C1172" s="11" t="s">
        <v>1084</v>
      </c>
      <c r="D1172" s="11" t="s">
        <v>1085</v>
      </c>
      <c r="E1172" s="11"/>
      <c r="F1172" s="11" t="s">
        <v>174</v>
      </c>
      <c r="G1172" s="57" t="n">
        <v>7</v>
      </c>
      <c r="H1172" s="97" t="n">
        <v>0</v>
      </c>
    </row>
    <row r="1173">
      <c r="A1173" s="10" t="s">
        <v>1087</v>
      </c>
      <c r="B1173" s="11" t="s">
        <v>1030</v>
      </c>
      <c r="C1173" s="11" t="s">
        <v>1088</v>
      </c>
      <c r="D1173" s="11" t="s">
        <v>1089</v>
      </c>
      <c r="E1173" s="11"/>
      <c r="F1173" s="11" t="s">
        <v>174</v>
      </c>
      <c r="G1173" s="57" t="n">
        <v>7</v>
      </c>
      <c r="H1173" s="97" t="n">
        <v>0</v>
      </c>
    </row>
    <row r="1174">
      <c r="A1174" s="96" t="s">
        <v>53</v>
      </c>
      <c r="B1174" s="52" t="s">
        <v>1030</v>
      </c>
      <c r="C1174" s="52" t="s">
        <v>1090</v>
      </c>
      <c r="D1174" s="52" t="s">
        <v>1091</v>
      </c>
      <c r="E1174" s="52"/>
      <c r="F1174" s="52" t="s">
        <v>53</v>
      </c>
      <c r="G1174" s="33" t="s">
        <v>53</v>
      </c>
      <c r="H1174" s="56" t="s">
        <v>53</v>
      </c>
    </row>
    <row r="1175">
      <c r="A1175" s="10" t="s">
        <v>1092</v>
      </c>
      <c r="B1175" s="11" t="s">
        <v>1030</v>
      </c>
      <c r="C1175" s="11" t="s">
        <v>1093</v>
      </c>
      <c r="D1175" s="11" t="s">
        <v>1094</v>
      </c>
      <c r="E1175" s="11"/>
      <c r="F1175" s="11" t="s">
        <v>61</v>
      </c>
      <c r="G1175" s="57" t="n">
        <v>2.45</v>
      </c>
      <c r="H1175" s="97" t="n">
        <v>0</v>
      </c>
    </row>
    <row r="1176">
      <c r="A1176" s="62"/>
      <c r="D1176" s="98" t="s">
        <v>1802</v>
      </c>
      <c r="E1176" s="98" t="s">
        <v>53</v>
      </c>
      <c r="F1176" s="98"/>
      <c r="G1176" s="99" t="n">
        <v>2.45</v>
      </c>
      <c r="H1176" s="100"/>
    </row>
    <row r="1177">
      <c r="A1177" s="10" t="s">
        <v>1097</v>
      </c>
      <c r="B1177" s="11" t="s">
        <v>1030</v>
      </c>
      <c r="C1177" s="11" t="s">
        <v>1098</v>
      </c>
      <c r="D1177" s="11" t="s">
        <v>1099</v>
      </c>
      <c r="E1177" s="11"/>
      <c r="F1177" s="11" t="s">
        <v>126</v>
      </c>
      <c r="G1177" s="57" t="n">
        <v>7</v>
      </c>
      <c r="H1177" s="97" t="n">
        <v>0</v>
      </c>
    </row>
    <row r="1178">
      <c r="A1178" s="10" t="s">
        <v>1100</v>
      </c>
      <c r="B1178" s="11" t="s">
        <v>1030</v>
      </c>
      <c r="C1178" s="11" t="s">
        <v>1101</v>
      </c>
      <c r="D1178" s="11" t="s">
        <v>1102</v>
      </c>
      <c r="E1178" s="11"/>
      <c r="F1178" s="11" t="s">
        <v>126</v>
      </c>
      <c r="G1178" s="57" t="n">
        <v>7</v>
      </c>
      <c r="H1178" s="97" t="n">
        <v>0</v>
      </c>
    </row>
    <row r="1179">
      <c r="A1179" s="10" t="s">
        <v>1103</v>
      </c>
      <c r="B1179" s="11" t="s">
        <v>1030</v>
      </c>
      <c r="C1179" s="11" t="s">
        <v>1104</v>
      </c>
      <c r="D1179" s="11" t="s">
        <v>1105</v>
      </c>
      <c r="E1179" s="11"/>
      <c r="F1179" s="11" t="s">
        <v>61</v>
      </c>
      <c r="G1179" s="57" t="n">
        <v>2.45</v>
      </c>
      <c r="H1179" s="97" t="n">
        <v>0</v>
      </c>
    </row>
    <row r="1180">
      <c r="A1180" s="62"/>
      <c r="D1180" s="98" t="s">
        <v>1802</v>
      </c>
      <c r="E1180" s="98" t="s">
        <v>53</v>
      </c>
      <c r="F1180" s="98"/>
      <c r="G1180" s="99" t="n">
        <v>2.45</v>
      </c>
      <c r="H1180" s="100"/>
    </row>
    <row r="1181">
      <c r="A1181" s="96" t="s">
        <v>53</v>
      </c>
      <c r="B1181" s="52" t="s">
        <v>1107</v>
      </c>
      <c r="C1181" s="52" t="s">
        <v>53</v>
      </c>
      <c r="D1181" s="52" t="s">
        <v>1106</v>
      </c>
      <c r="E1181" s="52"/>
      <c r="F1181" s="52" t="s">
        <v>53</v>
      </c>
      <c r="G1181" s="33" t="s">
        <v>53</v>
      </c>
      <c r="H1181" s="56" t="s">
        <v>53</v>
      </c>
    </row>
    <row r="1182">
      <c r="A1182" s="96" t="s">
        <v>53</v>
      </c>
      <c r="B1182" s="52" t="s">
        <v>1107</v>
      </c>
      <c r="C1182" s="52" t="s">
        <v>87</v>
      </c>
      <c r="D1182" s="52" t="s">
        <v>88</v>
      </c>
      <c r="E1182" s="52"/>
      <c r="F1182" s="52" t="s">
        <v>53</v>
      </c>
      <c r="G1182" s="33" t="s">
        <v>53</v>
      </c>
      <c r="H1182" s="56" t="s">
        <v>53</v>
      </c>
    </row>
    <row r="1183">
      <c r="A1183" s="10" t="s">
        <v>1108</v>
      </c>
      <c r="B1183" s="11" t="s">
        <v>1107</v>
      </c>
      <c r="C1183" s="11" t="s">
        <v>1109</v>
      </c>
      <c r="D1183" s="11" t="s">
        <v>1110</v>
      </c>
      <c r="E1183" s="11"/>
      <c r="F1183" s="11" t="s">
        <v>61</v>
      </c>
      <c r="G1183" s="57" t="n">
        <v>7.5</v>
      </c>
      <c r="H1183" s="97" t="n">
        <v>0</v>
      </c>
    </row>
    <row r="1184">
      <c r="A1184" s="62"/>
      <c r="D1184" s="98" t="s">
        <v>1803</v>
      </c>
      <c r="E1184" s="98" t="s">
        <v>53</v>
      </c>
      <c r="F1184" s="98"/>
      <c r="G1184" s="99" t="n">
        <v>7.5</v>
      </c>
      <c r="H1184" s="100"/>
    </row>
    <row r="1185">
      <c r="A1185" s="10" t="s">
        <v>1113</v>
      </c>
      <c r="B1185" s="11" t="s">
        <v>1107</v>
      </c>
      <c r="C1185" s="11" t="s">
        <v>1114</v>
      </c>
      <c r="D1185" s="11" t="s">
        <v>1115</v>
      </c>
      <c r="E1185" s="11"/>
      <c r="F1185" s="11" t="s">
        <v>61</v>
      </c>
      <c r="G1185" s="57" t="n">
        <v>7.5</v>
      </c>
      <c r="H1185" s="97" t="n">
        <v>0</v>
      </c>
    </row>
    <row r="1186">
      <c r="A1186" s="62"/>
      <c r="D1186" s="98" t="s">
        <v>1803</v>
      </c>
      <c r="E1186" s="98" t="s">
        <v>53</v>
      </c>
      <c r="F1186" s="98"/>
      <c r="G1186" s="99" t="n">
        <v>7.5</v>
      </c>
      <c r="H1186" s="100"/>
    </row>
    <row r="1187">
      <c r="A1187" s="96" t="s">
        <v>53</v>
      </c>
      <c r="B1187" s="52" t="s">
        <v>1107</v>
      </c>
      <c r="C1187" s="52" t="s">
        <v>1116</v>
      </c>
      <c r="D1187" s="52" t="s">
        <v>1117</v>
      </c>
      <c r="E1187" s="52"/>
      <c r="F1187" s="52" t="s">
        <v>53</v>
      </c>
      <c r="G1187" s="33" t="s">
        <v>53</v>
      </c>
      <c r="H1187" s="56" t="s">
        <v>53</v>
      </c>
    </row>
    <row r="1188">
      <c r="A1188" s="96" t="s">
        <v>53</v>
      </c>
      <c r="B1188" s="52" t="s">
        <v>1107</v>
      </c>
      <c r="C1188" s="52" t="s">
        <v>1118</v>
      </c>
      <c r="D1188" s="52" t="s">
        <v>1119</v>
      </c>
      <c r="E1188" s="52"/>
      <c r="F1188" s="52" t="s">
        <v>53</v>
      </c>
      <c r="G1188" s="33" t="s">
        <v>53</v>
      </c>
      <c r="H1188" s="56" t="s">
        <v>53</v>
      </c>
    </row>
    <row r="1189">
      <c r="A1189" s="10" t="s">
        <v>1120</v>
      </c>
      <c r="B1189" s="11" t="s">
        <v>1107</v>
      </c>
      <c r="C1189" s="11" t="s">
        <v>1121</v>
      </c>
      <c r="D1189" s="11" t="s">
        <v>1122</v>
      </c>
      <c r="E1189" s="11"/>
      <c r="F1189" s="11" t="s">
        <v>1123</v>
      </c>
      <c r="G1189" s="57" t="n">
        <v>1</v>
      </c>
      <c r="H1189" s="97" t="n">
        <v>0</v>
      </c>
    </row>
    <row r="1190">
      <c r="A1190" s="10" t="s">
        <v>1126</v>
      </c>
      <c r="B1190" s="11" t="s">
        <v>1107</v>
      </c>
      <c r="C1190" s="11" t="s">
        <v>1127</v>
      </c>
      <c r="D1190" s="11" t="s">
        <v>1128</v>
      </c>
      <c r="E1190" s="11"/>
      <c r="F1190" s="11" t="s">
        <v>1123</v>
      </c>
      <c r="G1190" s="57" t="n">
        <v>1</v>
      </c>
      <c r="H1190" s="97" t="n">
        <v>0</v>
      </c>
    </row>
    <row r="1191">
      <c r="A1191" s="10" t="s">
        <v>1129</v>
      </c>
      <c r="B1191" s="11" t="s">
        <v>1107</v>
      </c>
      <c r="C1191" s="11" t="s">
        <v>1130</v>
      </c>
      <c r="D1191" s="11" t="s">
        <v>1131</v>
      </c>
      <c r="E1191" s="11"/>
      <c r="F1191" s="11" t="s">
        <v>1123</v>
      </c>
      <c r="G1191" s="57" t="n">
        <v>1</v>
      </c>
      <c r="H1191" s="97" t="n">
        <v>0</v>
      </c>
    </row>
    <row r="1192">
      <c r="A1192" s="96" t="s">
        <v>53</v>
      </c>
      <c r="B1192" s="52" t="s">
        <v>1107</v>
      </c>
      <c r="C1192" s="52" t="s">
        <v>1132</v>
      </c>
      <c r="D1192" s="52" t="s">
        <v>1133</v>
      </c>
      <c r="E1192" s="52"/>
      <c r="F1192" s="52" t="s">
        <v>53</v>
      </c>
      <c r="G1192" s="33" t="s">
        <v>53</v>
      </c>
      <c r="H1192" s="56" t="s">
        <v>53</v>
      </c>
    </row>
    <row r="1193">
      <c r="A1193" s="10" t="s">
        <v>1134</v>
      </c>
      <c r="B1193" s="11" t="s">
        <v>1107</v>
      </c>
      <c r="C1193" s="11" t="s">
        <v>1135</v>
      </c>
      <c r="D1193" s="11" t="s">
        <v>1136</v>
      </c>
      <c r="E1193" s="11"/>
      <c r="F1193" s="11" t="s">
        <v>1123</v>
      </c>
      <c r="G1193" s="57" t="n">
        <v>1</v>
      </c>
      <c r="H1193" s="97" t="n">
        <v>0</v>
      </c>
    </row>
    <row r="1194">
      <c r="A1194" s="10" t="s">
        <v>1139</v>
      </c>
      <c r="B1194" s="11" t="s">
        <v>1107</v>
      </c>
      <c r="C1194" s="11" t="s">
        <v>1140</v>
      </c>
      <c r="D1194" s="11" t="s">
        <v>1141</v>
      </c>
      <c r="E1194" s="11"/>
      <c r="F1194" s="11" t="s">
        <v>1123</v>
      </c>
      <c r="G1194" s="57" t="n">
        <v>284</v>
      </c>
      <c r="H1194" s="97" t="n">
        <v>0</v>
      </c>
    </row>
    <row r="1195">
      <c r="A1195" s="62"/>
      <c r="D1195" s="98" t="s">
        <v>1804</v>
      </c>
      <c r="E1195" s="98" t="s">
        <v>1805</v>
      </c>
      <c r="F1195" s="98"/>
      <c r="G1195" s="99" t="n">
        <v>284</v>
      </c>
      <c r="H1195" s="100"/>
    </row>
    <row r="1196">
      <c r="A1196" s="10" t="s">
        <v>1142</v>
      </c>
      <c r="B1196" s="11" t="s">
        <v>1107</v>
      </c>
      <c r="C1196" s="11" t="s">
        <v>1143</v>
      </c>
      <c r="D1196" s="11" t="s">
        <v>1144</v>
      </c>
      <c r="E1196" s="11"/>
      <c r="F1196" s="11" t="s">
        <v>1123</v>
      </c>
      <c r="G1196" s="57" t="n">
        <v>852</v>
      </c>
      <c r="H1196" s="97" t="n">
        <v>0</v>
      </c>
    </row>
    <row r="1197">
      <c r="A1197" s="62"/>
      <c r="D1197" s="98" t="s">
        <v>1806</v>
      </c>
      <c r="E1197" s="98" t="s">
        <v>1807</v>
      </c>
      <c r="F1197" s="98"/>
      <c r="G1197" s="99" t="n">
        <v>852</v>
      </c>
      <c r="H1197" s="100"/>
    </row>
    <row r="1198">
      <c r="A1198" s="10" t="s">
        <v>1145</v>
      </c>
      <c r="B1198" s="11" t="s">
        <v>1107</v>
      </c>
      <c r="C1198" s="11" t="s">
        <v>1146</v>
      </c>
      <c r="D1198" s="11" t="s">
        <v>1147</v>
      </c>
      <c r="E1198" s="11"/>
      <c r="F1198" s="11" t="s">
        <v>1123</v>
      </c>
      <c r="G1198" s="57" t="n">
        <v>284</v>
      </c>
      <c r="H1198" s="97" t="n">
        <v>0</v>
      </c>
    </row>
    <row r="1199">
      <c r="A1199" s="62"/>
      <c r="D1199" s="98" t="s">
        <v>1804</v>
      </c>
      <c r="E1199" s="98" t="s">
        <v>1808</v>
      </c>
      <c r="F1199" s="98"/>
      <c r="G1199" s="99" t="n">
        <v>284</v>
      </c>
      <c r="H1199" s="100"/>
    </row>
    <row r="1200">
      <c r="A1200" s="96" t="s">
        <v>53</v>
      </c>
      <c r="B1200" s="52" t="s">
        <v>1107</v>
      </c>
      <c r="C1200" s="52" t="s">
        <v>1148</v>
      </c>
      <c r="D1200" s="52" t="s">
        <v>1149</v>
      </c>
      <c r="E1200" s="52"/>
      <c r="F1200" s="52" t="s">
        <v>53</v>
      </c>
      <c r="G1200" s="33" t="s">
        <v>53</v>
      </c>
      <c r="H1200" s="56" t="s">
        <v>53</v>
      </c>
    </row>
    <row r="1201">
      <c r="A1201" s="10" t="s">
        <v>1150</v>
      </c>
      <c r="B1201" s="11" t="s">
        <v>1107</v>
      </c>
      <c r="C1201" s="11" t="s">
        <v>1151</v>
      </c>
      <c r="D1201" s="11" t="s">
        <v>1152</v>
      </c>
      <c r="E1201" s="11"/>
      <c r="F1201" s="11" t="s">
        <v>1123</v>
      </c>
      <c r="G1201" s="57" t="n">
        <v>1</v>
      </c>
      <c r="H1201" s="97" t="n">
        <v>0</v>
      </c>
    </row>
    <row r="1202">
      <c r="A1202" s="10" t="s">
        <v>1155</v>
      </c>
      <c r="B1202" s="11" t="s">
        <v>1107</v>
      </c>
      <c r="C1202" s="11" t="s">
        <v>1156</v>
      </c>
      <c r="D1202" s="11" t="s">
        <v>1157</v>
      </c>
      <c r="E1202" s="11"/>
      <c r="F1202" s="11" t="s">
        <v>1123</v>
      </c>
      <c r="G1202" s="57" t="n">
        <v>1</v>
      </c>
      <c r="H1202" s="97" t="n">
        <v>0</v>
      </c>
    </row>
    <row r="1203">
      <c r="A1203" s="96" t="s">
        <v>53</v>
      </c>
      <c r="B1203" s="52" t="s">
        <v>1107</v>
      </c>
      <c r="C1203" s="52" t="s">
        <v>1158</v>
      </c>
      <c r="D1203" s="52" t="s">
        <v>1159</v>
      </c>
      <c r="E1203" s="52"/>
      <c r="F1203" s="52" t="s">
        <v>53</v>
      </c>
      <c r="G1203" s="33" t="s">
        <v>53</v>
      </c>
      <c r="H1203" s="56" t="s">
        <v>53</v>
      </c>
    </row>
    <row r="1204">
      <c r="A1204" s="68" t="s">
        <v>1160</v>
      </c>
      <c r="B1204" s="69" t="s">
        <v>1107</v>
      </c>
      <c r="C1204" s="69" t="s">
        <v>1161</v>
      </c>
      <c r="D1204" s="69" t="s">
        <v>1162</v>
      </c>
      <c r="E1204" s="69"/>
      <c r="F1204" s="69" t="s">
        <v>1123</v>
      </c>
      <c r="G1204" s="71" t="n">
        <v>1</v>
      </c>
      <c r="H1204" s="101" t="n">
        <v>0</v>
      </c>
    </row>
    <row r="1206">
      <c r="A1206" s="76" t="s">
        <v>1166</v>
      </c>
    </row>
    <row r="1207" customHeight="true" ht="12.75">
      <c r="A1207" s="16" t="s">
        <v>53</v>
      </c>
      <c r="B1207" s="11"/>
      <c r="C1207" s="11"/>
      <c r="D1207" s="11"/>
      <c r="E1207" s="11"/>
      <c r="F1207" s="11"/>
      <c r="G1207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8A17"/>
  <mergeCells>
    <mergeCell ref="A1:H1"/>
    <mergeCell ref="A2:B3"/>
    <mergeCell ref="A4:B5"/>
    <mergeCell ref="A6:B7"/>
    <mergeCell ref="A8:B9"/>
    <mergeCell ref="E2:E3"/>
    <mergeCell ref="E4:E5"/>
    <mergeCell ref="E6:E7"/>
    <mergeCell ref="E8:E9"/>
    <mergeCell ref="C2:D3"/>
    <mergeCell ref="C4:D5"/>
    <mergeCell ref="C6:D7"/>
    <mergeCell ref="C8:D9"/>
    <mergeCell ref="F2:H3"/>
    <mergeCell ref="F4:H5"/>
    <mergeCell ref="F6:H7"/>
    <mergeCell ref="F8:H9"/>
    <mergeCell ref="D10:E10"/>
    <mergeCell ref="D11:E11"/>
    <mergeCell ref="D12:E12"/>
    <mergeCell ref="D13:E13"/>
    <mergeCell ref="E14:F14"/>
    <mergeCell ref="E15:F15"/>
    <mergeCell ref="D16:E16"/>
    <mergeCell ref="E17:F17"/>
    <mergeCell ref="D18:E18"/>
    <mergeCell ref="E19:F19"/>
    <mergeCell ref="D20:E20"/>
    <mergeCell ref="E21:F21"/>
    <mergeCell ref="E22:F22"/>
    <mergeCell ref="E23:F23"/>
    <mergeCell ref="E24:F24"/>
    <mergeCell ref="D25:E25"/>
    <mergeCell ref="E26:F26"/>
    <mergeCell ref="E27:F27"/>
    <mergeCell ref="E28:F28"/>
    <mergeCell ref="E29:F29"/>
    <mergeCell ref="D30:E30"/>
    <mergeCell ref="D31:E31"/>
    <mergeCell ref="E32:F32"/>
    <mergeCell ref="E33:F33"/>
    <mergeCell ref="E34:F34"/>
    <mergeCell ref="E35:F35"/>
    <mergeCell ref="D36:E36"/>
    <mergeCell ref="D37:E37"/>
    <mergeCell ref="E38:F38"/>
    <mergeCell ref="D39:E39"/>
    <mergeCell ref="E40:F40"/>
    <mergeCell ref="E41:F41"/>
    <mergeCell ref="D42:E42"/>
    <mergeCell ref="D43:E43"/>
    <mergeCell ref="E44:F44"/>
    <mergeCell ref="E45:F45"/>
    <mergeCell ref="E46:F46"/>
    <mergeCell ref="E47:F47"/>
    <mergeCell ref="D48:E48"/>
    <mergeCell ref="D49:E49"/>
    <mergeCell ref="E50:F50"/>
    <mergeCell ref="D51:E51"/>
    <mergeCell ref="E52:F52"/>
    <mergeCell ref="D53:E53"/>
    <mergeCell ref="E54:F54"/>
    <mergeCell ref="E55:F55"/>
    <mergeCell ref="D56:E56"/>
    <mergeCell ref="E57:F57"/>
    <mergeCell ref="E58:F58"/>
    <mergeCell ref="E59:F59"/>
    <mergeCell ref="D60:E60"/>
    <mergeCell ref="E61:F61"/>
    <mergeCell ref="E62:F62"/>
    <mergeCell ref="E63:F63"/>
    <mergeCell ref="D64:E64"/>
    <mergeCell ref="D65:E65"/>
    <mergeCell ref="E66:F66"/>
    <mergeCell ref="E67:F67"/>
    <mergeCell ref="D68:E68"/>
    <mergeCell ref="E69:F69"/>
    <mergeCell ref="E70:F70"/>
    <mergeCell ref="E71:F71"/>
    <mergeCell ref="E72:F72"/>
    <mergeCell ref="E73:F73"/>
    <mergeCell ref="E74:F74"/>
    <mergeCell ref="D75:E75"/>
    <mergeCell ref="E76:F76"/>
    <mergeCell ref="E77:F77"/>
    <mergeCell ref="E78:F78"/>
    <mergeCell ref="E79:F79"/>
    <mergeCell ref="E80:F80"/>
    <mergeCell ref="E81:F81"/>
    <mergeCell ref="D82:E82"/>
    <mergeCell ref="E83:F83"/>
    <mergeCell ref="D84:E84"/>
    <mergeCell ref="E85:F85"/>
    <mergeCell ref="D86:E86"/>
    <mergeCell ref="D87:E87"/>
    <mergeCell ref="E88:F88"/>
    <mergeCell ref="D89:E89"/>
    <mergeCell ref="E90:F90"/>
    <mergeCell ref="D91:E91"/>
    <mergeCell ref="E92:F92"/>
    <mergeCell ref="D93:E93"/>
    <mergeCell ref="D94:E94"/>
    <mergeCell ref="E95:F95"/>
    <mergeCell ref="E96:F96"/>
    <mergeCell ref="E97:F97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E106:F106"/>
    <mergeCell ref="E107:F107"/>
    <mergeCell ref="E108:F108"/>
    <mergeCell ref="E109:F109"/>
    <mergeCell ref="E110:F110"/>
    <mergeCell ref="E111:F111"/>
    <mergeCell ref="D112:E112"/>
    <mergeCell ref="E113:F113"/>
    <mergeCell ref="E114:F114"/>
    <mergeCell ref="E115:F115"/>
    <mergeCell ref="E116:F116"/>
    <mergeCell ref="E117:F117"/>
    <mergeCell ref="E118:F118"/>
    <mergeCell ref="E119:F119"/>
    <mergeCell ref="E120:F120"/>
    <mergeCell ref="E121:F121"/>
    <mergeCell ref="D122:E122"/>
    <mergeCell ref="E123:F123"/>
    <mergeCell ref="E124:F124"/>
    <mergeCell ref="D125:E125"/>
    <mergeCell ref="E126:F126"/>
    <mergeCell ref="D127:E127"/>
    <mergeCell ref="E128:F128"/>
    <mergeCell ref="D129:E129"/>
    <mergeCell ref="E130:F130"/>
    <mergeCell ref="D131:E131"/>
    <mergeCell ref="E132:F132"/>
    <mergeCell ref="E133:F133"/>
    <mergeCell ref="E134:F134"/>
    <mergeCell ref="E135:F135"/>
    <mergeCell ref="E136:F136"/>
    <mergeCell ref="E137:F137"/>
    <mergeCell ref="E138:F138"/>
    <mergeCell ref="E139:F139"/>
    <mergeCell ref="E140:F140"/>
    <mergeCell ref="E141:F141"/>
    <mergeCell ref="E142:F142"/>
    <mergeCell ref="E143:F143"/>
    <mergeCell ref="E144:F144"/>
    <mergeCell ref="E145:F145"/>
    <mergeCell ref="E146:F146"/>
    <mergeCell ref="E147:F147"/>
    <mergeCell ref="E148:F148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D157:E157"/>
    <mergeCell ref="E158:F158"/>
    <mergeCell ref="E159:F159"/>
    <mergeCell ref="E160:F160"/>
    <mergeCell ref="E161:F161"/>
    <mergeCell ref="E162:F162"/>
    <mergeCell ref="E163:F163"/>
    <mergeCell ref="D164:E164"/>
    <mergeCell ref="E165:F165"/>
    <mergeCell ref="E166:F166"/>
    <mergeCell ref="E167:F167"/>
    <mergeCell ref="E168:F168"/>
    <mergeCell ref="E169:F169"/>
    <mergeCell ref="E170:F170"/>
    <mergeCell ref="E171:F171"/>
    <mergeCell ref="E172:F172"/>
    <mergeCell ref="E173:F173"/>
    <mergeCell ref="E174:F174"/>
    <mergeCell ref="E175:F175"/>
    <mergeCell ref="E176:F176"/>
    <mergeCell ref="E177:F177"/>
    <mergeCell ref="E178:F178"/>
    <mergeCell ref="E179:F179"/>
    <mergeCell ref="E180:F180"/>
    <mergeCell ref="E181:F181"/>
    <mergeCell ref="E182:F182"/>
    <mergeCell ref="E183:F183"/>
    <mergeCell ref="D184:E184"/>
    <mergeCell ref="E185:F185"/>
    <mergeCell ref="E186:F186"/>
    <mergeCell ref="E187:F187"/>
    <mergeCell ref="E188:F188"/>
    <mergeCell ref="E189:F189"/>
    <mergeCell ref="E190:F190"/>
    <mergeCell ref="E191:F191"/>
    <mergeCell ref="E192:F192"/>
    <mergeCell ref="E193:F193"/>
    <mergeCell ref="E194:F194"/>
    <mergeCell ref="E195:F195"/>
    <mergeCell ref="E196:F196"/>
    <mergeCell ref="E197:F197"/>
    <mergeCell ref="E198:F198"/>
    <mergeCell ref="E199:F199"/>
    <mergeCell ref="D200:E200"/>
    <mergeCell ref="E201:F201"/>
    <mergeCell ref="E202:F202"/>
    <mergeCell ref="D203:E203"/>
    <mergeCell ref="E204:F204"/>
    <mergeCell ref="E205:F205"/>
    <mergeCell ref="E206:F206"/>
    <mergeCell ref="E207:F207"/>
    <mergeCell ref="E208:F208"/>
    <mergeCell ref="E209:F209"/>
    <mergeCell ref="E210:F210"/>
    <mergeCell ref="E211:F211"/>
    <mergeCell ref="E212:F212"/>
    <mergeCell ref="E213:F213"/>
    <mergeCell ref="E214:F214"/>
    <mergeCell ref="E215:F215"/>
    <mergeCell ref="E216:F216"/>
    <mergeCell ref="E217:F217"/>
    <mergeCell ref="D218:E218"/>
    <mergeCell ref="E219:F219"/>
    <mergeCell ref="E220:F220"/>
    <mergeCell ref="D221:E221"/>
    <mergeCell ref="E222:F222"/>
    <mergeCell ref="D223:E223"/>
    <mergeCell ref="E224:F224"/>
    <mergeCell ref="E225:F225"/>
    <mergeCell ref="D226:E226"/>
    <mergeCell ref="E227:F227"/>
    <mergeCell ref="D228:E228"/>
    <mergeCell ref="E229:F229"/>
    <mergeCell ref="E230:F230"/>
    <mergeCell ref="E231:F231"/>
    <mergeCell ref="E232:F232"/>
    <mergeCell ref="E233:F233"/>
    <mergeCell ref="E234:F234"/>
    <mergeCell ref="D235:E235"/>
    <mergeCell ref="E236:F236"/>
    <mergeCell ref="E237:F237"/>
    <mergeCell ref="E238:F238"/>
    <mergeCell ref="E239:F239"/>
    <mergeCell ref="E240:F240"/>
    <mergeCell ref="E241:F241"/>
    <mergeCell ref="E242:F242"/>
    <mergeCell ref="E243:F243"/>
    <mergeCell ref="E244:F244"/>
    <mergeCell ref="D245:E245"/>
    <mergeCell ref="E246:F246"/>
    <mergeCell ref="E247:F247"/>
    <mergeCell ref="D248:E248"/>
    <mergeCell ref="E249:F249"/>
    <mergeCell ref="D250:E250"/>
    <mergeCell ref="E251:F251"/>
    <mergeCell ref="D252:E252"/>
    <mergeCell ref="E253:F253"/>
    <mergeCell ref="D254:E254"/>
    <mergeCell ref="E255:F255"/>
    <mergeCell ref="E256:F256"/>
    <mergeCell ref="D257:E257"/>
    <mergeCell ref="E258:F258"/>
    <mergeCell ref="D259:E259"/>
    <mergeCell ref="E260:F260"/>
    <mergeCell ref="E261:F261"/>
    <mergeCell ref="E262:F262"/>
    <mergeCell ref="E263:F263"/>
    <mergeCell ref="E264:F264"/>
    <mergeCell ref="E265:F265"/>
    <mergeCell ref="D266:E266"/>
    <mergeCell ref="E267:F267"/>
    <mergeCell ref="E268:F268"/>
    <mergeCell ref="E269:F269"/>
    <mergeCell ref="E270:F270"/>
    <mergeCell ref="E271:F271"/>
    <mergeCell ref="E272:F272"/>
    <mergeCell ref="E273:F273"/>
    <mergeCell ref="D274:E274"/>
    <mergeCell ref="E275:F275"/>
    <mergeCell ref="E276:F276"/>
    <mergeCell ref="E277:F277"/>
    <mergeCell ref="D278:E278"/>
    <mergeCell ref="E279:F279"/>
    <mergeCell ref="E280:F280"/>
    <mergeCell ref="E281:F281"/>
    <mergeCell ref="D282:E282"/>
    <mergeCell ref="E283:F283"/>
    <mergeCell ref="D284:E284"/>
    <mergeCell ref="E285:F285"/>
    <mergeCell ref="D286:E286"/>
    <mergeCell ref="E287:F287"/>
    <mergeCell ref="D288:E288"/>
    <mergeCell ref="E289:F289"/>
    <mergeCell ref="E290:F290"/>
    <mergeCell ref="D291:E291"/>
    <mergeCell ref="E292:F292"/>
    <mergeCell ref="E293:F293"/>
    <mergeCell ref="E294:F294"/>
    <mergeCell ref="E295:F295"/>
    <mergeCell ref="E296:F296"/>
    <mergeCell ref="E297:F297"/>
    <mergeCell ref="E298:F298"/>
    <mergeCell ref="E299:F299"/>
    <mergeCell ref="E300:F300"/>
    <mergeCell ref="E301:F301"/>
    <mergeCell ref="E302:F302"/>
    <mergeCell ref="D303:E303"/>
    <mergeCell ref="E304:F304"/>
    <mergeCell ref="D305:E305"/>
    <mergeCell ref="E306:F306"/>
    <mergeCell ref="E307:F307"/>
    <mergeCell ref="E308:F308"/>
    <mergeCell ref="D309:E309"/>
    <mergeCell ref="E310:F310"/>
    <mergeCell ref="E311:F311"/>
    <mergeCell ref="E312:F312"/>
    <mergeCell ref="E313:F313"/>
    <mergeCell ref="E314:F314"/>
    <mergeCell ref="D315:E315"/>
    <mergeCell ref="E316:F316"/>
    <mergeCell ref="E317:F317"/>
    <mergeCell ref="E318:F318"/>
    <mergeCell ref="E319:F319"/>
    <mergeCell ref="E320:F320"/>
    <mergeCell ref="E321:F321"/>
    <mergeCell ref="D322:E322"/>
    <mergeCell ref="E323:F323"/>
    <mergeCell ref="D324:E324"/>
    <mergeCell ref="E325:F325"/>
    <mergeCell ref="E326:F326"/>
    <mergeCell ref="D327:E327"/>
    <mergeCell ref="E328:F328"/>
    <mergeCell ref="D329:E329"/>
    <mergeCell ref="E330:F330"/>
    <mergeCell ref="E331:F331"/>
    <mergeCell ref="D332:E332"/>
    <mergeCell ref="E333:F333"/>
    <mergeCell ref="D334:E334"/>
    <mergeCell ref="E335:F335"/>
    <mergeCell ref="E336:F336"/>
    <mergeCell ref="D337:E337"/>
    <mergeCell ref="E338:F338"/>
    <mergeCell ref="D339:E339"/>
    <mergeCell ref="E340:F340"/>
    <mergeCell ref="E341:F341"/>
    <mergeCell ref="D342:E342"/>
    <mergeCell ref="E343:F343"/>
    <mergeCell ref="E344:F344"/>
    <mergeCell ref="E345:F345"/>
    <mergeCell ref="E346:F346"/>
    <mergeCell ref="E347:F347"/>
    <mergeCell ref="E348:F348"/>
    <mergeCell ref="D349:E349"/>
    <mergeCell ref="E350:F350"/>
    <mergeCell ref="E351:F351"/>
    <mergeCell ref="E352:F352"/>
    <mergeCell ref="E353:F353"/>
    <mergeCell ref="E354:F354"/>
    <mergeCell ref="E355:F355"/>
    <mergeCell ref="E356:F356"/>
    <mergeCell ref="E357:F357"/>
    <mergeCell ref="D358:E358"/>
    <mergeCell ref="E359:F359"/>
    <mergeCell ref="D360:E360"/>
    <mergeCell ref="D361:E361"/>
    <mergeCell ref="E362:F362"/>
    <mergeCell ref="D363:E363"/>
    <mergeCell ref="E364:F364"/>
    <mergeCell ref="E365:F365"/>
    <mergeCell ref="D366:E366"/>
    <mergeCell ref="E367:F367"/>
    <mergeCell ref="D368:E368"/>
    <mergeCell ref="E369:F369"/>
    <mergeCell ref="D370:E370"/>
    <mergeCell ref="E371:F371"/>
    <mergeCell ref="E372:F372"/>
    <mergeCell ref="D373:E373"/>
    <mergeCell ref="E374:F374"/>
    <mergeCell ref="D375:E375"/>
    <mergeCell ref="D376:E376"/>
    <mergeCell ref="D377:E377"/>
    <mergeCell ref="D378:E378"/>
    <mergeCell ref="D379:E379"/>
    <mergeCell ref="D380:E380"/>
    <mergeCell ref="D381:E381"/>
    <mergeCell ref="E382:F382"/>
    <mergeCell ref="D383:E383"/>
    <mergeCell ref="D384:E384"/>
    <mergeCell ref="D385:E385"/>
    <mergeCell ref="D386:E386"/>
    <mergeCell ref="D387:E387"/>
    <mergeCell ref="D388:E388"/>
    <mergeCell ref="D389:E389"/>
    <mergeCell ref="D390:E390"/>
    <mergeCell ref="D391:E391"/>
    <mergeCell ref="D392:E392"/>
    <mergeCell ref="D393:E393"/>
    <mergeCell ref="D394:E394"/>
    <mergeCell ref="E395:F395"/>
    <mergeCell ref="E396:F396"/>
    <mergeCell ref="E397:F397"/>
    <mergeCell ref="E398:F398"/>
    <mergeCell ref="E399:F399"/>
    <mergeCell ref="E400:F400"/>
    <mergeCell ref="E401:F401"/>
    <mergeCell ref="E402:F402"/>
    <mergeCell ref="E403:F403"/>
    <mergeCell ref="E404:F404"/>
    <mergeCell ref="E405:F405"/>
    <mergeCell ref="E406:F406"/>
    <mergeCell ref="E407:F407"/>
    <mergeCell ref="E408:F408"/>
    <mergeCell ref="E409:F409"/>
    <mergeCell ref="E410:F410"/>
    <mergeCell ref="E411:F411"/>
    <mergeCell ref="D412:E412"/>
    <mergeCell ref="E413:F413"/>
    <mergeCell ref="E414:F414"/>
    <mergeCell ref="E415:F415"/>
    <mergeCell ref="D416:E416"/>
    <mergeCell ref="E417:F417"/>
    <mergeCell ref="E418:F418"/>
    <mergeCell ref="D419:E419"/>
    <mergeCell ref="E420:F420"/>
    <mergeCell ref="E421:F421"/>
    <mergeCell ref="E422:F422"/>
    <mergeCell ref="E423:F423"/>
    <mergeCell ref="E424:F424"/>
    <mergeCell ref="E425:F425"/>
    <mergeCell ref="E426:F426"/>
    <mergeCell ref="E427:F427"/>
    <mergeCell ref="E428:F428"/>
    <mergeCell ref="E429:F429"/>
    <mergeCell ref="D430:E430"/>
    <mergeCell ref="E431:F431"/>
    <mergeCell ref="E432:F432"/>
    <mergeCell ref="E433:F433"/>
    <mergeCell ref="D434:E434"/>
    <mergeCell ref="E435:F435"/>
    <mergeCell ref="E436:F436"/>
    <mergeCell ref="D437:E437"/>
    <mergeCell ref="E438:F438"/>
    <mergeCell ref="E439:F439"/>
    <mergeCell ref="D440:E440"/>
    <mergeCell ref="E441:F441"/>
    <mergeCell ref="E442:F442"/>
    <mergeCell ref="D443:E443"/>
    <mergeCell ref="E444:F444"/>
    <mergeCell ref="D445:E445"/>
    <mergeCell ref="E446:F446"/>
    <mergeCell ref="E447:F447"/>
    <mergeCell ref="D448:E448"/>
    <mergeCell ref="D449:E449"/>
    <mergeCell ref="D450:E450"/>
    <mergeCell ref="E451:F451"/>
    <mergeCell ref="E452:F452"/>
    <mergeCell ref="E453:F453"/>
    <mergeCell ref="E454:F454"/>
    <mergeCell ref="E455:F455"/>
    <mergeCell ref="E456:F456"/>
    <mergeCell ref="E457:F457"/>
    <mergeCell ref="E458:F458"/>
    <mergeCell ref="E459:F459"/>
    <mergeCell ref="E460:F460"/>
    <mergeCell ref="E461:F461"/>
    <mergeCell ref="E462:F462"/>
    <mergeCell ref="E463:F463"/>
    <mergeCell ref="E464:F464"/>
    <mergeCell ref="D465:E465"/>
    <mergeCell ref="E466:F466"/>
    <mergeCell ref="E467:F467"/>
    <mergeCell ref="E468:F468"/>
    <mergeCell ref="E469:F469"/>
    <mergeCell ref="E470:F470"/>
    <mergeCell ref="E471:F471"/>
    <mergeCell ref="E472:F472"/>
    <mergeCell ref="E473:F473"/>
    <mergeCell ref="E474:F474"/>
    <mergeCell ref="E475:F475"/>
    <mergeCell ref="E476:F476"/>
    <mergeCell ref="E477:F477"/>
    <mergeCell ref="E478:F478"/>
    <mergeCell ref="E479:F479"/>
    <mergeCell ref="E480:F480"/>
    <mergeCell ref="D481:E481"/>
    <mergeCell ref="E482:F482"/>
    <mergeCell ref="E483:F483"/>
    <mergeCell ref="E484:F484"/>
    <mergeCell ref="D485:E485"/>
    <mergeCell ref="E486:F486"/>
    <mergeCell ref="E487:F487"/>
    <mergeCell ref="E488:F488"/>
    <mergeCell ref="E489:F489"/>
    <mergeCell ref="D490:E490"/>
    <mergeCell ref="E491:F491"/>
    <mergeCell ref="D492:E492"/>
    <mergeCell ref="E493:F493"/>
    <mergeCell ref="E494:F494"/>
    <mergeCell ref="D495:E495"/>
    <mergeCell ref="E496:F496"/>
    <mergeCell ref="D497:E497"/>
    <mergeCell ref="D498:E498"/>
    <mergeCell ref="D499:E499"/>
    <mergeCell ref="D500:E500"/>
    <mergeCell ref="E501:F501"/>
    <mergeCell ref="E502:F502"/>
    <mergeCell ref="E503:F503"/>
    <mergeCell ref="E504:F504"/>
    <mergeCell ref="E505:F505"/>
    <mergeCell ref="D506:E506"/>
    <mergeCell ref="E507:F507"/>
    <mergeCell ref="E508:F508"/>
    <mergeCell ref="D509:E509"/>
    <mergeCell ref="D510:E510"/>
    <mergeCell ref="D511:E511"/>
    <mergeCell ref="D512:E512"/>
    <mergeCell ref="E513:F513"/>
    <mergeCell ref="E514:F514"/>
    <mergeCell ref="E515:F515"/>
    <mergeCell ref="E516:F516"/>
    <mergeCell ref="E517:F517"/>
    <mergeCell ref="E518:F518"/>
    <mergeCell ref="D519:E519"/>
    <mergeCell ref="E520:F520"/>
    <mergeCell ref="E521:F521"/>
    <mergeCell ref="E522:F522"/>
    <mergeCell ref="E523:F523"/>
    <mergeCell ref="E524:F524"/>
    <mergeCell ref="E525:F525"/>
    <mergeCell ref="D526:E526"/>
    <mergeCell ref="E527:F527"/>
    <mergeCell ref="E528:F528"/>
    <mergeCell ref="E529:F529"/>
    <mergeCell ref="E530:F530"/>
    <mergeCell ref="E531:F531"/>
    <mergeCell ref="E532:F532"/>
    <mergeCell ref="D533:E533"/>
    <mergeCell ref="D534:E534"/>
    <mergeCell ref="E535:F535"/>
    <mergeCell ref="E536:F536"/>
    <mergeCell ref="E537:F537"/>
    <mergeCell ref="E538:F538"/>
    <mergeCell ref="E539:F539"/>
    <mergeCell ref="E540:F540"/>
    <mergeCell ref="E541:F541"/>
    <mergeCell ref="D542:E542"/>
    <mergeCell ref="D543:E543"/>
    <mergeCell ref="D544:E544"/>
    <mergeCell ref="D545:E545"/>
    <mergeCell ref="D546:E546"/>
    <mergeCell ref="D547:E547"/>
    <mergeCell ref="E548:F548"/>
    <mergeCell ref="E549:F549"/>
    <mergeCell ref="D550:E550"/>
    <mergeCell ref="E551:F551"/>
    <mergeCell ref="E552:F552"/>
    <mergeCell ref="D553:E553"/>
    <mergeCell ref="D554:E554"/>
    <mergeCell ref="E555:F555"/>
    <mergeCell ref="E556:F556"/>
    <mergeCell ref="E557:F557"/>
    <mergeCell ref="D558:E558"/>
    <mergeCell ref="E559:F559"/>
    <mergeCell ref="E560:F560"/>
    <mergeCell ref="E561:F561"/>
    <mergeCell ref="D562:E562"/>
    <mergeCell ref="E563:F563"/>
    <mergeCell ref="E564:F564"/>
    <mergeCell ref="E565:F565"/>
    <mergeCell ref="D566:E566"/>
    <mergeCell ref="E567:F567"/>
    <mergeCell ref="D568:E568"/>
    <mergeCell ref="E569:F569"/>
    <mergeCell ref="E570:F570"/>
    <mergeCell ref="E571:F571"/>
    <mergeCell ref="D572:E572"/>
    <mergeCell ref="E573:F573"/>
    <mergeCell ref="E574:F574"/>
    <mergeCell ref="E575:F575"/>
    <mergeCell ref="D576:E576"/>
    <mergeCell ref="E577:F577"/>
    <mergeCell ref="E578:F578"/>
    <mergeCell ref="E579:F579"/>
    <mergeCell ref="D580:E580"/>
    <mergeCell ref="E581:F581"/>
    <mergeCell ref="D582:E582"/>
    <mergeCell ref="E583:F583"/>
    <mergeCell ref="D584:E584"/>
    <mergeCell ref="E585:F585"/>
    <mergeCell ref="D586:E586"/>
    <mergeCell ref="E587:F587"/>
    <mergeCell ref="D588:E588"/>
    <mergeCell ref="E589:F589"/>
    <mergeCell ref="D590:E590"/>
    <mergeCell ref="E591:F591"/>
    <mergeCell ref="D592:E592"/>
    <mergeCell ref="E593:F593"/>
    <mergeCell ref="D594:E594"/>
    <mergeCell ref="E595:F595"/>
    <mergeCell ref="D596:E596"/>
    <mergeCell ref="E597:F597"/>
    <mergeCell ref="D598:E598"/>
    <mergeCell ref="E599:F599"/>
    <mergeCell ref="D600:E600"/>
    <mergeCell ref="E601:F601"/>
    <mergeCell ref="D602:E602"/>
    <mergeCell ref="D603:E603"/>
    <mergeCell ref="E604:F604"/>
    <mergeCell ref="D605:E605"/>
    <mergeCell ref="E606:F606"/>
    <mergeCell ref="D607:E607"/>
    <mergeCell ref="E608:F608"/>
    <mergeCell ref="D609:E609"/>
    <mergeCell ref="E610:F610"/>
    <mergeCell ref="E611:F611"/>
    <mergeCell ref="E612:F612"/>
    <mergeCell ref="D613:E613"/>
    <mergeCell ref="E614:F614"/>
    <mergeCell ref="E615:F615"/>
    <mergeCell ref="D616:E616"/>
    <mergeCell ref="E617:F617"/>
    <mergeCell ref="D618:E618"/>
    <mergeCell ref="E619:F619"/>
    <mergeCell ref="E620:F620"/>
    <mergeCell ref="E621:F621"/>
    <mergeCell ref="D622:E622"/>
    <mergeCell ref="D623:E623"/>
    <mergeCell ref="E624:F624"/>
    <mergeCell ref="D625:E625"/>
    <mergeCell ref="E626:F626"/>
    <mergeCell ref="E627:F627"/>
    <mergeCell ref="E628:F628"/>
    <mergeCell ref="D629:E629"/>
    <mergeCell ref="E630:F630"/>
    <mergeCell ref="D631:E631"/>
    <mergeCell ref="E632:F632"/>
    <mergeCell ref="D633:E633"/>
    <mergeCell ref="D634:E634"/>
    <mergeCell ref="E635:F635"/>
    <mergeCell ref="E636:F636"/>
    <mergeCell ref="E637:F637"/>
    <mergeCell ref="E638:F638"/>
    <mergeCell ref="E639:F639"/>
    <mergeCell ref="E640:F640"/>
    <mergeCell ref="E641:F641"/>
    <mergeCell ref="E642:F642"/>
    <mergeCell ref="D643:E643"/>
    <mergeCell ref="E644:F644"/>
    <mergeCell ref="E645:F645"/>
    <mergeCell ref="E646:F646"/>
    <mergeCell ref="E647:F647"/>
    <mergeCell ref="E648:F648"/>
    <mergeCell ref="E649:F649"/>
    <mergeCell ref="E650:F650"/>
    <mergeCell ref="D651:E651"/>
    <mergeCell ref="E652:F652"/>
    <mergeCell ref="E653:F653"/>
    <mergeCell ref="D654:E654"/>
    <mergeCell ref="D655:E655"/>
    <mergeCell ref="D656:E656"/>
    <mergeCell ref="D657:E657"/>
    <mergeCell ref="D658:E658"/>
    <mergeCell ref="D659:E659"/>
    <mergeCell ref="D660:E660"/>
    <mergeCell ref="D661:E661"/>
    <mergeCell ref="D662:E662"/>
    <mergeCell ref="D663:E663"/>
    <mergeCell ref="D664:E664"/>
    <mergeCell ref="D665:E665"/>
    <mergeCell ref="D666:E666"/>
    <mergeCell ref="D667:E667"/>
    <mergeCell ref="D668:E668"/>
    <mergeCell ref="D669:E669"/>
    <mergeCell ref="D670:E670"/>
    <mergeCell ref="D671:E671"/>
    <mergeCell ref="D672:E672"/>
    <mergeCell ref="D673:E673"/>
    <mergeCell ref="E674:F674"/>
    <mergeCell ref="D675:E675"/>
    <mergeCell ref="D676:E676"/>
    <mergeCell ref="E677:F677"/>
    <mergeCell ref="D678:E678"/>
    <mergeCell ref="D679:E679"/>
    <mergeCell ref="D680:E680"/>
    <mergeCell ref="E681:F681"/>
    <mergeCell ref="E682:F682"/>
    <mergeCell ref="E683:F683"/>
    <mergeCell ref="E684:F684"/>
    <mergeCell ref="E685:F685"/>
    <mergeCell ref="E686:F686"/>
    <mergeCell ref="E687:F687"/>
    <mergeCell ref="E688:F688"/>
    <mergeCell ref="D689:E689"/>
    <mergeCell ref="E690:F690"/>
    <mergeCell ref="E691:F691"/>
    <mergeCell ref="D692:E692"/>
    <mergeCell ref="E693:F693"/>
    <mergeCell ref="E694:F694"/>
    <mergeCell ref="E695:F695"/>
    <mergeCell ref="E696:F696"/>
    <mergeCell ref="E697:F697"/>
    <mergeCell ref="E698:F698"/>
    <mergeCell ref="E699:F699"/>
    <mergeCell ref="E700:F700"/>
    <mergeCell ref="D701:E701"/>
    <mergeCell ref="E702:F702"/>
    <mergeCell ref="E703:F703"/>
    <mergeCell ref="D704:E704"/>
    <mergeCell ref="D705:E705"/>
    <mergeCell ref="D706:E706"/>
    <mergeCell ref="E707:F707"/>
    <mergeCell ref="E708:F708"/>
    <mergeCell ref="E709:F709"/>
    <mergeCell ref="E710:F710"/>
    <mergeCell ref="E711:F711"/>
    <mergeCell ref="E712:F712"/>
    <mergeCell ref="E713:F713"/>
    <mergeCell ref="D714:E714"/>
    <mergeCell ref="E715:F715"/>
    <mergeCell ref="E716:F716"/>
    <mergeCell ref="E717:F717"/>
    <mergeCell ref="E718:F718"/>
    <mergeCell ref="E719:F719"/>
    <mergeCell ref="E720:F720"/>
    <mergeCell ref="E721:F721"/>
    <mergeCell ref="E722:F722"/>
    <mergeCell ref="D723:E723"/>
    <mergeCell ref="E724:F724"/>
    <mergeCell ref="E725:F725"/>
    <mergeCell ref="E726:F726"/>
    <mergeCell ref="E727:F727"/>
    <mergeCell ref="E728:F728"/>
    <mergeCell ref="E729:F729"/>
    <mergeCell ref="E730:F730"/>
    <mergeCell ref="E731:F731"/>
    <mergeCell ref="D732:E732"/>
    <mergeCell ref="D733:E733"/>
    <mergeCell ref="D734:E734"/>
    <mergeCell ref="E735:F735"/>
    <mergeCell ref="E736:F736"/>
    <mergeCell ref="E737:F737"/>
    <mergeCell ref="E738:F738"/>
    <mergeCell ref="E739:F739"/>
    <mergeCell ref="E740:F740"/>
    <mergeCell ref="E741:F741"/>
    <mergeCell ref="E742:F742"/>
    <mergeCell ref="D743:E743"/>
    <mergeCell ref="D744:E744"/>
    <mergeCell ref="E745:F745"/>
    <mergeCell ref="D746:E746"/>
    <mergeCell ref="D747:E747"/>
    <mergeCell ref="E748:F748"/>
    <mergeCell ref="D749:E749"/>
    <mergeCell ref="E750:F750"/>
    <mergeCell ref="D751:E751"/>
    <mergeCell ref="E752:F752"/>
    <mergeCell ref="D753:E753"/>
    <mergeCell ref="E754:F754"/>
    <mergeCell ref="D755:E755"/>
    <mergeCell ref="D756:E756"/>
    <mergeCell ref="D757:E757"/>
    <mergeCell ref="D758:E758"/>
    <mergeCell ref="E759:F759"/>
    <mergeCell ref="E760:F760"/>
    <mergeCell ref="E761:F761"/>
    <mergeCell ref="E762:F762"/>
    <mergeCell ref="E763:F763"/>
    <mergeCell ref="E764:F764"/>
    <mergeCell ref="E765:F765"/>
    <mergeCell ref="E766:F766"/>
    <mergeCell ref="E767:F767"/>
    <mergeCell ref="E768:F768"/>
    <mergeCell ref="E769:F769"/>
    <mergeCell ref="E770:F770"/>
    <mergeCell ref="E771:F771"/>
    <mergeCell ref="D772:E772"/>
    <mergeCell ref="E773:F773"/>
    <mergeCell ref="E774:F774"/>
    <mergeCell ref="E775:F775"/>
    <mergeCell ref="D776:E776"/>
    <mergeCell ref="E777:F777"/>
    <mergeCell ref="E778:F778"/>
    <mergeCell ref="E779:F779"/>
    <mergeCell ref="E780:F780"/>
    <mergeCell ref="E781:F781"/>
    <mergeCell ref="E782:F782"/>
    <mergeCell ref="E783:F783"/>
    <mergeCell ref="E784:F784"/>
    <mergeCell ref="E785:F785"/>
    <mergeCell ref="E786:F786"/>
    <mergeCell ref="E787:F787"/>
    <mergeCell ref="E788:F788"/>
    <mergeCell ref="E789:F789"/>
    <mergeCell ref="E790:F790"/>
    <mergeCell ref="E791:F791"/>
    <mergeCell ref="E792:F792"/>
    <mergeCell ref="D793:E793"/>
    <mergeCell ref="D794:E794"/>
    <mergeCell ref="E795:F795"/>
    <mergeCell ref="E796:F796"/>
    <mergeCell ref="E797:F797"/>
    <mergeCell ref="E798:F798"/>
    <mergeCell ref="E799:F799"/>
    <mergeCell ref="D800:E800"/>
    <mergeCell ref="D801:E801"/>
    <mergeCell ref="E802:F802"/>
    <mergeCell ref="D803:E803"/>
    <mergeCell ref="E804:F804"/>
    <mergeCell ref="D805:E805"/>
    <mergeCell ref="E806:F806"/>
    <mergeCell ref="D807:E807"/>
    <mergeCell ref="E808:F808"/>
    <mergeCell ref="D809:E809"/>
    <mergeCell ref="D810:E810"/>
    <mergeCell ref="D811:E811"/>
    <mergeCell ref="D812:E812"/>
    <mergeCell ref="E813:F813"/>
    <mergeCell ref="D814:E814"/>
    <mergeCell ref="E815:F815"/>
    <mergeCell ref="D816:E816"/>
    <mergeCell ref="E817:F817"/>
    <mergeCell ref="D818:E818"/>
    <mergeCell ref="E819:F819"/>
    <mergeCell ref="D820:E820"/>
    <mergeCell ref="E821:F821"/>
    <mergeCell ref="E822:F822"/>
    <mergeCell ref="D823:E823"/>
    <mergeCell ref="E824:F824"/>
    <mergeCell ref="E825:F825"/>
    <mergeCell ref="E826:F826"/>
    <mergeCell ref="E827:F827"/>
    <mergeCell ref="E828:F828"/>
    <mergeCell ref="D829:E829"/>
    <mergeCell ref="E830:F830"/>
    <mergeCell ref="E831:F831"/>
    <mergeCell ref="E832:F832"/>
    <mergeCell ref="E833:F833"/>
    <mergeCell ref="D834:E834"/>
    <mergeCell ref="E835:F835"/>
    <mergeCell ref="E836:F836"/>
    <mergeCell ref="D837:E837"/>
    <mergeCell ref="E838:F838"/>
    <mergeCell ref="E839:F839"/>
    <mergeCell ref="D840:E840"/>
    <mergeCell ref="E841:F841"/>
    <mergeCell ref="E842:F842"/>
    <mergeCell ref="E843:F843"/>
    <mergeCell ref="E844:F844"/>
    <mergeCell ref="D845:E845"/>
    <mergeCell ref="E846:F846"/>
    <mergeCell ref="E847:F847"/>
    <mergeCell ref="D848:E848"/>
    <mergeCell ref="E849:F849"/>
    <mergeCell ref="E850:F850"/>
    <mergeCell ref="D851:E851"/>
    <mergeCell ref="E852:F852"/>
    <mergeCell ref="E853:F853"/>
    <mergeCell ref="E854:F854"/>
    <mergeCell ref="E855:F855"/>
    <mergeCell ref="E856:F856"/>
    <mergeCell ref="E857:F857"/>
    <mergeCell ref="E858:F858"/>
    <mergeCell ref="E859:F859"/>
    <mergeCell ref="E860:F860"/>
    <mergeCell ref="E861:F861"/>
    <mergeCell ref="E862:F862"/>
    <mergeCell ref="D863:E863"/>
    <mergeCell ref="E864:F864"/>
    <mergeCell ref="E865:F865"/>
    <mergeCell ref="E866:F866"/>
    <mergeCell ref="E867:F867"/>
    <mergeCell ref="E868:F868"/>
    <mergeCell ref="E869:F869"/>
    <mergeCell ref="E870:F870"/>
    <mergeCell ref="E871:F871"/>
    <mergeCell ref="D872:E872"/>
    <mergeCell ref="E873:F873"/>
    <mergeCell ref="D874:E874"/>
    <mergeCell ref="E875:F875"/>
    <mergeCell ref="E876:F876"/>
    <mergeCell ref="D877:E877"/>
    <mergeCell ref="E878:F878"/>
    <mergeCell ref="E879:F879"/>
    <mergeCell ref="D880:E880"/>
    <mergeCell ref="E881:F881"/>
    <mergeCell ref="E882:F882"/>
    <mergeCell ref="D883:E883"/>
    <mergeCell ref="E884:F884"/>
    <mergeCell ref="E885:F885"/>
    <mergeCell ref="D886:E886"/>
    <mergeCell ref="E887:F887"/>
    <mergeCell ref="E888:F888"/>
    <mergeCell ref="D889:E889"/>
    <mergeCell ref="E890:F890"/>
    <mergeCell ref="E891:F891"/>
    <mergeCell ref="D892:E892"/>
    <mergeCell ref="E893:F893"/>
    <mergeCell ref="E894:F894"/>
    <mergeCell ref="D895:E895"/>
    <mergeCell ref="E896:F896"/>
    <mergeCell ref="E897:F897"/>
    <mergeCell ref="E898:F898"/>
    <mergeCell ref="E899:F899"/>
    <mergeCell ref="E900:F900"/>
    <mergeCell ref="D901:E901"/>
    <mergeCell ref="E902:F902"/>
    <mergeCell ref="E903:F903"/>
    <mergeCell ref="D904:E904"/>
    <mergeCell ref="E905:F905"/>
    <mergeCell ref="E906:F906"/>
    <mergeCell ref="E907:F907"/>
    <mergeCell ref="E908:F908"/>
    <mergeCell ref="D909:E909"/>
    <mergeCell ref="D910:E910"/>
    <mergeCell ref="D911:E911"/>
    <mergeCell ref="E912:F912"/>
    <mergeCell ref="E913:F913"/>
    <mergeCell ref="D914:E914"/>
    <mergeCell ref="E915:F915"/>
    <mergeCell ref="D916:E916"/>
    <mergeCell ref="E917:F917"/>
    <mergeCell ref="E918:F918"/>
    <mergeCell ref="E919:F919"/>
    <mergeCell ref="E920:F920"/>
    <mergeCell ref="E921:F921"/>
    <mergeCell ref="E922:F922"/>
    <mergeCell ref="E923:F923"/>
    <mergeCell ref="E924:F924"/>
    <mergeCell ref="D925:E925"/>
    <mergeCell ref="D926:E926"/>
    <mergeCell ref="E927:F927"/>
    <mergeCell ref="D928:E928"/>
    <mergeCell ref="E929:F929"/>
    <mergeCell ref="D930:E930"/>
    <mergeCell ref="E931:F931"/>
    <mergeCell ref="D932:E932"/>
    <mergeCell ref="D933:E933"/>
    <mergeCell ref="D934:E934"/>
    <mergeCell ref="E935:F935"/>
    <mergeCell ref="D936:E936"/>
    <mergeCell ref="E937:F937"/>
    <mergeCell ref="D938:E938"/>
    <mergeCell ref="E939:F939"/>
    <mergeCell ref="E940:F940"/>
    <mergeCell ref="D941:E941"/>
    <mergeCell ref="E942:F942"/>
    <mergeCell ref="E943:F943"/>
    <mergeCell ref="D944:E944"/>
    <mergeCell ref="E945:F945"/>
    <mergeCell ref="E946:F946"/>
    <mergeCell ref="D947:E947"/>
    <mergeCell ref="E948:F948"/>
    <mergeCell ref="E949:F949"/>
    <mergeCell ref="D950:E950"/>
    <mergeCell ref="D951:E951"/>
    <mergeCell ref="E952:F952"/>
    <mergeCell ref="E953:F953"/>
    <mergeCell ref="E954:F954"/>
    <mergeCell ref="E955:F955"/>
    <mergeCell ref="E956:F956"/>
    <mergeCell ref="E957:F957"/>
    <mergeCell ref="E958:F958"/>
    <mergeCell ref="E959:F959"/>
    <mergeCell ref="D960:E960"/>
    <mergeCell ref="D961:E961"/>
    <mergeCell ref="E962:F962"/>
    <mergeCell ref="E963:F963"/>
    <mergeCell ref="D964:E964"/>
    <mergeCell ref="E965:F965"/>
    <mergeCell ref="E966:F966"/>
    <mergeCell ref="E967:F967"/>
    <mergeCell ref="E968:F968"/>
    <mergeCell ref="E969:F969"/>
    <mergeCell ref="E970:F970"/>
    <mergeCell ref="E971:F971"/>
    <mergeCell ref="E972:F972"/>
    <mergeCell ref="D973:E973"/>
    <mergeCell ref="E974:F974"/>
    <mergeCell ref="D975:E975"/>
    <mergeCell ref="E976:F976"/>
    <mergeCell ref="E977:F977"/>
    <mergeCell ref="D978:E978"/>
    <mergeCell ref="E979:F979"/>
    <mergeCell ref="E980:F980"/>
    <mergeCell ref="D981:E981"/>
    <mergeCell ref="E982:F982"/>
    <mergeCell ref="E983:F983"/>
    <mergeCell ref="D984:E984"/>
    <mergeCell ref="D985:E985"/>
    <mergeCell ref="D986:E986"/>
    <mergeCell ref="E987:F987"/>
    <mergeCell ref="E988:F988"/>
    <mergeCell ref="D989:E989"/>
    <mergeCell ref="E990:F990"/>
    <mergeCell ref="E991:F991"/>
    <mergeCell ref="D992:E992"/>
    <mergeCell ref="E993:F993"/>
    <mergeCell ref="E994:F994"/>
    <mergeCell ref="D995:E995"/>
    <mergeCell ref="E996:F996"/>
    <mergeCell ref="E997:F997"/>
    <mergeCell ref="D998:E998"/>
    <mergeCell ref="E999:F999"/>
    <mergeCell ref="D1000:E1000"/>
    <mergeCell ref="E1001:F1001"/>
    <mergeCell ref="D1002:E1002"/>
    <mergeCell ref="E1003:F1003"/>
    <mergeCell ref="D1004:E1004"/>
    <mergeCell ref="E1005:F1005"/>
    <mergeCell ref="D1006:E1006"/>
    <mergeCell ref="E1007:F1007"/>
    <mergeCell ref="D1008:E1008"/>
    <mergeCell ref="E1009:F1009"/>
    <mergeCell ref="D1010:E1010"/>
    <mergeCell ref="E1011:F1011"/>
    <mergeCell ref="E1012:F1012"/>
    <mergeCell ref="D1013:E1013"/>
    <mergeCell ref="E1014:F1014"/>
    <mergeCell ref="D1015:E1015"/>
    <mergeCell ref="D1016:E1016"/>
    <mergeCell ref="D1017:E1017"/>
    <mergeCell ref="D1018:E1018"/>
    <mergeCell ref="D1019:E1019"/>
    <mergeCell ref="E1020:F1020"/>
    <mergeCell ref="D1021:E1021"/>
    <mergeCell ref="E1022:F1022"/>
    <mergeCell ref="D1023:E1023"/>
    <mergeCell ref="E1024:F1024"/>
    <mergeCell ref="E1025:F1025"/>
    <mergeCell ref="D1026:E1026"/>
    <mergeCell ref="E1027:F1027"/>
    <mergeCell ref="D1028:E1028"/>
    <mergeCell ref="E1029:F1029"/>
    <mergeCell ref="D1030:E1030"/>
    <mergeCell ref="E1031:F1031"/>
    <mergeCell ref="E1032:F1032"/>
    <mergeCell ref="D1033:E1033"/>
    <mergeCell ref="E1034:F1034"/>
    <mergeCell ref="E1035:F1035"/>
    <mergeCell ref="D1036:E1036"/>
    <mergeCell ref="E1037:F1037"/>
    <mergeCell ref="E1038:F1038"/>
    <mergeCell ref="D1039:E1039"/>
    <mergeCell ref="E1040:F1040"/>
    <mergeCell ref="E1041:F1041"/>
    <mergeCell ref="E1042:F1042"/>
    <mergeCell ref="D1043:E1043"/>
    <mergeCell ref="E1044:F1044"/>
    <mergeCell ref="E1045:F1045"/>
    <mergeCell ref="D1046:E1046"/>
    <mergeCell ref="E1047:F1047"/>
    <mergeCell ref="E1048:F1048"/>
    <mergeCell ref="E1049:F1049"/>
    <mergeCell ref="D1050:E1050"/>
    <mergeCell ref="D1051:E1051"/>
    <mergeCell ref="D1052:E1052"/>
    <mergeCell ref="E1053:F1053"/>
    <mergeCell ref="E1054:F1054"/>
    <mergeCell ref="D1055:E1055"/>
    <mergeCell ref="E1056:F1056"/>
    <mergeCell ref="E1057:F1057"/>
    <mergeCell ref="D1058:E1058"/>
    <mergeCell ref="D1059:E1059"/>
    <mergeCell ref="D1060:E1060"/>
    <mergeCell ref="E1061:F1061"/>
    <mergeCell ref="D1062:E1062"/>
    <mergeCell ref="E1063:F1063"/>
    <mergeCell ref="E1064:F1064"/>
    <mergeCell ref="D1065:E1065"/>
    <mergeCell ref="D1066:E1066"/>
    <mergeCell ref="D1067:E1067"/>
    <mergeCell ref="E1068:F1068"/>
    <mergeCell ref="D1069:E1069"/>
    <mergeCell ref="D1070:E1070"/>
    <mergeCell ref="D1071:E1071"/>
    <mergeCell ref="E1072:F1072"/>
    <mergeCell ref="E1073:F1073"/>
    <mergeCell ref="E1074:F1074"/>
    <mergeCell ref="E1075:F1075"/>
    <mergeCell ref="E1076:F1076"/>
    <mergeCell ref="E1077:F1077"/>
    <mergeCell ref="E1078:F1078"/>
    <mergeCell ref="E1079:F1079"/>
    <mergeCell ref="E1080:F1080"/>
    <mergeCell ref="E1081:F1081"/>
    <mergeCell ref="E1082:F1082"/>
    <mergeCell ref="E1083:F1083"/>
    <mergeCell ref="E1084:F1084"/>
    <mergeCell ref="E1085:F1085"/>
    <mergeCell ref="E1086:F1086"/>
    <mergeCell ref="E1087:F1087"/>
    <mergeCell ref="E1088:F1088"/>
    <mergeCell ref="E1089:F1089"/>
    <mergeCell ref="E1090:F1090"/>
    <mergeCell ref="E1091:F1091"/>
    <mergeCell ref="E1092:F1092"/>
    <mergeCell ref="E1093:F1093"/>
    <mergeCell ref="E1094:F1094"/>
    <mergeCell ref="E1095:F1095"/>
    <mergeCell ref="E1096:F1096"/>
    <mergeCell ref="E1097:F1097"/>
    <mergeCell ref="E1098:F1098"/>
    <mergeCell ref="E1099:F1099"/>
    <mergeCell ref="E1100:F1100"/>
    <mergeCell ref="E1101:F1101"/>
    <mergeCell ref="E1102:F1102"/>
    <mergeCell ref="E1103:F1103"/>
    <mergeCell ref="E1104:F1104"/>
    <mergeCell ref="E1105:F1105"/>
    <mergeCell ref="E1106:F1106"/>
    <mergeCell ref="E1107:F1107"/>
    <mergeCell ref="E1108:F1108"/>
    <mergeCell ref="E1109:F1109"/>
    <mergeCell ref="E1110:F1110"/>
    <mergeCell ref="E1111:F1111"/>
    <mergeCell ref="E1112:F1112"/>
    <mergeCell ref="E1113:F1113"/>
    <mergeCell ref="E1114:F1114"/>
    <mergeCell ref="E1115:F1115"/>
    <mergeCell ref="E1116:F1116"/>
    <mergeCell ref="E1117:F1117"/>
    <mergeCell ref="D1118:E1118"/>
    <mergeCell ref="D1119:E1119"/>
    <mergeCell ref="E1120:F1120"/>
    <mergeCell ref="D1121:E1121"/>
    <mergeCell ref="E1122:F1122"/>
    <mergeCell ref="D1123:E1123"/>
    <mergeCell ref="D1124:E1124"/>
    <mergeCell ref="E1125:F1125"/>
    <mergeCell ref="E1126:F1126"/>
    <mergeCell ref="E1127:F1127"/>
    <mergeCell ref="E1128:F1128"/>
    <mergeCell ref="E1129:F1129"/>
    <mergeCell ref="E1130:F1130"/>
    <mergeCell ref="E1131:F1131"/>
    <mergeCell ref="E1132:F1132"/>
    <mergeCell ref="E1133:F1133"/>
    <mergeCell ref="D1134:E1134"/>
    <mergeCell ref="D1135:E1135"/>
    <mergeCell ref="D1136:E1136"/>
    <mergeCell ref="E1137:F1137"/>
    <mergeCell ref="D1138:E1138"/>
    <mergeCell ref="D1139:E1139"/>
    <mergeCell ref="D1140:E1140"/>
    <mergeCell ref="D1141:E1141"/>
    <mergeCell ref="D1142:E1142"/>
    <mergeCell ref="E1143:F1143"/>
    <mergeCell ref="D1144:E1144"/>
    <mergeCell ref="D1145:E1145"/>
    <mergeCell ref="E1146:F1146"/>
    <mergeCell ref="D1147:E1147"/>
    <mergeCell ref="D1148:E1148"/>
    <mergeCell ref="D1149:E1149"/>
    <mergeCell ref="D1150:E1150"/>
    <mergeCell ref="D1151:E1151"/>
    <mergeCell ref="D1152:E1152"/>
    <mergeCell ref="D1153:E1153"/>
    <mergeCell ref="D1154:E1154"/>
    <mergeCell ref="D1155:E1155"/>
    <mergeCell ref="D1156:E1156"/>
    <mergeCell ref="D1157:E1157"/>
    <mergeCell ref="D1158:E1158"/>
    <mergeCell ref="E1159:F1159"/>
    <mergeCell ref="D1160:E1160"/>
    <mergeCell ref="E1161:F1161"/>
    <mergeCell ref="E1162:F1162"/>
    <mergeCell ref="D1163:E1163"/>
    <mergeCell ref="E1164:F1164"/>
    <mergeCell ref="D1165:E1165"/>
    <mergeCell ref="D1166:E1166"/>
    <mergeCell ref="D1167:E1167"/>
    <mergeCell ref="D1168:E1168"/>
    <mergeCell ref="D1169:E1169"/>
    <mergeCell ref="D1170:E1170"/>
    <mergeCell ref="D1171:E1171"/>
    <mergeCell ref="D1172:E1172"/>
    <mergeCell ref="D1173:E1173"/>
    <mergeCell ref="D1174:E1174"/>
    <mergeCell ref="D1175:E1175"/>
    <mergeCell ref="E1176:F1176"/>
    <mergeCell ref="D1177:E1177"/>
    <mergeCell ref="D1178:E1178"/>
    <mergeCell ref="D1179:E1179"/>
    <mergeCell ref="E1180:F1180"/>
    <mergeCell ref="D1181:E1181"/>
    <mergeCell ref="D1182:E1182"/>
    <mergeCell ref="D1183:E1183"/>
    <mergeCell ref="E1184:F1184"/>
    <mergeCell ref="D1185:E1185"/>
    <mergeCell ref="E1186:F1186"/>
    <mergeCell ref="D1187:E1187"/>
    <mergeCell ref="D1188:E1188"/>
    <mergeCell ref="D1189:E1189"/>
    <mergeCell ref="D1190:E1190"/>
    <mergeCell ref="D1191:E1191"/>
    <mergeCell ref="D1192:E1192"/>
    <mergeCell ref="D1193:E1193"/>
    <mergeCell ref="D1194:E1194"/>
    <mergeCell ref="E1195:F1195"/>
    <mergeCell ref="D1196:E1196"/>
    <mergeCell ref="E1197:F1197"/>
    <mergeCell ref="D1198:E1198"/>
    <mergeCell ref="E1199:F1199"/>
    <mergeCell ref="D1200:E1200"/>
    <mergeCell ref="D1201:E1201"/>
    <mergeCell ref="D1202:E1202"/>
    <mergeCell ref="D1203:E1203"/>
    <mergeCell ref="D1204:E1204"/>
    <mergeCell ref="A1207:G1207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7"/>
  <sheetViews>
    <sheetView workbookViewId="0" showZeros="true" showFormulas="false" showGridLines="true" showRowColHeaders="true">
      <selection sqref="A37:I37" activeCell="A37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7.140625" customWidth="true"/>
    <col max="4" min="4" style="0" width="10" customWidth="true"/>
    <col max="5" min="5" style="0" width="14" customWidth="true"/>
    <col max="6" min="6" style="0" width="27.140625" customWidth="true"/>
    <col max="7" min="7" style="0" width="9.140625" customWidth="true"/>
    <col max="8" min="8" style="0" width="12.85546875" customWidth="true"/>
    <col max="9" min="9" style="0" width="27.140625" customWidth="true"/>
  </cols>
  <sheetData>
    <row r="1" customHeight="true" ht="54.75">
      <c r="A1" s="102" t="s">
        <v>1809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rozpočet'!C2</f>
      </c>
      <c r="D2" s="6"/>
      <c r="E2" s="8" t="s">
        <v>5</v>
      </c>
      <c r="F2" s="8">
        <f>'Stavební rozpočet'!I2</f>
      </c>
      <c r="G2" s="4"/>
      <c r="H2" s="8" t="s">
        <v>1810</v>
      </c>
      <c r="I2" s="9" t="s">
        <v>1811</v>
      </c>
    </row>
    <row r="3" customHeight="true" ht="1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rozpočet'!C4</f>
      </c>
      <c r="D4" s="11"/>
      <c r="E4" s="16" t="s">
        <v>11</v>
      </c>
      <c r="F4" s="16">
        <f>'Stavební rozpočet'!I4</f>
      </c>
      <c r="G4" s="11"/>
      <c r="H4" s="16" t="s">
        <v>1810</v>
      </c>
      <c r="I4" s="14" t="s">
        <v>1812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13</v>
      </c>
      <c r="B6" s="11"/>
      <c r="C6" s="16">
        <f>'Stavební rozpočet'!C6</f>
      </c>
      <c r="D6" s="11"/>
      <c r="E6" s="16" t="s">
        <v>16</v>
      </c>
      <c r="F6" s="16">
        <f>'Stavební rozpočet'!I6</f>
      </c>
      <c r="G6" s="11"/>
      <c r="H6" s="16" t="s">
        <v>1810</v>
      </c>
      <c r="I6" s="14" t="s">
        <v>53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9</v>
      </c>
      <c r="B8" s="11"/>
      <c r="C8" s="16">
        <f>'Stavební rozpočet'!G4</f>
      </c>
      <c r="D8" s="11"/>
      <c r="E8" s="16" t="s">
        <v>15</v>
      </c>
      <c r="F8" s="16">
        <f>'Stavební rozpočet'!G6</f>
      </c>
      <c r="G8" s="11"/>
      <c r="H8" s="11" t="s">
        <v>1813</v>
      </c>
      <c r="I8" s="103" t="n">
        <v>338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18</v>
      </c>
      <c r="B10" s="11"/>
      <c r="C10" s="16">
        <f>'Stavební rozpočet'!C8</f>
      </c>
      <c r="D10" s="11"/>
      <c r="E10" s="16" t="s">
        <v>22</v>
      </c>
      <c r="F10" s="16">
        <f>'Stavební rozpočet'!I8</f>
      </c>
      <c r="G10" s="11"/>
      <c r="H10" s="11" t="s">
        <v>1814</v>
      </c>
      <c r="I10" s="78">
        <f>'Stavební rozpočet'!G8</f>
      </c>
    </row>
    <row r="11">
      <c r="A11" s="68"/>
      <c r="B11" s="69"/>
      <c r="C11" s="69"/>
      <c r="D11" s="69"/>
      <c r="E11" s="69"/>
      <c r="F11" s="69"/>
      <c r="G11" s="69"/>
      <c r="H11" s="69"/>
      <c r="I11" s="104"/>
    </row>
    <row r="12">
      <c r="A12" s="105" t="s">
        <v>1815</v>
      </c>
      <c r="B12" s="105"/>
      <c r="C12" s="105"/>
      <c r="D12" s="105"/>
      <c r="E12" s="105"/>
      <c r="F12" s="105"/>
      <c r="G12" s="105"/>
      <c r="H12" s="105"/>
      <c r="I12" s="105"/>
    </row>
    <row r="13" customHeight="true" ht="26.25">
      <c r="A13" s="106" t="s">
        <v>1816</v>
      </c>
      <c r="B13" s="107" t="s">
        <v>1817</v>
      </c>
      <c r="C13" s="108"/>
      <c r="D13" s="109" t="s">
        <v>1818</v>
      </c>
      <c r="E13" s="107" t="s">
        <v>1819</v>
      </c>
      <c r="F13" s="108"/>
      <c r="G13" s="109" t="s">
        <v>1820</v>
      </c>
      <c r="H13" s="107" t="s">
        <v>1821</v>
      </c>
      <c r="I13" s="108"/>
    </row>
    <row r="14">
      <c r="A14" s="110" t="s">
        <v>1822</v>
      </c>
      <c r="B14" s="111" t="s">
        <v>1823</v>
      </c>
      <c r="C14" s="112">
        <f>SUM('Stavební rozpočet'!AB12:AB910)</f>
      </c>
      <c r="D14" s="113" t="s">
        <v>1824</v>
      </c>
      <c r="E14" s="114"/>
      <c r="F14" s="112">
        <f>VORN!I15</f>
      </c>
      <c r="G14" s="113" t="s">
        <v>1133</v>
      </c>
      <c r="H14" s="114"/>
      <c r="I14" s="115">
        <f>VORN!I21</f>
      </c>
    </row>
    <row r="15">
      <c r="A15" s="116" t="s">
        <v>53</v>
      </c>
      <c r="B15" s="111" t="s">
        <v>38</v>
      </c>
      <c r="C15" s="112">
        <f>SUM('Stavební rozpočet'!AC12:AC910)</f>
      </c>
      <c r="D15" s="113" t="s">
        <v>1825</v>
      </c>
      <c r="E15" s="114"/>
      <c r="F15" s="112">
        <f>VORN!I16</f>
      </c>
      <c r="G15" s="113" t="s">
        <v>1826</v>
      </c>
      <c r="H15" s="114"/>
      <c r="I15" s="115">
        <f>VORN!I22</f>
      </c>
    </row>
    <row r="16">
      <c r="A16" s="110" t="s">
        <v>1827</v>
      </c>
      <c r="B16" s="111" t="s">
        <v>1823</v>
      </c>
      <c r="C16" s="112">
        <f>SUM('Stavební rozpočet'!AD12:AD910)</f>
      </c>
      <c r="D16" s="113" t="s">
        <v>1828</v>
      </c>
      <c r="E16" s="114"/>
      <c r="F16" s="112">
        <f>VORN!I17</f>
      </c>
      <c r="G16" s="113" t="s">
        <v>1829</v>
      </c>
      <c r="H16" s="114"/>
      <c r="I16" s="115">
        <f>VORN!I23</f>
      </c>
    </row>
    <row r="17">
      <c r="A17" s="116" t="s">
        <v>53</v>
      </c>
      <c r="B17" s="111" t="s">
        <v>38</v>
      </c>
      <c r="C17" s="112">
        <f>SUM('Stavební rozpočet'!AE12:AE910)</f>
      </c>
      <c r="D17" s="113" t="s">
        <v>53</v>
      </c>
      <c r="E17" s="114"/>
      <c r="F17" s="115" t="s">
        <v>53</v>
      </c>
      <c r="G17" s="113" t="s">
        <v>1159</v>
      </c>
      <c r="H17" s="114"/>
      <c r="I17" s="115">
        <f>VORN!I24</f>
      </c>
    </row>
    <row r="18">
      <c r="A18" s="110" t="s">
        <v>1830</v>
      </c>
      <c r="B18" s="111" t="s">
        <v>1823</v>
      </c>
      <c r="C18" s="112">
        <f>SUM('Stavební rozpočet'!AF12:AF910)</f>
      </c>
      <c r="D18" s="113" t="s">
        <v>53</v>
      </c>
      <c r="E18" s="114"/>
      <c r="F18" s="115" t="s">
        <v>53</v>
      </c>
      <c r="G18" s="113" t="s">
        <v>1831</v>
      </c>
      <c r="H18" s="114"/>
      <c r="I18" s="115">
        <f>VORN!I25</f>
      </c>
    </row>
    <row r="19">
      <c r="A19" s="116" t="s">
        <v>53</v>
      </c>
      <c r="B19" s="111" t="s">
        <v>38</v>
      </c>
      <c r="C19" s="112">
        <f>SUM('Stavební rozpočet'!AG12:AG910)</f>
      </c>
      <c r="D19" s="113" t="s">
        <v>53</v>
      </c>
      <c r="E19" s="114"/>
      <c r="F19" s="115" t="s">
        <v>53</v>
      </c>
      <c r="G19" s="113" t="s">
        <v>1832</v>
      </c>
      <c r="H19" s="114"/>
      <c r="I19" s="115">
        <f>VORN!I26</f>
      </c>
    </row>
    <row r="20">
      <c r="A20" s="117" t="s">
        <v>1833</v>
      </c>
      <c r="B20" s="118"/>
      <c r="C20" s="112">
        <f>SUM('Stavební rozpočet'!AH12:AH910)</f>
      </c>
      <c r="D20" s="113" t="s">
        <v>53</v>
      </c>
      <c r="E20" s="114"/>
      <c r="F20" s="115" t="s">
        <v>53</v>
      </c>
      <c r="G20" s="113" t="s">
        <v>53</v>
      </c>
      <c r="H20" s="114"/>
      <c r="I20" s="115" t="s">
        <v>53</v>
      </c>
    </row>
    <row r="21">
      <c r="A21" s="119" t="s">
        <v>1834</v>
      </c>
      <c r="B21" s="120"/>
      <c r="C21" s="121">
        <f>SUM('Stavební rozpočet'!Z12:Z910)</f>
      </c>
      <c r="D21" s="122" t="s">
        <v>53</v>
      </c>
      <c r="E21" s="123"/>
      <c r="F21" s="124" t="s">
        <v>53</v>
      </c>
      <c r="G21" s="122" t="s">
        <v>53</v>
      </c>
      <c r="H21" s="123"/>
      <c r="I21" s="124" t="s">
        <v>53</v>
      </c>
    </row>
    <row r="22" customHeight="true" ht="16.5">
      <c r="A22" s="125" t="s">
        <v>1835</v>
      </c>
      <c r="B22" s="126"/>
      <c r="C22" s="127">
        <f>ROUND(SUM(C14:C21),2)</f>
      </c>
      <c r="D22" s="128" t="s">
        <v>1836</v>
      </c>
      <c r="E22" s="126"/>
      <c r="F22" s="127">
        <f>SUM(F14:F21)</f>
      </c>
      <c r="G22" s="128" t="s">
        <v>1837</v>
      </c>
      <c r="H22" s="126"/>
      <c r="I22" s="127">
        <f>SUM(I14:I21)</f>
      </c>
    </row>
    <row r="23">
      <c r="D23" s="117" t="s">
        <v>1838</v>
      </c>
      <c r="E23" s="118"/>
      <c r="F23" s="129" t="n">
        <v>0</v>
      </c>
      <c r="G23" s="130" t="s">
        <v>1839</v>
      </c>
      <c r="H23" s="118"/>
      <c r="I23" s="112" t="n">
        <v>0</v>
      </c>
    </row>
    <row r="24">
      <c r="G24" s="117" t="s">
        <v>1840</v>
      </c>
      <c r="H24" s="118"/>
      <c r="I24" s="121">
        <f>vorn_sum</f>
      </c>
    </row>
    <row r="25">
      <c r="G25" s="117" t="s">
        <v>1841</v>
      </c>
      <c r="H25" s="118"/>
      <c r="I25" s="127" t="n">
        <v>0</v>
      </c>
    </row>
    <row r="27">
      <c r="A27" s="131" t="s">
        <v>1842</v>
      </c>
      <c r="B27" s="132"/>
      <c r="C27" s="133">
        <f>ROUND(SUM('Stavební rozpočet'!AJ12:AJ910),2)</f>
      </c>
    </row>
    <row r="28">
      <c r="A28" s="134" t="s">
        <v>1843</v>
      </c>
      <c r="B28" s="135"/>
      <c r="C28" s="136">
        <f>ROUND(SUM('Stavební rozpočet'!AK12:AK910),2)</f>
      </c>
      <c r="D28" s="137" t="s">
        <v>1844</v>
      </c>
      <c r="E28" s="132"/>
      <c r="F28" s="133">
        <f>ROUND(C28*(12/100),2)</f>
      </c>
      <c r="G28" s="137" t="s">
        <v>1845</v>
      </c>
      <c r="H28" s="132"/>
      <c r="I28" s="133">
        <f>ROUND(SUM(C27:C29),2)</f>
      </c>
    </row>
    <row r="29">
      <c r="A29" s="134" t="s">
        <v>1846</v>
      </c>
      <c r="B29" s="135"/>
      <c r="C29" s="136">
        <f>ROUND(SUM('Stavební rozpočet'!AL12:AL910),2)</f>
      </c>
      <c r="D29" s="138" t="s">
        <v>1847</v>
      </c>
      <c r="E29" s="135"/>
      <c r="F29" s="136">
        <f>ROUND(C29*(21/100),2)</f>
      </c>
      <c r="G29" s="138" t="s">
        <v>1848</v>
      </c>
      <c r="H29" s="135"/>
      <c r="I29" s="136">
        <f>ROUND(SUM(F28:F29)+I28,2)</f>
      </c>
    </row>
    <row r="31">
      <c r="A31" s="139" t="s">
        <v>1849</v>
      </c>
      <c r="B31" s="140"/>
      <c r="C31" s="141"/>
      <c r="D31" s="142" t="s">
        <v>1850</v>
      </c>
      <c r="E31" s="140"/>
      <c r="F31" s="141"/>
      <c r="G31" s="142" t="s">
        <v>1851</v>
      </c>
      <c r="H31" s="140"/>
      <c r="I31" s="141"/>
    </row>
    <row r="32">
      <c r="A32" s="143" t="s">
        <v>53</v>
      </c>
      <c r="B32" s="144"/>
      <c r="C32" s="145"/>
      <c r="D32" s="146" t="s">
        <v>53</v>
      </c>
      <c r="E32" s="144"/>
      <c r="F32" s="145"/>
      <c r="G32" s="146" t="s">
        <v>53</v>
      </c>
      <c r="H32" s="144"/>
      <c r="I32" s="145"/>
    </row>
    <row r="33">
      <c r="A33" s="143" t="s">
        <v>53</v>
      </c>
      <c r="B33" s="144"/>
      <c r="C33" s="145"/>
      <c r="D33" s="146" t="s">
        <v>53</v>
      </c>
      <c r="E33" s="144"/>
      <c r="F33" s="145"/>
      <c r="G33" s="146" t="s">
        <v>53</v>
      </c>
      <c r="H33" s="144"/>
      <c r="I33" s="145"/>
    </row>
    <row r="34">
      <c r="A34" s="143" t="s">
        <v>53</v>
      </c>
      <c r="B34" s="144"/>
      <c r="C34" s="145"/>
      <c r="D34" s="146" t="s">
        <v>53</v>
      </c>
      <c r="E34" s="144"/>
      <c r="F34" s="145"/>
      <c r="G34" s="146" t="s">
        <v>53</v>
      </c>
      <c r="H34" s="144"/>
      <c r="I34" s="145"/>
    </row>
    <row r="35">
      <c r="A35" s="147" t="s">
        <v>1852</v>
      </c>
      <c r="B35" s="148"/>
      <c r="C35" s="149"/>
      <c r="D35" s="150" t="s">
        <v>1852</v>
      </c>
      <c r="E35" s="148"/>
      <c r="F35" s="149"/>
      <c r="G35" s="150" t="s">
        <v>1852</v>
      </c>
      <c r="H35" s="148"/>
      <c r="I35" s="149"/>
    </row>
    <row r="36">
      <c r="A36" s="151" t="s">
        <v>1166</v>
      </c>
    </row>
    <row r="37" customHeight="true" ht="12.75">
      <c r="A37" s="16" t="s">
        <v>53</v>
      </c>
      <c r="B37" s="11"/>
      <c r="C37" s="11"/>
      <c r="D37" s="11"/>
      <c r="E37" s="11"/>
      <c r="F37" s="11"/>
      <c r="G37" s="11"/>
      <c r="H37" s="11"/>
      <c r="I37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8A17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H2:H3"/>
    <mergeCell ref="H4:H5"/>
    <mergeCell ref="H6:H7"/>
    <mergeCell ref="H8:H9"/>
    <mergeCell ref="H10:H11"/>
    <mergeCell ref="I2:I3"/>
    <mergeCell ref="I4:I5"/>
    <mergeCell ref="I6:I7"/>
    <mergeCell ref="I8:I9"/>
    <mergeCell ref="I10:I11"/>
    <mergeCell ref="A12:I12"/>
    <mergeCell ref="B13:C13"/>
    <mergeCell ref="E13:F13"/>
    <mergeCell ref="H13:I1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A31:C31"/>
    <mergeCell ref="A32:C32"/>
    <mergeCell ref="A33:C33"/>
    <mergeCell ref="A34:C34"/>
    <mergeCell ref="A35:C35"/>
    <mergeCell ref="D31:F31"/>
    <mergeCell ref="D32:F32"/>
    <mergeCell ref="D33:F33"/>
    <mergeCell ref="D34:F34"/>
    <mergeCell ref="D35:F35"/>
    <mergeCell ref="G31:I31"/>
    <mergeCell ref="G32:I32"/>
    <mergeCell ref="G33:I33"/>
    <mergeCell ref="G34:I34"/>
    <mergeCell ref="G35:I35"/>
    <mergeCell ref="A37:I37"/>
  </mergeCells>
  <pageMargins left="0.393999993801117" top="0.591000020503998" right="0.393999993801117" bottom="0.591000020503998" header="0" footer="0"/>
  <pageSetup orientation="landscape" fitToHeight="1" fitToWidth="1" cellComments="none"/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45"/>
  <sheetViews>
    <sheetView workbookViewId="0" showZeros="true" showFormulas="false" showGridLines="true" showRowColHeaders="true">
      <selection sqref="A45:E45" activeCell="A45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2.85546875" customWidth="true"/>
    <col max="4" min="4" style="0" width="10" customWidth="true"/>
    <col max="5" min="5" style="0" width="14" customWidth="true"/>
    <col max="6" min="6" style="0" width="22.85546875" customWidth="true"/>
    <col max="7" min="7" style="0" width="9.140625" customWidth="true"/>
    <col max="8" min="8" style="0" width="17.140625" customWidth="true"/>
    <col max="9" min="9" style="0" width="22.85546875" customWidth="true"/>
  </cols>
  <sheetData>
    <row r="1" customHeight="true" ht="54.75">
      <c r="A1" s="102" t="s">
        <v>1117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rozpočet'!C2</f>
      </c>
      <c r="D2" s="6"/>
      <c r="E2" s="8" t="s">
        <v>5</v>
      </c>
      <c r="F2" s="8">
        <f>'Stavební rozpočet'!I2</f>
      </c>
      <c r="G2" s="4"/>
      <c r="H2" s="8" t="s">
        <v>1810</v>
      </c>
      <c r="I2" s="9" t="s">
        <v>1811</v>
      </c>
    </row>
    <row r="3" customHeight="true" ht="25.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rozpočet'!C4</f>
      </c>
      <c r="D4" s="11"/>
      <c r="E4" s="16" t="s">
        <v>11</v>
      </c>
      <c r="F4" s="16">
        <f>'Stavební rozpočet'!I4</f>
      </c>
      <c r="G4" s="11"/>
      <c r="H4" s="16" t="s">
        <v>1810</v>
      </c>
      <c r="I4" s="14" t="s">
        <v>1812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13</v>
      </c>
      <c r="B6" s="11"/>
      <c r="C6" s="16">
        <f>'Stavební rozpočet'!C6</f>
      </c>
      <c r="D6" s="11"/>
      <c r="E6" s="16" t="s">
        <v>16</v>
      </c>
      <c r="F6" s="16">
        <f>'Stavební rozpočet'!I6</f>
      </c>
      <c r="G6" s="11"/>
      <c r="H6" s="16" t="s">
        <v>1810</v>
      </c>
      <c r="I6" s="14" t="s">
        <v>53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9</v>
      </c>
      <c r="B8" s="11"/>
      <c r="C8" s="16">
        <f>'Stavební rozpočet'!G4</f>
      </c>
      <c r="D8" s="11"/>
      <c r="E8" s="16" t="s">
        <v>15</v>
      </c>
      <c r="F8" s="16">
        <f>'Stavební rozpočet'!G6</f>
      </c>
      <c r="G8" s="11"/>
      <c r="H8" s="11" t="s">
        <v>1813</v>
      </c>
      <c r="I8" s="103" t="n">
        <v>338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18</v>
      </c>
      <c r="B10" s="11"/>
      <c r="C10" s="16">
        <f>'Stavební rozpočet'!C8</f>
      </c>
      <c r="D10" s="11"/>
      <c r="E10" s="16" t="s">
        <v>22</v>
      </c>
      <c r="F10" s="16">
        <f>'Stavební rozpočet'!I8</f>
      </c>
      <c r="G10" s="11"/>
      <c r="H10" s="11" t="s">
        <v>1814</v>
      </c>
      <c r="I10" s="78">
        <f>'Stavební rozpočet'!G8</f>
      </c>
    </row>
    <row r="11">
      <c r="A11" s="68"/>
      <c r="B11" s="69"/>
      <c r="C11" s="69"/>
      <c r="D11" s="69"/>
      <c r="E11" s="69"/>
      <c r="F11" s="69"/>
      <c r="G11" s="69"/>
      <c r="H11" s="69"/>
      <c r="I11" s="104"/>
    </row>
    <row r="13">
      <c r="A13" s="152" t="s">
        <v>1853</v>
      </c>
      <c r="B13" s="152"/>
      <c r="C13" s="152"/>
      <c r="D13" s="152"/>
      <c r="E13" s="152"/>
    </row>
    <row r="14">
      <c r="A14" s="153" t="s">
        <v>1854</v>
      </c>
      <c r="B14" s="154"/>
      <c r="C14" s="154"/>
      <c r="D14" s="154"/>
      <c r="E14" s="155"/>
      <c r="F14" s="156" t="s">
        <v>1855</v>
      </c>
      <c r="G14" s="156" t="s">
        <v>600</v>
      </c>
      <c r="H14" s="156" t="s">
        <v>1856</v>
      </c>
      <c r="I14" s="156" t="s">
        <v>1855</v>
      </c>
    </row>
    <row r="15">
      <c r="A15" s="157" t="s">
        <v>1824</v>
      </c>
      <c r="B15" s="158"/>
      <c r="C15" s="158"/>
      <c r="D15" s="158"/>
      <c r="E15" s="159"/>
      <c r="F15" s="160" t="n">
        <v>0</v>
      </c>
      <c r="G15" s="161" t="s">
        <v>53</v>
      </c>
      <c r="H15" s="161" t="s">
        <v>53</v>
      </c>
      <c r="I15" s="160">
        <f>F15</f>
      </c>
    </row>
    <row r="16">
      <c r="A16" s="157" t="s">
        <v>1825</v>
      </c>
      <c r="B16" s="158"/>
      <c r="C16" s="158"/>
      <c r="D16" s="158"/>
      <c r="E16" s="159"/>
      <c r="F16" s="160" t="n">
        <v>0</v>
      </c>
      <c r="G16" s="161" t="s">
        <v>53</v>
      </c>
      <c r="H16" s="161" t="s">
        <v>53</v>
      </c>
      <c r="I16" s="160">
        <f>F16</f>
      </c>
    </row>
    <row r="17">
      <c r="A17" s="162" t="s">
        <v>1828</v>
      </c>
      <c r="B17" s="163"/>
      <c r="C17" s="163"/>
      <c r="D17" s="163"/>
      <c r="E17" s="164"/>
      <c r="F17" s="165" t="n">
        <v>0</v>
      </c>
      <c r="G17" s="166" t="s">
        <v>53</v>
      </c>
      <c r="H17" s="166" t="s">
        <v>53</v>
      </c>
      <c r="I17" s="165">
        <f>F17</f>
      </c>
    </row>
    <row r="18">
      <c r="A18" s="167" t="s">
        <v>1857</v>
      </c>
      <c r="B18" s="168"/>
      <c r="C18" s="168"/>
      <c r="D18" s="168"/>
      <c r="E18" s="169"/>
      <c r="F18" s="170" t="s">
        <v>53</v>
      </c>
      <c r="G18" s="171" t="s">
        <v>53</v>
      </c>
      <c r="H18" s="171" t="s">
        <v>53</v>
      </c>
      <c r="I18" s="172">
        <f>SUM(I15:I17)</f>
      </c>
    </row>
    <row r="20">
      <c r="A20" s="153" t="s">
        <v>1821</v>
      </c>
      <c r="B20" s="154"/>
      <c r="C20" s="154"/>
      <c r="D20" s="154"/>
      <c r="E20" s="155"/>
      <c r="F20" s="156" t="s">
        <v>1855</v>
      </c>
      <c r="G20" s="156" t="s">
        <v>600</v>
      </c>
      <c r="H20" s="156" t="s">
        <v>1856</v>
      </c>
      <c r="I20" s="156" t="s">
        <v>1855</v>
      </c>
    </row>
    <row r="21">
      <c r="A21" s="157" t="s">
        <v>1133</v>
      </c>
      <c r="B21" s="158"/>
      <c r="C21" s="158"/>
      <c r="D21" s="158"/>
      <c r="E21" s="159"/>
      <c r="F21" s="160" t="n">
        <v>0</v>
      </c>
      <c r="G21" s="161" t="s">
        <v>53</v>
      </c>
      <c r="H21" s="161" t="s">
        <v>53</v>
      </c>
      <c r="I21" s="160">
        <f>F21</f>
      </c>
    </row>
    <row r="22">
      <c r="A22" s="157" t="s">
        <v>1826</v>
      </c>
      <c r="B22" s="158"/>
      <c r="C22" s="158"/>
      <c r="D22" s="158"/>
      <c r="E22" s="159"/>
      <c r="F22" s="160" t="n">
        <v>0</v>
      </c>
      <c r="G22" s="161" t="s">
        <v>53</v>
      </c>
      <c r="H22" s="161" t="s">
        <v>53</v>
      </c>
      <c r="I22" s="160">
        <f>F22</f>
      </c>
    </row>
    <row r="23">
      <c r="A23" s="157" t="s">
        <v>1829</v>
      </c>
      <c r="B23" s="158"/>
      <c r="C23" s="158"/>
      <c r="D23" s="158"/>
      <c r="E23" s="159"/>
      <c r="F23" s="160" t="n">
        <v>0</v>
      </c>
      <c r="G23" s="161" t="s">
        <v>53</v>
      </c>
      <c r="H23" s="161" t="s">
        <v>53</v>
      </c>
      <c r="I23" s="160">
        <f>F23</f>
      </c>
    </row>
    <row r="24">
      <c r="A24" s="157" t="s">
        <v>1159</v>
      </c>
      <c r="B24" s="158"/>
      <c r="C24" s="158"/>
      <c r="D24" s="158"/>
      <c r="E24" s="159"/>
      <c r="F24" s="160" t="n">
        <v>0</v>
      </c>
      <c r="G24" s="161" t="s">
        <v>53</v>
      </c>
      <c r="H24" s="161" t="s">
        <v>53</v>
      </c>
      <c r="I24" s="160">
        <f>F24</f>
      </c>
    </row>
    <row r="25">
      <c r="A25" s="157" t="s">
        <v>1831</v>
      </c>
      <c r="B25" s="158"/>
      <c r="C25" s="158"/>
      <c r="D25" s="158"/>
      <c r="E25" s="159"/>
      <c r="F25" s="160" t="n">
        <v>0</v>
      </c>
      <c r="G25" s="161" t="s">
        <v>53</v>
      </c>
      <c r="H25" s="161" t="s">
        <v>53</v>
      </c>
      <c r="I25" s="160">
        <f>F25</f>
      </c>
    </row>
    <row r="26">
      <c r="A26" s="162" t="s">
        <v>1832</v>
      </c>
      <c r="B26" s="163"/>
      <c r="C26" s="163"/>
      <c r="D26" s="163"/>
      <c r="E26" s="164"/>
      <c r="F26" s="165" t="n">
        <v>0</v>
      </c>
      <c r="G26" s="166" t="s">
        <v>53</v>
      </c>
      <c r="H26" s="166" t="s">
        <v>53</v>
      </c>
      <c r="I26" s="165">
        <f>F26</f>
      </c>
    </row>
    <row r="27">
      <c r="A27" s="167" t="s">
        <v>1858</v>
      </c>
      <c r="B27" s="168"/>
      <c r="C27" s="168"/>
      <c r="D27" s="168"/>
      <c r="E27" s="169"/>
      <c r="F27" s="170" t="s">
        <v>53</v>
      </c>
      <c r="G27" s="171" t="s">
        <v>53</v>
      </c>
      <c r="H27" s="171" t="s">
        <v>53</v>
      </c>
      <c r="I27" s="172">
        <f>SUM(I21:I26)</f>
      </c>
    </row>
    <row r="29">
      <c r="A29" s="173" t="s">
        <v>1859</v>
      </c>
      <c r="B29" s="174"/>
      <c r="C29" s="174"/>
      <c r="D29" s="174"/>
      <c r="E29" s="175"/>
      <c r="F29" s="176">
        <f>I18+I27</f>
      </c>
      <c r="G29" s="177"/>
      <c r="H29" s="177"/>
      <c r="I29" s="178"/>
    </row>
    <row r="33">
      <c r="A33" s="152" t="s">
        <v>1860</v>
      </c>
      <c r="B33" s="152"/>
      <c r="C33" s="152"/>
      <c r="D33" s="152"/>
      <c r="E33" s="152"/>
    </row>
    <row r="34">
      <c r="A34" s="153" t="s">
        <v>1861</v>
      </c>
      <c r="B34" s="154"/>
      <c r="C34" s="154"/>
      <c r="D34" s="154"/>
      <c r="E34" s="155"/>
      <c r="F34" s="156" t="s">
        <v>1855</v>
      </c>
      <c r="G34" s="156" t="s">
        <v>600</v>
      </c>
      <c r="H34" s="156" t="s">
        <v>1856</v>
      </c>
      <c r="I34" s="156" t="s">
        <v>1855</v>
      </c>
    </row>
    <row r="35">
      <c r="A35" s="157" t="s">
        <v>1119</v>
      </c>
      <c r="B35" s="158"/>
      <c r="C35" s="158"/>
      <c r="D35" s="158"/>
      <c r="E35" s="159"/>
      <c r="F35" s="160">
        <f>SUM('Stavební rozpočet'!BM12:BM910)</f>
      </c>
      <c r="G35" s="161" t="s">
        <v>53</v>
      </c>
      <c r="H35" s="161" t="s">
        <v>53</v>
      </c>
      <c r="I35" s="160">
        <f>F35</f>
      </c>
    </row>
    <row r="36">
      <c r="A36" s="157" t="s">
        <v>1862</v>
      </c>
      <c r="B36" s="158"/>
      <c r="C36" s="158"/>
      <c r="D36" s="158"/>
      <c r="E36" s="159"/>
      <c r="F36" s="160">
        <f>SUM('Stavební rozpočet'!BN12:BN910)</f>
      </c>
      <c r="G36" s="161" t="s">
        <v>53</v>
      </c>
      <c r="H36" s="161" t="s">
        <v>53</v>
      </c>
      <c r="I36" s="160">
        <f>F36</f>
      </c>
    </row>
    <row r="37">
      <c r="A37" s="157" t="s">
        <v>1133</v>
      </c>
      <c r="B37" s="158"/>
      <c r="C37" s="158"/>
      <c r="D37" s="158"/>
      <c r="E37" s="159"/>
      <c r="F37" s="160">
        <f>SUM('Stavební rozpočet'!BO12:BO910)</f>
      </c>
      <c r="G37" s="161" t="s">
        <v>53</v>
      </c>
      <c r="H37" s="161" t="s">
        <v>53</v>
      </c>
      <c r="I37" s="160">
        <f>F37</f>
      </c>
    </row>
    <row r="38">
      <c r="A38" s="157" t="s">
        <v>1149</v>
      </c>
      <c r="B38" s="158"/>
      <c r="C38" s="158"/>
      <c r="D38" s="158"/>
      <c r="E38" s="159"/>
      <c r="F38" s="160">
        <f>SUM('Stavební rozpočet'!BP12:BP910)</f>
      </c>
      <c r="G38" s="161" t="s">
        <v>53</v>
      </c>
      <c r="H38" s="161" t="s">
        <v>53</v>
      </c>
      <c r="I38" s="160">
        <f>F38</f>
      </c>
    </row>
    <row r="39">
      <c r="A39" s="157" t="s">
        <v>1863</v>
      </c>
      <c r="B39" s="158"/>
      <c r="C39" s="158"/>
      <c r="D39" s="158"/>
      <c r="E39" s="159"/>
      <c r="F39" s="160">
        <f>SUM('Stavební rozpočet'!BQ12:BQ910)</f>
      </c>
      <c r="G39" s="161" t="s">
        <v>53</v>
      </c>
      <c r="H39" s="161" t="s">
        <v>53</v>
      </c>
      <c r="I39" s="160">
        <f>F39</f>
      </c>
    </row>
    <row r="40">
      <c r="A40" s="157" t="s">
        <v>1829</v>
      </c>
      <c r="B40" s="158"/>
      <c r="C40" s="158"/>
      <c r="D40" s="158"/>
      <c r="E40" s="159"/>
      <c r="F40" s="160">
        <f>SUM('Stavební rozpočet'!BR12:BR910)</f>
      </c>
      <c r="G40" s="161" t="s">
        <v>53</v>
      </c>
      <c r="H40" s="161" t="s">
        <v>53</v>
      </c>
      <c r="I40" s="160">
        <f>F40</f>
      </c>
    </row>
    <row r="41">
      <c r="A41" s="157" t="s">
        <v>1159</v>
      </c>
      <c r="B41" s="158"/>
      <c r="C41" s="158"/>
      <c r="D41" s="158"/>
      <c r="E41" s="159"/>
      <c r="F41" s="160">
        <f>SUM('Stavební rozpočet'!BS12:BS910)</f>
      </c>
      <c r="G41" s="161" t="s">
        <v>53</v>
      </c>
      <c r="H41" s="161" t="s">
        <v>53</v>
      </c>
      <c r="I41" s="160">
        <f>F41</f>
      </c>
    </row>
    <row r="42">
      <c r="A42" s="157" t="s">
        <v>1864</v>
      </c>
      <c r="B42" s="158"/>
      <c r="C42" s="158"/>
      <c r="D42" s="158"/>
      <c r="E42" s="159"/>
      <c r="F42" s="160">
        <f>SUM('Stavební rozpočet'!BT12:BT910)</f>
      </c>
      <c r="G42" s="161" t="s">
        <v>53</v>
      </c>
      <c r="H42" s="161" t="s">
        <v>53</v>
      </c>
      <c r="I42" s="160">
        <f>F42</f>
      </c>
    </row>
    <row r="43">
      <c r="A43" s="157" t="s">
        <v>1865</v>
      </c>
      <c r="B43" s="158"/>
      <c r="C43" s="158"/>
      <c r="D43" s="158"/>
      <c r="E43" s="159"/>
      <c r="F43" s="160">
        <f>SUM('Stavební rozpočet'!BU12:BU910)</f>
      </c>
      <c r="G43" s="161" t="s">
        <v>53</v>
      </c>
      <c r="H43" s="161" t="s">
        <v>53</v>
      </c>
      <c r="I43" s="160">
        <f>F43</f>
      </c>
    </row>
    <row r="44">
      <c r="A44" s="162" t="s">
        <v>1866</v>
      </c>
      <c r="B44" s="163"/>
      <c r="C44" s="163"/>
      <c r="D44" s="163"/>
      <c r="E44" s="164"/>
      <c r="F44" s="165">
        <f>SUM('Stavební rozpočet'!BV12:BV910)</f>
      </c>
      <c r="G44" s="166" t="s">
        <v>53</v>
      </c>
      <c r="H44" s="166" t="s">
        <v>53</v>
      </c>
      <c r="I44" s="165">
        <f>F44</f>
      </c>
    </row>
    <row r="45">
      <c r="A45" s="167" t="s">
        <v>1867</v>
      </c>
      <c r="B45" s="168"/>
      <c r="C45" s="168"/>
      <c r="D45" s="168"/>
      <c r="E45" s="169"/>
      <c r="F45" s="170" t="s">
        <v>53</v>
      </c>
      <c r="G45" s="171" t="s">
        <v>53</v>
      </c>
      <c r="H45" s="171" t="s">
        <v>53</v>
      </c>
      <c r="I45" s="172">
        <f>SUM(I35:I44)</f>
      </c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8A17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H2:H3"/>
    <mergeCell ref="H4:H5"/>
    <mergeCell ref="H6:H7"/>
    <mergeCell ref="H8:H9"/>
    <mergeCell ref="H10:H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I2:I3"/>
    <mergeCell ref="I4:I5"/>
    <mergeCell ref="I6:I7"/>
    <mergeCell ref="I8:I9"/>
    <mergeCell ref="I10:I11"/>
    <mergeCell ref="A13:E13"/>
    <mergeCell ref="A14:E14"/>
    <mergeCell ref="A15:E15"/>
    <mergeCell ref="A16:E16"/>
    <mergeCell ref="A17:E17"/>
    <mergeCell ref="A18:E18"/>
    <mergeCell ref="A20:E20"/>
    <mergeCell ref="A21:E21"/>
    <mergeCell ref="A22:E22"/>
    <mergeCell ref="A23:E23"/>
    <mergeCell ref="A24:E24"/>
    <mergeCell ref="A25:E25"/>
    <mergeCell ref="A26:E26"/>
    <mergeCell ref="A27:E27"/>
    <mergeCell ref="A29:E29"/>
    <mergeCell ref="F29:I29"/>
    <mergeCell ref="A33:E33"/>
    <mergeCell ref="A34:E34"/>
    <mergeCell ref="A35:E35"/>
    <mergeCell ref="A36:E36"/>
    <mergeCell ref="A37:E37"/>
    <mergeCell ref="A38:E38"/>
    <mergeCell ref="A39:E39"/>
    <mergeCell ref="A40:E40"/>
    <mergeCell ref="A41:E41"/>
    <mergeCell ref="A42:E42"/>
    <mergeCell ref="A43:E43"/>
    <mergeCell ref="A44:E44"/>
    <mergeCell ref="A45:E45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>HP</dc:creator>
  <cp:lastModifiedBy>HP</cp:lastModifiedBy>
  <dcterms:created xsi:type="dcterms:W3CDTF">2021-06-10T20:06:38.031Z</dcterms:created>
  <dcterms:modified xsi:type="dcterms:W3CDTF">2021-06-10T20:06:38.351Z</dcterms:modified>
</cp:coreProperties>
</file>