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D Partyzánská 302, Bohumín Pudlov\1 Projekt do VZ\6Rozpočet\Výkaz výměr\1Stavba\"/>
    </mc:Choice>
  </mc:AlternateContent>
  <bookViews>
    <workbookView xWindow="0" yWindow="0" windowWidth="28800" windowHeight="12450" activeTab="1"/>
  </bookViews>
  <sheets>
    <sheet name="Krycí list rozpočtu" sheetId="3" r:id="rId1"/>
    <sheet name="Stavební rozpočet" sheetId="1" r:id="rId2"/>
    <sheet name="Výkaz výměr" sheetId="2" r:id="rId3"/>
    <sheet name="VORN" sheetId="4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J13" i="1" l="1"/>
  <c r="I35" i="4" l="1"/>
  <c r="I36" i="4" s="1"/>
  <c r="I24" i="3" s="1"/>
  <c r="I26" i="4"/>
  <c r="I25" i="4"/>
  <c r="I24" i="4"/>
  <c r="I23" i="4"/>
  <c r="I16" i="3" s="1"/>
  <c r="I22" i="4"/>
  <c r="I21" i="4"/>
  <c r="I17" i="4"/>
  <c r="I18" i="4" s="1"/>
  <c r="I16" i="4"/>
  <c r="I15" i="4"/>
  <c r="I10" i="4"/>
  <c r="F10" i="4"/>
  <c r="C10" i="4"/>
  <c r="F8" i="4"/>
  <c r="C8" i="4"/>
  <c r="F6" i="4"/>
  <c r="C6" i="4"/>
  <c r="F4" i="4"/>
  <c r="C4" i="4"/>
  <c r="F2" i="4"/>
  <c r="C2" i="4"/>
  <c r="I19" i="3"/>
  <c r="I18" i="3"/>
  <c r="I17" i="3"/>
  <c r="I15" i="3"/>
  <c r="F15" i="3"/>
  <c r="F14" i="3"/>
  <c r="I10" i="3"/>
  <c r="F10" i="3"/>
  <c r="C10" i="3"/>
  <c r="C8" i="3"/>
  <c r="F6" i="3"/>
  <c r="C6" i="3"/>
  <c r="F4" i="3"/>
  <c r="C4" i="3"/>
  <c r="F2" i="3"/>
  <c r="C2" i="3"/>
  <c r="E8" i="2"/>
  <c r="B8" i="2"/>
  <c r="E6" i="2"/>
  <c r="B6" i="2"/>
  <c r="E4" i="2"/>
  <c r="B4" i="2"/>
  <c r="E2" i="2"/>
  <c r="B2" i="2"/>
  <c r="BJ34" i="1"/>
  <c r="BD34" i="1"/>
  <c r="AP34" i="1"/>
  <c r="BI34" i="1" s="1"/>
  <c r="AO34" i="1"/>
  <c r="AW34" i="1" s="1"/>
  <c r="AL34" i="1"/>
  <c r="AJ34" i="1"/>
  <c r="AH34" i="1"/>
  <c r="AG34" i="1"/>
  <c r="AF34" i="1"/>
  <c r="AE34" i="1"/>
  <c r="AD34" i="1"/>
  <c r="AC34" i="1"/>
  <c r="AB34" i="1"/>
  <c r="Z34" i="1"/>
  <c r="L34" i="1"/>
  <c r="BF34" i="1" s="1"/>
  <c r="J34" i="1"/>
  <c r="AK34" i="1" s="1"/>
  <c r="H34" i="1"/>
  <c r="BJ33" i="1"/>
  <c r="Z33" i="1" s="1"/>
  <c r="BD33" i="1"/>
  <c r="AW33" i="1"/>
  <c r="AP33" i="1"/>
  <c r="BI33" i="1" s="1"/>
  <c r="AO33" i="1"/>
  <c r="BH33" i="1" s="1"/>
  <c r="AL33" i="1"/>
  <c r="AJ33" i="1"/>
  <c r="AH33" i="1"/>
  <c r="AG33" i="1"/>
  <c r="AF33" i="1"/>
  <c r="AE33" i="1"/>
  <c r="AD33" i="1"/>
  <c r="AC33" i="1"/>
  <c r="AB33" i="1"/>
  <c r="L33" i="1"/>
  <c r="BF33" i="1" s="1"/>
  <c r="J33" i="1"/>
  <c r="AK33" i="1" s="1"/>
  <c r="H33" i="1"/>
  <c r="BJ32" i="1"/>
  <c r="Z32" i="1" s="1"/>
  <c r="BD32" i="1"/>
  <c r="AW32" i="1"/>
  <c r="AP32" i="1"/>
  <c r="BI32" i="1" s="1"/>
  <c r="AO32" i="1"/>
  <c r="BH32" i="1" s="1"/>
  <c r="AL32" i="1"/>
  <c r="AU31" i="1" s="1"/>
  <c r="AJ32" i="1"/>
  <c r="AS31" i="1" s="1"/>
  <c r="AH32" i="1"/>
  <c r="AG32" i="1"/>
  <c r="AF32" i="1"/>
  <c r="AE32" i="1"/>
  <c r="AD32" i="1"/>
  <c r="AC32" i="1"/>
  <c r="AB32" i="1"/>
  <c r="L32" i="1"/>
  <c r="BF32" i="1" s="1"/>
  <c r="J32" i="1"/>
  <c r="AK32" i="1" s="1"/>
  <c r="AT31" i="1" s="1"/>
  <c r="H32" i="1"/>
  <c r="BJ30" i="1"/>
  <c r="Z30" i="1" s="1"/>
  <c r="BD30" i="1"/>
  <c r="AP30" i="1"/>
  <c r="BI30" i="1" s="1"/>
  <c r="AO30" i="1"/>
  <c r="BH30" i="1" s="1"/>
  <c r="AL30" i="1"/>
  <c r="AU29" i="1" s="1"/>
  <c r="AJ30" i="1"/>
  <c r="AH30" i="1"/>
  <c r="AG30" i="1"/>
  <c r="AF30" i="1"/>
  <c r="AE30" i="1"/>
  <c r="AD30" i="1"/>
  <c r="AC30" i="1"/>
  <c r="AB30" i="1"/>
  <c r="L30" i="1"/>
  <c r="BF30" i="1" s="1"/>
  <c r="J30" i="1"/>
  <c r="AK30" i="1" s="1"/>
  <c r="AT29" i="1" s="1"/>
  <c r="AS29" i="1"/>
  <c r="J29" i="1"/>
  <c r="BJ28" i="1"/>
  <c r="BD28" i="1"/>
  <c r="AW28" i="1"/>
  <c r="AP28" i="1"/>
  <c r="BI28" i="1" s="1"/>
  <c r="AC28" i="1" s="1"/>
  <c r="AO28" i="1"/>
  <c r="BH28" i="1" s="1"/>
  <c r="AB28" i="1" s="1"/>
  <c r="AL28" i="1"/>
  <c r="AJ28" i="1"/>
  <c r="AH28" i="1"/>
  <c r="AG28" i="1"/>
  <c r="AF28" i="1"/>
  <c r="AE28" i="1"/>
  <c r="AD28" i="1"/>
  <c r="Z28" i="1"/>
  <c r="L28" i="1"/>
  <c r="BF28" i="1" s="1"/>
  <c r="J28" i="1"/>
  <c r="AK28" i="1" s="1"/>
  <c r="H28" i="1"/>
  <c r="BJ27" i="1"/>
  <c r="BD27" i="1"/>
  <c r="AW27" i="1"/>
  <c r="AP27" i="1"/>
  <c r="BI27" i="1" s="1"/>
  <c r="AC27" i="1" s="1"/>
  <c r="AO27" i="1"/>
  <c r="BH27" i="1" s="1"/>
  <c r="AB27" i="1" s="1"/>
  <c r="AL27" i="1"/>
  <c r="AJ27" i="1"/>
  <c r="AH27" i="1"/>
  <c r="AG27" i="1"/>
  <c r="AF27" i="1"/>
  <c r="AE27" i="1"/>
  <c r="AD27" i="1"/>
  <c r="Z27" i="1"/>
  <c r="L27" i="1"/>
  <c r="BF27" i="1" s="1"/>
  <c r="J27" i="1"/>
  <c r="AK27" i="1" s="1"/>
  <c r="H27" i="1"/>
  <c r="BJ26" i="1"/>
  <c r="BD26" i="1"/>
  <c r="AP26" i="1"/>
  <c r="BI26" i="1" s="1"/>
  <c r="AC26" i="1" s="1"/>
  <c r="AO26" i="1"/>
  <c r="BH26" i="1" s="1"/>
  <c r="AB26" i="1" s="1"/>
  <c r="AL26" i="1"/>
  <c r="AU25" i="1" s="1"/>
  <c r="AJ26" i="1"/>
  <c r="AH26" i="1"/>
  <c r="AG26" i="1"/>
  <c r="AF26" i="1"/>
  <c r="AE26" i="1"/>
  <c r="AD26" i="1"/>
  <c r="Z26" i="1"/>
  <c r="L26" i="1"/>
  <c r="BF26" i="1" s="1"/>
  <c r="J26" i="1"/>
  <c r="BJ24" i="1"/>
  <c r="BD24" i="1"/>
  <c r="AP24" i="1"/>
  <c r="BI24" i="1" s="1"/>
  <c r="AC24" i="1" s="1"/>
  <c r="AO24" i="1"/>
  <c r="BH24" i="1" s="1"/>
  <c r="AB24" i="1" s="1"/>
  <c r="AL24" i="1"/>
  <c r="AJ24" i="1"/>
  <c r="AS23" i="1" s="1"/>
  <c r="AH24" i="1"/>
  <c r="AG24" i="1"/>
  <c r="AF24" i="1"/>
  <c r="AE24" i="1"/>
  <c r="AD24" i="1"/>
  <c r="Z24" i="1"/>
  <c r="L24" i="1"/>
  <c r="L23" i="1" s="1"/>
  <c r="J24" i="1"/>
  <c r="J23" i="1" s="1"/>
  <c r="I24" i="1"/>
  <c r="I23" i="1" s="1"/>
  <c r="AU23" i="1"/>
  <c r="BJ22" i="1"/>
  <c r="BD22" i="1"/>
  <c r="AW22" i="1"/>
  <c r="AP22" i="1"/>
  <c r="I22" i="1" s="1"/>
  <c r="AO22" i="1"/>
  <c r="BH22" i="1" s="1"/>
  <c r="AB22" i="1" s="1"/>
  <c r="AL22" i="1"/>
  <c r="AJ22" i="1"/>
  <c r="AH22" i="1"/>
  <c r="AG22" i="1"/>
  <c r="AF22" i="1"/>
  <c r="AE22" i="1"/>
  <c r="AD22" i="1"/>
  <c r="Z22" i="1"/>
  <c r="L22" i="1"/>
  <c r="BF22" i="1" s="1"/>
  <c r="J22" i="1"/>
  <c r="AK22" i="1" s="1"/>
  <c r="H22" i="1"/>
  <c r="BJ21" i="1"/>
  <c r="BD21" i="1"/>
  <c r="AW21" i="1"/>
  <c r="AP21" i="1"/>
  <c r="BI21" i="1" s="1"/>
  <c r="AC21" i="1" s="1"/>
  <c r="AO21" i="1"/>
  <c r="BH21" i="1" s="1"/>
  <c r="AB21" i="1" s="1"/>
  <c r="AL21" i="1"/>
  <c r="AU20" i="1" s="1"/>
  <c r="AJ21" i="1"/>
  <c r="AS20" i="1" s="1"/>
  <c r="AH21" i="1"/>
  <c r="AG21" i="1"/>
  <c r="AF21" i="1"/>
  <c r="AE21" i="1"/>
  <c r="AD21" i="1"/>
  <c r="Z21" i="1"/>
  <c r="L21" i="1"/>
  <c r="BF21" i="1" s="1"/>
  <c r="J21" i="1"/>
  <c r="J20" i="1" s="1"/>
  <c r="H21" i="1"/>
  <c r="BJ19" i="1"/>
  <c r="BD19" i="1"/>
  <c r="AX19" i="1"/>
  <c r="AP19" i="1"/>
  <c r="BI19" i="1" s="1"/>
  <c r="AC19" i="1" s="1"/>
  <c r="AO19" i="1"/>
  <c r="H19" i="1" s="1"/>
  <c r="AL19" i="1"/>
  <c r="AU17" i="1" s="1"/>
  <c r="AJ19" i="1"/>
  <c r="AH19" i="1"/>
  <c r="AG19" i="1"/>
  <c r="AF19" i="1"/>
  <c r="AE19" i="1"/>
  <c r="AD19" i="1"/>
  <c r="Z19" i="1"/>
  <c r="L19" i="1"/>
  <c r="BF19" i="1" s="1"/>
  <c r="J19" i="1"/>
  <c r="AK19" i="1" s="1"/>
  <c r="I19" i="1"/>
  <c r="BJ18" i="1"/>
  <c r="BD18" i="1"/>
  <c r="AP18" i="1"/>
  <c r="BI18" i="1" s="1"/>
  <c r="AC18" i="1" s="1"/>
  <c r="AO18" i="1"/>
  <c r="BH18" i="1" s="1"/>
  <c r="AB18" i="1" s="1"/>
  <c r="AL18" i="1"/>
  <c r="AJ18" i="1"/>
  <c r="AS17" i="1" s="1"/>
  <c r="AH18" i="1"/>
  <c r="AG18" i="1"/>
  <c r="AF18" i="1"/>
  <c r="AE18" i="1"/>
  <c r="AD18" i="1"/>
  <c r="Z18" i="1"/>
  <c r="L18" i="1"/>
  <c r="BF18" i="1" s="1"/>
  <c r="J18" i="1"/>
  <c r="AK18" i="1" s="1"/>
  <c r="AT17" i="1" s="1"/>
  <c r="I18" i="1"/>
  <c r="I17" i="1" s="1"/>
  <c r="BJ16" i="1"/>
  <c r="BD16" i="1"/>
  <c r="AW16" i="1"/>
  <c r="AP16" i="1"/>
  <c r="BI16" i="1" s="1"/>
  <c r="AC16" i="1" s="1"/>
  <c r="AO16" i="1"/>
  <c r="BH16" i="1" s="1"/>
  <c r="AB16" i="1" s="1"/>
  <c r="AL16" i="1"/>
  <c r="AJ16" i="1"/>
  <c r="AH16" i="1"/>
  <c r="AG16" i="1"/>
  <c r="AF16" i="1"/>
  <c r="AE16" i="1"/>
  <c r="AD16" i="1"/>
  <c r="Z16" i="1"/>
  <c r="L16" i="1"/>
  <c r="BF16" i="1" s="1"/>
  <c r="J16" i="1"/>
  <c r="AK16" i="1" s="1"/>
  <c r="H16" i="1"/>
  <c r="BJ15" i="1"/>
  <c r="BD15" i="1"/>
  <c r="AW15" i="1"/>
  <c r="AP15" i="1"/>
  <c r="I15" i="1" s="1"/>
  <c r="AO15" i="1"/>
  <c r="BH15" i="1" s="1"/>
  <c r="AB15" i="1" s="1"/>
  <c r="AL15" i="1"/>
  <c r="AJ15" i="1"/>
  <c r="AH15" i="1"/>
  <c r="AG15" i="1"/>
  <c r="AF15" i="1"/>
  <c r="AE15" i="1"/>
  <c r="AD15" i="1"/>
  <c r="Z15" i="1"/>
  <c r="L15" i="1"/>
  <c r="BF15" i="1" s="1"/>
  <c r="J15" i="1"/>
  <c r="AK15" i="1" s="1"/>
  <c r="H15" i="1"/>
  <c r="BJ14" i="1"/>
  <c r="BD14" i="1"/>
  <c r="AP14" i="1"/>
  <c r="AX14" i="1" s="1"/>
  <c r="AO14" i="1"/>
  <c r="BH14" i="1" s="1"/>
  <c r="AB14" i="1" s="1"/>
  <c r="AL14" i="1"/>
  <c r="AJ14" i="1"/>
  <c r="AH14" i="1"/>
  <c r="AG14" i="1"/>
  <c r="AF14" i="1"/>
  <c r="AE14" i="1"/>
  <c r="AD14" i="1"/>
  <c r="Z14" i="1"/>
  <c r="L14" i="1"/>
  <c r="BF14" i="1" s="1"/>
  <c r="J14" i="1"/>
  <c r="AK14" i="1" s="1"/>
  <c r="BJ13" i="1"/>
  <c r="BF13" i="1"/>
  <c r="BD13" i="1"/>
  <c r="AP13" i="1"/>
  <c r="AO13" i="1"/>
  <c r="AL13" i="1"/>
  <c r="AJ13" i="1"/>
  <c r="AH13" i="1"/>
  <c r="AG13" i="1"/>
  <c r="C19" i="3" s="1"/>
  <c r="AF13" i="1"/>
  <c r="AE13" i="1"/>
  <c r="AD13" i="1"/>
  <c r="Z13" i="1"/>
  <c r="L13" i="1"/>
  <c r="AK13" i="1"/>
  <c r="L12" i="1"/>
  <c r="AU1" i="1"/>
  <c r="AT1" i="1"/>
  <c r="AS1" i="1"/>
  <c r="BH13" i="1" l="1"/>
  <c r="AB13" i="1" s="1"/>
  <c r="H13" i="1"/>
  <c r="H12" i="1" s="1"/>
  <c r="BI13" i="1"/>
  <c r="AC13" i="1" s="1"/>
  <c r="I13" i="1"/>
  <c r="F29" i="4"/>
  <c r="C21" i="3"/>
  <c r="C16" i="3"/>
  <c r="J17" i="1"/>
  <c r="L25" i="1"/>
  <c r="L31" i="1"/>
  <c r="AT12" i="1"/>
  <c r="C17" i="3"/>
  <c r="AS12" i="1"/>
  <c r="AW13" i="1"/>
  <c r="H14" i="1"/>
  <c r="AX18" i="1"/>
  <c r="L20" i="1"/>
  <c r="AK24" i="1"/>
  <c r="AT23" i="1" s="1"/>
  <c r="AX24" i="1"/>
  <c r="H26" i="1"/>
  <c r="H25" i="1" s="1"/>
  <c r="AX30" i="1"/>
  <c r="H31" i="1"/>
  <c r="I33" i="1"/>
  <c r="I34" i="1"/>
  <c r="F22" i="3"/>
  <c r="F16" i="3"/>
  <c r="I27" i="4"/>
  <c r="C20" i="3"/>
  <c r="AX34" i="1"/>
  <c r="C18" i="3"/>
  <c r="C29" i="3"/>
  <c r="F29" i="3" s="1"/>
  <c r="AW14" i="1"/>
  <c r="AV14" i="1" s="1"/>
  <c r="H20" i="1"/>
  <c r="J25" i="1"/>
  <c r="AS25" i="1"/>
  <c r="AW26" i="1"/>
  <c r="I30" i="1"/>
  <c r="I29" i="1" s="1"/>
  <c r="I14" i="3"/>
  <c r="I22" i="3" s="1"/>
  <c r="AV34" i="1"/>
  <c r="BC34" i="1"/>
  <c r="BC33" i="1"/>
  <c r="BI15" i="1"/>
  <c r="AC15" i="1" s="1"/>
  <c r="BI22" i="1"/>
  <c r="AC22" i="1" s="1"/>
  <c r="BI14" i="1"/>
  <c r="AC14" i="1" s="1"/>
  <c r="J12" i="1"/>
  <c r="AU12" i="1"/>
  <c r="AX13" i="1"/>
  <c r="I14" i="1"/>
  <c r="AX15" i="1"/>
  <c r="BC15" i="1" s="1"/>
  <c r="I16" i="1"/>
  <c r="L17" i="1"/>
  <c r="H18" i="1"/>
  <c r="H17" i="1" s="1"/>
  <c r="AW19" i="1"/>
  <c r="I21" i="1"/>
  <c r="I20" i="1" s="1"/>
  <c r="AK21" i="1"/>
  <c r="AT20" i="1" s="1"/>
  <c r="AX22" i="1"/>
  <c r="BC22" i="1" s="1"/>
  <c r="AW24" i="1"/>
  <c r="BF24" i="1"/>
  <c r="I26" i="1"/>
  <c r="AK26" i="1"/>
  <c r="AT25" i="1" s="1"/>
  <c r="AX27" i="1"/>
  <c r="BC27" i="1" s="1"/>
  <c r="I28" i="1"/>
  <c r="AV28" i="1"/>
  <c r="L29" i="1"/>
  <c r="H30" i="1"/>
  <c r="H29" i="1" s="1"/>
  <c r="J31" i="1"/>
  <c r="AX32" i="1"/>
  <c r="BC32" i="1" s="1"/>
  <c r="BH34" i="1"/>
  <c r="C27" i="3"/>
  <c r="BH19" i="1"/>
  <c r="AB19" i="1" s="1"/>
  <c r="C14" i="3" s="1"/>
  <c r="AX16" i="1"/>
  <c r="BC16" i="1" s="1"/>
  <c r="AW18" i="1"/>
  <c r="AX21" i="1"/>
  <c r="AV21" i="1" s="1"/>
  <c r="H24" i="1"/>
  <c r="H23" i="1" s="1"/>
  <c r="AX26" i="1"/>
  <c r="I27" i="1"/>
  <c r="AX28" i="1"/>
  <c r="BC28" i="1" s="1"/>
  <c r="AW30" i="1"/>
  <c r="I32" i="1"/>
  <c r="AX33" i="1"/>
  <c r="AV33" i="1" s="1"/>
  <c r="C15" i="3" l="1"/>
  <c r="C22" i="3" s="1"/>
  <c r="BC13" i="1"/>
  <c r="AV15" i="1"/>
  <c r="BC21" i="1"/>
  <c r="BC14" i="1"/>
  <c r="I31" i="1"/>
  <c r="AV26" i="1"/>
  <c r="AV16" i="1"/>
  <c r="AV30" i="1"/>
  <c r="BC30" i="1"/>
  <c r="AV32" i="1"/>
  <c r="I25" i="1"/>
  <c r="AV22" i="1"/>
  <c r="BC26" i="1"/>
  <c r="AV24" i="1"/>
  <c r="BC24" i="1"/>
  <c r="AV19" i="1"/>
  <c r="BC19" i="1"/>
  <c r="I12" i="1"/>
  <c r="AV13" i="1"/>
  <c r="BC18" i="1"/>
  <c r="AV18" i="1"/>
  <c r="J35" i="1"/>
  <c r="AV27" i="1"/>
  <c r="C28" i="3"/>
  <c r="F28" i="3" s="1"/>
  <c r="I28" i="3" l="1"/>
  <c r="I29" i="3" s="1"/>
</calcChain>
</file>

<file path=xl/sharedStrings.xml><?xml version="1.0" encoding="utf-8"?>
<sst xmlns="http://schemas.openxmlformats.org/spreadsheetml/2006/main" count="572" uniqueCount="192">
  <si>
    <t>Slepý stavební rozpočet</t>
  </si>
  <si>
    <t>Název stavby:</t>
  </si>
  <si>
    <t>Stavební úpravy bytového domu - STAVEBNÍ ÚPRAVY 1.PP-doplněk</t>
  </si>
  <si>
    <t>Doba výstavby:</t>
  </si>
  <si>
    <t>11 dní</t>
  </si>
  <si>
    <t>Objednatel:</t>
  </si>
  <si>
    <t>Město Bohumín, Masarykova158, 735 81 Bohumín</t>
  </si>
  <si>
    <t>Druh stavby:</t>
  </si>
  <si>
    <t>Budova pro bydlení</t>
  </si>
  <si>
    <t>Začátek výstavby:</t>
  </si>
  <si>
    <t>Projektant:</t>
  </si>
  <si>
    <t>Ing. Stanislav Wilczek</t>
  </si>
  <si>
    <t>Umístění:</t>
  </si>
  <si>
    <t>Partyzánská 302, Bohumín – Pudlov</t>
  </si>
  <si>
    <t>Konec výstavby:</t>
  </si>
  <si>
    <t>Zhotovitel:</t>
  </si>
  <si>
    <t> </t>
  </si>
  <si>
    <t>JKSO:</t>
  </si>
  <si>
    <t xml:space="preserve"> </t>
  </si>
  <si>
    <t>Zpracováno dne:</t>
  </si>
  <si>
    <t>19.02.2025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</si>
  <si>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</si>
  <si>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</si>
  <si>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</si>
  <si>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</si>
  <si>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</si>
  <si>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</si>
  <si>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</si>
  <si>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</si>
  <si>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</si>
  <si>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</si>
  <si>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</si>
  <si>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</si>
  <si>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</si>
  <si>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</si>
  <si>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</si>
  <si>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</si>
  <si>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</si>
  <si>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Celkem/MJ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</si>
  <si>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</si>
  <si>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</si>
  <si>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</si>
  <si>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</si>
  <si>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</si>
  <si>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</si>
  <si>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</si>
  <si>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</si>
  <si>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</si>
  <si>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</si>
  <si>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</si>
  <si>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</si>
  <si>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</si>
  <si>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31</t>
  </si>
  <si>
    <t>Zdi podpěrné a volné</t>
  </si>
  <si>
    <t>1</t>
  </si>
  <si>
    <t>310271620R00</t>
  </si>
  <si>
    <t>Zazdívka otvorů do 4 m2, pórobet.tvárnice, tl.15-20cm</t>
  </si>
  <si>
    <t>m3</t>
  </si>
  <si>
    <t>31_</t>
  </si>
  <si>
    <t>3_</t>
  </si>
  <si>
    <t>_</t>
  </si>
  <si>
    <t>2</t>
  </si>
  <si>
    <t>310237241RT1</t>
  </si>
  <si>
    <t>Zazdívka otvorů pl. 0,25 m2 (odtahy spalin, přívod vzduchu)</t>
  </si>
  <si>
    <t>kus</t>
  </si>
  <si>
    <t>3</t>
  </si>
  <si>
    <t>310236241R00</t>
  </si>
  <si>
    <t>Dod. + mont. odvětrávací mřížky odtahů spalin</t>
  </si>
  <si>
    <t>4</t>
  </si>
  <si>
    <t>Dod. + mont. větracích mřížek pr.110+trubka 0,55m</t>
  </si>
  <si>
    <t>63</t>
  </si>
  <si>
    <t>Podlahy a podlahové konstrukce</t>
  </si>
  <si>
    <t>5</t>
  </si>
  <si>
    <t>632451431R00</t>
  </si>
  <si>
    <t>Doplnění potěru v ploše do 1 m2, tl.20-30 mm</t>
  </si>
  <si>
    <t>m2</t>
  </si>
  <si>
    <t>63_</t>
  </si>
  <si>
    <t>6_</t>
  </si>
  <si>
    <t>6</t>
  </si>
  <si>
    <t>632451311R00</t>
  </si>
  <si>
    <t>Potěr pískocementový pálený tl. 10 mm</t>
  </si>
  <si>
    <t>64</t>
  </si>
  <si>
    <t>Výplně otvorů</t>
  </si>
  <si>
    <t>7</t>
  </si>
  <si>
    <t>642942111RT4</t>
  </si>
  <si>
    <t>Osazení zárubní dveřních ocelových 80x197 vč. dod. zárubně a dřevěných dveří s kováním a zámkem Fab</t>
  </si>
  <si>
    <t>64_</t>
  </si>
  <si>
    <t>8</t>
  </si>
  <si>
    <t>642943111R00</t>
  </si>
  <si>
    <t>Osazení prahů bukových vč. dod. prahu</t>
  </si>
  <si>
    <t>90</t>
  </si>
  <si>
    <t>Hodinové zúčtovací sazby (HZS)</t>
  </si>
  <si>
    <t>9</t>
  </si>
  <si>
    <t>900      R02</t>
  </si>
  <si>
    <t>HZS-zednické výpomoce - zprovoznění komínového průduchu</t>
  </si>
  <si>
    <t>h</t>
  </si>
  <si>
    <t>90_</t>
  </si>
  <si>
    <t>9_</t>
  </si>
  <si>
    <t>97</t>
  </si>
  <si>
    <t>Prorážení otvorů a ostatní bourací práce</t>
  </si>
  <si>
    <t>10</t>
  </si>
  <si>
    <t>971033631R00</t>
  </si>
  <si>
    <t>Vybourání otv. zeď cihel. pl.do 4 m2, tl.15 cm, MVC</t>
  </si>
  <si>
    <t>97_</t>
  </si>
  <si>
    <t>11</t>
  </si>
  <si>
    <t>971042261R00</t>
  </si>
  <si>
    <t>Vybourání otvorů zdi betonové 0,0225 m2, tl. do 60 cm</t>
  </si>
  <si>
    <t>12</t>
  </si>
  <si>
    <t>971033541R00</t>
  </si>
  <si>
    <t>Bourání zeď cihel.  tl.30 cm, MC</t>
  </si>
  <si>
    <t>H731</t>
  </si>
  <si>
    <t>Přesuny hmot</t>
  </si>
  <si>
    <t>13</t>
  </si>
  <si>
    <t>998731101R00</t>
  </si>
  <si>
    <t>Přesun hmot, výšky do 6 m</t>
  </si>
  <si>
    <t>t</t>
  </si>
  <si>
    <t>H731_</t>
  </si>
  <si>
    <t>S</t>
  </si>
  <si>
    <t>Odpadové hospodářství</t>
  </si>
  <si>
    <t>14</t>
  </si>
  <si>
    <t>979013112R00</t>
  </si>
  <si>
    <t>Svislá doprava vybouraných hmot na H do 3,5 m</t>
  </si>
  <si>
    <t>S_</t>
  </si>
  <si>
    <t>15</t>
  </si>
  <si>
    <t>979082212R00</t>
  </si>
  <si>
    <t>Vodorovná doprava suti po suchu do 50 m</t>
  </si>
  <si>
    <t>16</t>
  </si>
  <si>
    <t>979981101R00</t>
  </si>
  <si>
    <t>Kontejner, přistavení na 24 h, odvoz a likvidace, suť bez příměsí, kapacita 3 t</t>
  </si>
  <si>
    <t>Celkem:</t>
  </si>
  <si>
    <t>Poznámka:</t>
  </si>
  <si>
    <t>Soupis stavebních prací dodávek a služeb s výkazem výměr</t>
  </si>
  <si>
    <t>Potřebné množství</t>
  </si>
  <si>
    <t>Krycí list slepého rozpočtu</t>
  </si>
  <si>
    <t>IČO/DIČ:</t>
  </si>
  <si>
    <t>00297569/CZ00297569</t>
  </si>
  <si>
    <t>64590097/CZ5905071018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</si>
  <si>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</si>
  <si>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</si>
  <si>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</si>
  <si>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</si>
  <si>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</si>
  <si>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</si>
  <si>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</si>
  <si>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</si>
  <si>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</si>
  <si>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</si>
  <si>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</si>
  <si>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</si>
  <si>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</si>
  <si>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</si>
  <si>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</si>
  <si>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</si>
  <si>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</si>
  <si>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</si>
  <si>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</si>
  <si>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</si>
  <si>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</si>
  <si>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</si>
  <si>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</si>
  <si>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</si>
  <si>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</si>
  <si>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</si>
  <si>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</si>
  <si>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</si>
  <si>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</si>
  <si>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</si>
  <si>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</si>
  <si>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</si>
  <si>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</si>
  <si>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</si>
  <si>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</si>
  <si>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</si>
  <si>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</si>
  <si>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</si>
  <si>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</si>
  <si>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</si>
  <si>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</si>
  <si>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</si>
  <si>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</si>
  <si>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</si>
  <si>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</si>
  <si>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</si>
  <si>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</si>
  <si>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</si>
  <si>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</si>
  <si>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</si>
  <si>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</si>
  <si>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</si>
  <si>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</si>
  <si>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</si>
  <si>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Zazdívka - úprava otvorů (průvětrníky 110 mm, VZT mřížka komín)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</si>
</sst>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8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3" fillId="0" borderId="21" xfId="0" applyNumberFormat="1" applyFont="1" applyFill="1" applyBorder="1" applyAlignment="1" applyProtection="1">
      <alignment horizontal="left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3" fillId="2" borderId="30" xfId="0" applyNumberFormat="1" applyFont="1" applyFill="1" applyBorder="1" applyAlignment="1" applyProtection="1">
      <alignment horizontal="left" vertical="center"/>
    </xf>
    <xf numFmtId="4" fontId="2" fillId="2" borderId="30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2" fillId="2" borderId="31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4" fontId="2" fillId="2" borderId="6" xfId="0" applyNumberFormat="1" applyFont="1" applyFill="1" applyBorder="1" applyAlignment="1" applyProtection="1">
      <alignment horizontal="righ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/>
    </xf>
    <xf numFmtId="4" fontId="3" fillId="0" borderId="33" xfId="0" applyNumberFormat="1" applyFont="1" applyFill="1" applyBorder="1" applyAlignment="1" applyProtection="1">
      <alignment horizontal="right" vertical="center"/>
    </xf>
    <xf numFmtId="4" fontId="3" fillId="0" borderId="34" xfId="0" applyNumberFormat="1" applyFont="1" applyFill="1" applyBorder="1" applyAlignment="1" applyProtection="1">
      <alignment horizontal="right" vertical="center"/>
    </xf>
    <xf numFmtId="4" fontId="2" fillId="0" borderId="35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2" fillId="0" borderId="36" xfId="0" applyNumberFormat="1" applyFont="1" applyFill="1" applyBorder="1" applyAlignment="1" applyProtection="1">
      <alignment horizontal="left" vertical="center"/>
    </xf>
    <xf numFmtId="0" fontId="2" fillId="0" borderId="37" xfId="0" applyNumberFormat="1" applyFont="1" applyFill="1" applyBorder="1" applyAlignment="1" applyProtection="1">
      <alignment horizontal="left" vertical="center"/>
    </xf>
    <xf numFmtId="0" fontId="2" fillId="0" borderId="40" xfId="0" applyNumberFormat="1" applyFont="1" applyFill="1" applyBorder="1" applyAlignment="1" applyProtection="1">
      <alignment horizontal="righ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2" borderId="31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6" fillId="2" borderId="43" xfId="0" applyNumberFormat="1" applyFont="1" applyFill="1" applyBorder="1" applyAlignment="1" applyProtection="1">
      <alignment horizontal="center" vertical="center"/>
    </xf>
    <xf numFmtId="0" fontId="6" fillId="2" borderId="46" xfId="0" applyNumberFormat="1" applyFont="1" applyFill="1" applyBorder="1" applyAlignment="1" applyProtection="1">
      <alignment horizontal="center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0" fontId="8" fillId="0" borderId="51" xfId="0" applyNumberFormat="1" applyFont="1" applyFill="1" applyBorder="1" applyAlignment="1" applyProtection="1">
      <alignment horizontal="left" vertical="center"/>
    </xf>
    <xf numFmtId="4" fontId="9" fillId="0" borderId="55" xfId="0" applyNumberFormat="1" applyFont="1" applyFill="1" applyBorder="1" applyAlignment="1" applyProtection="1">
      <alignment horizontal="right" vertical="center"/>
    </xf>
    <xf numFmtId="0" fontId="9" fillId="0" borderId="55" xfId="0" applyNumberFormat="1" applyFont="1" applyFill="1" applyBorder="1" applyAlignment="1" applyProtection="1">
      <alignment horizontal="right" vertical="center"/>
    </xf>
    <xf numFmtId="4" fontId="9" fillId="0" borderId="46" xfId="0" applyNumberFormat="1" applyFont="1" applyFill="1" applyBorder="1" applyAlignment="1" applyProtection="1">
      <alignment horizontal="right" vertical="center"/>
    </xf>
    <xf numFmtId="4" fontId="9" fillId="0" borderId="26" xfId="0" applyNumberFormat="1" applyFont="1" applyFill="1" applyBorder="1" applyAlignment="1" applyProtection="1">
      <alignment horizontal="right" vertical="center"/>
    </xf>
    <xf numFmtId="4" fontId="8" fillId="2" borderId="45" xfId="0" applyNumberFormat="1" applyFont="1" applyFill="1" applyBorder="1" applyAlignment="1" applyProtection="1">
      <alignment horizontal="right" vertical="center"/>
    </xf>
    <xf numFmtId="4" fontId="8" fillId="2" borderId="50" xfId="0" applyNumberFormat="1" applyFont="1" applyFill="1" applyBorder="1" applyAlignment="1" applyProtection="1">
      <alignment horizontal="right" vertical="center"/>
    </xf>
    <xf numFmtId="0" fontId="4" fillId="0" borderId="3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right" vertical="center"/>
    </xf>
    <xf numFmtId="4" fontId="3" fillId="0" borderId="48" xfId="0" applyNumberFormat="1" applyFont="1" applyFill="1" applyBorder="1" applyAlignment="1" applyProtection="1">
      <alignment horizontal="right" vertical="center"/>
    </xf>
    <xf numFmtId="0" fontId="3" fillId="0" borderId="48" xfId="0" applyNumberFormat="1" applyFont="1" applyFill="1" applyBorder="1" applyAlignment="1" applyProtection="1">
      <alignment horizontal="left" vertical="center"/>
    </xf>
    <xf numFmtId="4" fontId="3" fillId="0" borderId="75" xfId="0" applyNumberFormat="1" applyFont="1" applyFill="1" applyBorder="1" applyAlignment="1" applyProtection="1">
      <alignment horizontal="righ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right" vertical="center"/>
    </xf>
    <xf numFmtId="4" fontId="2" fillId="0" borderId="79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4" xfId="0" applyNumberFormat="1" applyFont="1" applyFill="1" applyBorder="1" applyAlignment="1" applyProtection="1">
      <alignment horizontal="left" vertical="center"/>
    </xf>
    <xf numFmtId="0" fontId="5" fillId="0" borderId="42" xfId="0" applyNumberFormat="1" applyFont="1" applyFill="1" applyBorder="1" applyAlignment="1" applyProtection="1">
      <alignment horizontal="center" vertical="center"/>
    </xf>
    <xf numFmtId="0" fontId="7" fillId="0" borderId="44" xfId="0" applyNumberFormat="1" applyFont="1" applyFill="1" applyBorder="1" applyAlignment="1" applyProtection="1">
      <alignment horizontal="left" vertical="center"/>
    </xf>
    <xf numFmtId="0" fontId="7" fillId="0" borderId="45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8" fillId="0" borderId="52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8" fillId="0" borderId="53" xfId="0" applyNumberFormat="1" applyFont="1" applyFill="1" applyBorder="1" applyAlignment="1" applyProtection="1">
      <alignment horizontal="left" vertical="center"/>
    </xf>
    <xf numFmtId="0" fontId="8" fillId="0" borderId="54" xfId="0" applyNumberFormat="1" applyFont="1" applyFill="1" applyBorder="1" applyAlignment="1" applyProtection="1">
      <alignment horizontal="left" vertical="center"/>
    </xf>
    <xf numFmtId="0" fontId="8" fillId="0" borderId="57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0" fontId="8" fillId="0" borderId="49" xfId="0" applyNumberFormat="1" applyFont="1" applyFill="1" applyBorder="1" applyAlignment="1" applyProtection="1">
      <alignment horizontal="left" vertical="center"/>
    </xf>
    <xf numFmtId="0" fontId="8" fillId="2" borderId="57" xfId="0" applyNumberFormat="1" applyFont="1" applyFill="1" applyBorder="1" applyAlignment="1" applyProtection="1">
      <alignment horizontal="left" vertical="center"/>
    </xf>
    <xf numFmtId="0" fontId="8" fillId="2" borderId="58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59" xfId="0" applyNumberFormat="1" applyFont="1" applyFill="1" applyBorder="1" applyAlignment="1" applyProtection="1">
      <alignment horizontal="left" vertical="center"/>
    </xf>
    <xf numFmtId="0" fontId="8" fillId="2" borderId="44" xfId="0" applyNumberFormat="1" applyFont="1" applyFill="1" applyBorder="1" applyAlignment="1" applyProtection="1">
      <alignment horizontal="left" vertical="center"/>
    </xf>
    <xf numFmtId="0" fontId="8" fillId="2" borderId="49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66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65" xfId="0" applyNumberFormat="1" applyFont="1" applyFill="1" applyBorder="1" applyAlignment="1" applyProtection="1">
      <alignment horizontal="left" vertical="center"/>
    </xf>
    <xf numFmtId="0" fontId="9" fillId="0" borderId="70" xfId="0" applyNumberFormat="1" applyFont="1" applyFill="1" applyBorder="1" applyAlignment="1" applyProtection="1">
      <alignment horizontal="left" vertical="center"/>
    </xf>
    <xf numFmtId="0" fontId="9" fillId="0" borderId="68" xfId="0" applyNumberFormat="1" applyFont="1" applyFill="1" applyBorder="1" applyAlignment="1" applyProtection="1">
      <alignment horizontal="left" vertical="center"/>
    </xf>
    <xf numFmtId="0" fontId="9" fillId="0" borderId="69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9" fillId="0" borderId="64" xfId="0" applyNumberFormat="1" applyFont="1" applyFill="1" applyBorder="1" applyAlignment="1" applyProtection="1">
      <alignment horizontal="left" vertical="center"/>
    </xf>
    <xf numFmtId="0" fontId="9" fillId="0" borderId="67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2" borderId="30" xfId="0" applyNumberFormat="1" applyFont="1" applyFill="1" applyBorder="1" applyAlignment="1" applyProtection="1">
      <alignment horizontal="left" vertical="center" wrapText="1"/>
    </xf>
    <xf numFmtId="0" fontId="2" fillId="2" borderId="3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 wrapText="1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2" fillId="0" borderId="38" xfId="0" applyNumberFormat="1" applyFont="1" applyFill="1" applyBorder="1" applyAlignment="1" applyProtection="1">
      <alignment horizontal="left" vertical="center"/>
    </xf>
    <xf numFmtId="0" fontId="2" fillId="0" borderId="39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4" xfId="0" applyNumberFormat="1" applyFont="1" applyFill="1" applyBorder="1" applyAlignment="1" applyProtection="1">
      <alignment horizontal="left" vertical="center"/>
    </xf>
    <xf numFmtId="0" fontId="2" fillId="0" borderId="76" xfId="0" applyNumberFormat="1" applyFont="1" applyFill="1" applyBorder="1" applyAlignment="1" applyProtection="1">
      <alignment horizontal="left" vertical="center"/>
    </xf>
    <xf numFmtId="0" fontId="2" fillId="0" borderId="77" xfId="0" applyNumberFormat="1" applyFont="1" applyFill="1" applyBorder="1" applyAlignment="1" applyProtection="1">
      <alignment horizontal="lef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8" fillId="0" borderId="76" xfId="0" applyNumberFormat="1" applyFont="1" applyFill="1" applyBorder="1" applyAlignment="1" applyProtection="1">
      <alignment horizontal="left" vertical="center"/>
    </xf>
    <xf numFmtId="0" fontId="8" fillId="0" borderId="77" xfId="0" applyNumberFormat="1" applyFont="1" applyFill="1" applyBorder="1" applyAlignment="1" applyProtection="1">
      <alignment horizontal="left" vertical="center"/>
    </xf>
    <xf numFmtId="0" fontId="8" fillId="0" borderId="78" xfId="0" applyNumberFormat="1" applyFont="1" applyFill="1" applyBorder="1" applyAlignment="1" applyProtection="1">
      <alignment horizontal="left" vertical="center"/>
    </xf>
    <xf numFmtId="4" fontId="8" fillId="0" borderId="80" xfId="0" applyNumberFormat="1" applyFont="1" applyFill="1" applyBorder="1" applyAlignment="1" applyProtection="1">
      <alignment horizontal="right" vertical="center"/>
    </xf>
    <xf numFmtId="0" fontId="8" fillId="0" borderId="77" xfId="0" applyNumberFormat="1" applyFont="1" applyFill="1" applyBorder="1" applyAlignment="1" applyProtection="1">
      <alignment horizontal="right" vertical="center"/>
    </xf>
    <xf numFmtId="0" fontId="8" fillId="0" borderId="78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A13" workbookViewId="0">
      <selection sqref="A1:I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67" t="s">
        <v>133</v>
      </c>
      <c r="B1" s="68"/>
      <c r="C1" s="68"/>
      <c r="D1" s="68"/>
      <c r="E1" s="68"/>
      <c r="F1" s="68"/>
      <c r="G1" s="68"/>
      <c r="H1" s="68"/>
      <c r="I1" s="68"/>
    </row>
    <row r="2" spans="1:9" x14ac:dyDescent="0.25">
      <c r="A2" s="69" t="s">
        <v>1</v>
      </c>
      <c r="B2" s="70"/>
      <c r="C2" s="79" t="str">
        <f>'Stavební rozpočet'!C2</f>
        <v>Stavební úpravy bytového domu - STAVEBNÍ ÚPRAVY 1.PP-doplněk</v>
      </c>
      <c r="D2" s="80"/>
      <c r="E2" s="74" t="s">
        <v>5</v>
      </c>
      <c r="F2" s="74" t="str">
        <f>'Stavební rozpočet'!I2</f>
        <v>Město Bohumín, Masarykova158, 735 81 Bohumín</v>
      </c>
      <c r="G2" s="70"/>
      <c r="H2" s="74" t="s">
        <v>134</v>
      </c>
      <c r="I2" s="76" t="s">
        <v>135</v>
      </c>
    </row>
    <row r="3" spans="1:9" ht="25.5" customHeight="1" x14ac:dyDescent="0.25">
      <c r="A3" s="71"/>
      <c r="B3" s="72"/>
      <c r="C3" s="81"/>
      <c r="D3" s="81"/>
      <c r="E3" s="72"/>
      <c r="F3" s="72"/>
      <c r="G3" s="72"/>
      <c r="H3" s="72"/>
      <c r="I3" s="77"/>
    </row>
    <row r="4" spans="1:9" x14ac:dyDescent="0.25">
      <c r="A4" s="73" t="s">
        <v>7</v>
      </c>
      <c r="B4" s="72"/>
      <c r="C4" s="75" t="str">
        <f>'Stavební rozpočet'!C4</f>
        <v>Budova pro bydlení</v>
      </c>
      <c r="D4" s="72"/>
      <c r="E4" s="75" t="s">
        <v>10</v>
      </c>
      <c r="F4" s="75" t="str">
        <f>'Stavební rozpočet'!I4</f>
        <v>Ing. Stanislav Wilczek</v>
      </c>
      <c r="G4" s="72"/>
      <c r="H4" s="75" t="s">
        <v>134</v>
      </c>
      <c r="I4" s="77" t="s">
        <v>136</v>
      </c>
    </row>
    <row r="5" spans="1:9" ht="15" customHeight="1" x14ac:dyDescent="0.25">
      <c r="A5" s="71"/>
      <c r="B5" s="72"/>
      <c r="C5" s="72"/>
      <c r="D5" s="72"/>
      <c r="E5" s="72"/>
      <c r="F5" s="72"/>
      <c r="G5" s="72"/>
      <c r="H5" s="72"/>
      <c r="I5" s="77"/>
    </row>
    <row r="6" spans="1:9" x14ac:dyDescent="0.25">
      <c r="A6" s="73" t="s">
        <v>12</v>
      </c>
      <c r="B6" s="72"/>
      <c r="C6" s="75" t="str">
        <f>'Stavební rozpočet'!C6</f>
        <v>Partyzánská 302, Bohumín – Pudlov</v>
      </c>
      <c r="D6" s="72"/>
      <c r="E6" s="75" t="s">
        <v>15</v>
      </c>
      <c r="F6" s="75" t="str">
        <f>'Stavební rozpočet'!I6</f>
        <v> </v>
      </c>
      <c r="G6" s="72"/>
      <c r="H6" s="75" t="s">
        <v>134</v>
      </c>
      <c r="I6" s="77" t="s">
        <v>51</v>
      </c>
    </row>
    <row r="7" spans="1:9" ht="15" customHeight="1" x14ac:dyDescent="0.25">
      <c r="A7" s="71"/>
      <c r="B7" s="72"/>
      <c r="C7" s="72"/>
      <c r="D7" s="72"/>
      <c r="E7" s="72"/>
      <c r="F7" s="72"/>
      <c r="G7" s="72"/>
      <c r="H7" s="72"/>
      <c r="I7" s="77"/>
    </row>
    <row r="8" spans="1:9" x14ac:dyDescent="0.25">
      <c r="A8" s="73" t="s">
        <v>9</v>
      </c>
      <c r="B8" s="72"/>
      <c r="C8" s="75">
        <f>'Stavební rozpočet'!G4</f>
        <v>0</v>
      </c>
      <c r="D8" s="72"/>
      <c r="E8" s="75" t="s">
        <v>14</v>
      </c>
      <c r="F8" s="75"/>
      <c r="G8" s="72"/>
      <c r="H8" s="72" t="s">
        <v>137</v>
      </c>
      <c r="I8" s="78">
        <v>16</v>
      </c>
    </row>
    <row r="9" spans="1:9" x14ac:dyDescent="0.25">
      <c r="A9" s="71"/>
      <c r="B9" s="72"/>
      <c r="C9" s="72"/>
      <c r="D9" s="72"/>
      <c r="E9" s="72"/>
      <c r="F9" s="72"/>
      <c r="G9" s="72"/>
      <c r="H9" s="72"/>
      <c r="I9" s="77"/>
    </row>
    <row r="10" spans="1:9" x14ac:dyDescent="0.25">
      <c r="A10" s="73" t="s">
        <v>17</v>
      </c>
      <c r="B10" s="72"/>
      <c r="C10" s="75" t="str">
        <f>'Stavební rozpočet'!C8</f>
        <v xml:space="preserve"> </v>
      </c>
      <c r="D10" s="72"/>
      <c r="E10" s="75" t="s">
        <v>21</v>
      </c>
      <c r="F10" s="75" t="str">
        <f>'Stavební rozpočet'!I8</f>
        <v>Ing. Stanislav Wilczek</v>
      </c>
      <c r="G10" s="72"/>
      <c r="H10" s="72" t="s">
        <v>138</v>
      </c>
      <c r="I10" s="83" t="str">
        <f>'Stavební rozpočet'!G8</f>
        <v>19.02.2025</v>
      </c>
    </row>
    <row r="11" spans="1:9" x14ac:dyDescent="0.25">
      <c r="A11" s="88"/>
      <c r="B11" s="82"/>
      <c r="C11" s="82"/>
      <c r="D11" s="82"/>
      <c r="E11" s="82"/>
      <c r="F11" s="82"/>
      <c r="G11" s="82"/>
      <c r="H11" s="82"/>
      <c r="I11" s="84"/>
    </row>
    <row r="12" spans="1:9" ht="23.25" x14ac:dyDescent="0.25">
      <c r="A12" s="85" t="s">
        <v>139</v>
      </c>
      <c r="B12" s="85"/>
      <c r="C12" s="85"/>
      <c r="D12" s="85"/>
      <c r="E12" s="85"/>
      <c r="F12" s="85"/>
      <c r="G12" s="85"/>
      <c r="H12" s="85"/>
      <c r="I12" s="85"/>
    </row>
    <row r="13" spans="1:9" ht="26.25" customHeight="1" x14ac:dyDescent="0.25">
      <c r="A13" s="45" t="s">
        <v>140</v>
      </c>
      <c r="B13" s="86" t="s">
        <v>141</v>
      </c>
      <c r="C13" s="87"/>
      <c r="D13" s="46" t="s">
        <v>142</v>
      </c>
      <c r="E13" s="86" t="s">
        <v>143</v>
      </c>
      <c r="F13" s="87"/>
      <c r="G13" s="46" t="s">
        <v>144</v>
      </c>
      <c r="H13" s="86" t="s">
        <v>145</v>
      </c>
      <c r="I13" s="87"/>
    </row>
    <row r="14" spans="1:9" ht="15.75" x14ac:dyDescent="0.25">
      <c r="A14" s="47" t="s">
        <v>146</v>
      </c>
      <c r="B14" s="48" t="s">
        <v>147</v>
      </c>
      <c r="C14" s="49">
        <f>SUM('Stavební rozpočet'!AB12:AB34)</f>
        <v>0</v>
      </c>
      <c r="D14" s="95" t="s">
        <v>148</v>
      </c>
      <c r="E14" s="96"/>
      <c r="F14" s="49">
        <f>VORN!I15</f>
        <v>0</v>
      </c>
      <c r="G14" s="95" t="s">
        <v>149</v>
      </c>
      <c r="H14" s="96"/>
      <c r="I14" s="50">
        <f>VORN!I21</f>
        <v>0</v>
      </c>
    </row>
    <row r="15" spans="1:9" ht="15.75" x14ac:dyDescent="0.25">
      <c r="A15" s="51" t="s">
        <v>51</v>
      </c>
      <c r="B15" s="48" t="s">
        <v>36</v>
      </c>
      <c r="C15" s="49">
        <f>SUM('Stavební rozpočet'!AC12:AC34)</f>
        <v>0</v>
      </c>
      <c r="D15" s="95" t="s">
        <v>150</v>
      </c>
      <c r="E15" s="96"/>
      <c r="F15" s="49">
        <f>VORN!I16</f>
        <v>0</v>
      </c>
      <c r="G15" s="95" t="s">
        <v>151</v>
      </c>
      <c r="H15" s="96"/>
      <c r="I15" s="50">
        <f>VORN!I22</f>
        <v>0</v>
      </c>
    </row>
    <row r="16" spans="1:9" ht="15.75" x14ac:dyDescent="0.25">
      <c r="A16" s="47" t="s">
        <v>152</v>
      </c>
      <c r="B16" s="48" t="s">
        <v>147</v>
      </c>
      <c r="C16" s="49">
        <f>SUM('Stavební rozpočet'!AD12:AD34)</f>
        <v>0</v>
      </c>
      <c r="D16" s="95" t="s">
        <v>153</v>
      </c>
      <c r="E16" s="96"/>
      <c r="F16" s="49">
        <f>VORN!I17</f>
        <v>0</v>
      </c>
      <c r="G16" s="95" t="s">
        <v>154</v>
      </c>
      <c r="H16" s="96"/>
      <c r="I16" s="50">
        <f>VORN!I23</f>
        <v>0</v>
      </c>
    </row>
    <row r="17" spans="1:9" ht="15.75" x14ac:dyDescent="0.25">
      <c r="A17" s="51" t="s">
        <v>51</v>
      </c>
      <c r="B17" s="48" t="s">
        <v>36</v>
      </c>
      <c r="C17" s="49">
        <f>SUM('Stavební rozpočet'!AE12:AE34)</f>
        <v>0</v>
      </c>
      <c r="D17" s="95" t="s">
        <v>51</v>
      </c>
      <c r="E17" s="96"/>
      <c r="F17" s="50" t="s">
        <v>51</v>
      </c>
      <c r="G17" s="95" t="s">
        <v>155</v>
      </c>
      <c r="H17" s="96"/>
      <c r="I17" s="50">
        <f>VORN!I24</f>
        <v>0</v>
      </c>
    </row>
    <row r="18" spans="1:9" ht="15.75" x14ac:dyDescent="0.25">
      <c r="A18" s="47" t="s">
        <v>156</v>
      </c>
      <c r="B18" s="48" t="s">
        <v>147</v>
      </c>
      <c r="C18" s="49">
        <f>SUM('Stavební rozpočet'!AF12:AF34)</f>
        <v>0</v>
      </c>
      <c r="D18" s="95" t="s">
        <v>51</v>
      </c>
      <c r="E18" s="96"/>
      <c r="F18" s="50" t="s">
        <v>51</v>
      </c>
      <c r="G18" s="95" t="s">
        <v>157</v>
      </c>
      <c r="H18" s="96"/>
      <c r="I18" s="50">
        <f>VORN!I25</f>
        <v>0</v>
      </c>
    </row>
    <row r="19" spans="1:9" ht="15.75" x14ac:dyDescent="0.25">
      <c r="A19" s="51" t="s">
        <v>51</v>
      </c>
      <c r="B19" s="48" t="s">
        <v>36</v>
      </c>
      <c r="C19" s="49">
        <f>SUM('Stavební rozpočet'!AG12:AG34)</f>
        <v>0</v>
      </c>
      <c r="D19" s="95" t="s">
        <v>51</v>
      </c>
      <c r="E19" s="96"/>
      <c r="F19" s="50" t="s">
        <v>51</v>
      </c>
      <c r="G19" s="95" t="s">
        <v>158</v>
      </c>
      <c r="H19" s="96"/>
      <c r="I19" s="50">
        <f>VORN!I26</f>
        <v>0</v>
      </c>
    </row>
    <row r="20" spans="1:9" ht="15.75" x14ac:dyDescent="0.25">
      <c r="A20" s="89" t="s">
        <v>159</v>
      </c>
      <c r="B20" s="90"/>
      <c r="C20" s="49">
        <f>SUM('Stavební rozpočet'!AH12:AH34)</f>
        <v>0</v>
      </c>
      <c r="D20" s="95" t="s">
        <v>51</v>
      </c>
      <c r="E20" s="96"/>
      <c r="F20" s="50" t="s">
        <v>51</v>
      </c>
      <c r="G20" s="95" t="s">
        <v>51</v>
      </c>
      <c r="H20" s="96"/>
      <c r="I20" s="50" t="s">
        <v>51</v>
      </c>
    </row>
    <row r="21" spans="1:9" ht="15.75" x14ac:dyDescent="0.25">
      <c r="A21" s="91" t="s">
        <v>160</v>
      </c>
      <c r="B21" s="92"/>
      <c r="C21" s="52">
        <f>SUM('Stavební rozpočet'!Z12:Z34)</f>
        <v>0</v>
      </c>
      <c r="D21" s="97" t="s">
        <v>51</v>
      </c>
      <c r="E21" s="98"/>
      <c r="F21" s="53" t="s">
        <v>51</v>
      </c>
      <c r="G21" s="97" t="s">
        <v>51</v>
      </c>
      <c r="H21" s="98"/>
      <c r="I21" s="53" t="s">
        <v>51</v>
      </c>
    </row>
    <row r="22" spans="1:9" ht="16.5" customHeight="1" x14ac:dyDescent="0.25">
      <c r="A22" s="93" t="s">
        <v>161</v>
      </c>
      <c r="B22" s="94"/>
      <c r="C22" s="54">
        <f>ROUND(SUM(C14:C21),0)</f>
        <v>0</v>
      </c>
      <c r="D22" s="99" t="s">
        <v>162</v>
      </c>
      <c r="E22" s="94"/>
      <c r="F22" s="54">
        <f>SUM(F14:F21)</f>
        <v>0</v>
      </c>
      <c r="G22" s="99" t="s">
        <v>163</v>
      </c>
      <c r="H22" s="94"/>
      <c r="I22" s="54">
        <f>SUM(I14:I21)</f>
        <v>0</v>
      </c>
    </row>
    <row r="23" spans="1:9" ht="15.75" x14ac:dyDescent="0.25">
      <c r="D23" s="89" t="s">
        <v>164</v>
      </c>
      <c r="E23" s="90"/>
      <c r="F23" s="55">
        <v>0</v>
      </c>
      <c r="G23" s="100" t="s">
        <v>165</v>
      </c>
      <c r="H23" s="90"/>
      <c r="I23" s="49">
        <v>0</v>
      </c>
    </row>
    <row r="24" spans="1:9" ht="15.75" x14ac:dyDescent="0.25">
      <c r="G24" s="89" t="s">
        <v>166</v>
      </c>
      <c r="H24" s="90"/>
      <c r="I24" s="52">
        <f>vorn_sum</f>
        <v>0</v>
      </c>
    </row>
    <row r="25" spans="1:9" ht="15.75" x14ac:dyDescent="0.25">
      <c r="G25" s="89" t="s">
        <v>167</v>
      </c>
      <c r="H25" s="90"/>
      <c r="I25" s="54">
        <v>0</v>
      </c>
    </row>
    <row r="27" spans="1:9" ht="15.75" x14ac:dyDescent="0.25">
      <c r="A27" s="101" t="s">
        <v>168</v>
      </c>
      <c r="B27" s="102"/>
      <c r="C27" s="56">
        <f>ROUND(SUM('Stavební rozpočet'!AJ12:AJ34),0)</f>
        <v>0</v>
      </c>
    </row>
    <row r="28" spans="1:9" ht="15.75" x14ac:dyDescent="0.25">
      <c r="A28" s="103" t="s">
        <v>169</v>
      </c>
      <c r="B28" s="104"/>
      <c r="C28" s="57">
        <f>ROUND(SUM('Stavební rozpočet'!AK12:AK34)+(F22+I22+F23+I23+I24+I25),0)</f>
        <v>0</v>
      </c>
      <c r="D28" s="105" t="s">
        <v>170</v>
      </c>
      <c r="E28" s="102"/>
      <c r="F28" s="56">
        <f>ROUND(C28*(12/100),2)</f>
        <v>0</v>
      </c>
      <c r="G28" s="105" t="s">
        <v>171</v>
      </c>
      <c r="H28" s="102"/>
      <c r="I28" s="56">
        <f>ROUND(SUM(C27:C29),0)</f>
        <v>0</v>
      </c>
    </row>
    <row r="29" spans="1:9" ht="15.75" x14ac:dyDescent="0.25">
      <c r="A29" s="103" t="s">
        <v>172</v>
      </c>
      <c r="B29" s="104"/>
      <c r="C29" s="57">
        <f>ROUND(SUM('Stavební rozpočet'!AL12:AL34),0)</f>
        <v>0</v>
      </c>
      <c r="D29" s="106" t="s">
        <v>173</v>
      </c>
      <c r="E29" s="104"/>
      <c r="F29" s="57">
        <f>ROUND(C29*(21/100),2)</f>
        <v>0</v>
      </c>
      <c r="G29" s="106" t="s">
        <v>174</v>
      </c>
      <c r="H29" s="104"/>
      <c r="I29" s="57">
        <f>ROUND(SUM(F28:F29)+I28,0)</f>
        <v>0</v>
      </c>
    </row>
    <row r="31" spans="1:9" x14ac:dyDescent="0.25">
      <c r="A31" s="116" t="s">
        <v>175</v>
      </c>
      <c r="B31" s="108"/>
      <c r="C31" s="109"/>
      <c r="D31" s="107" t="s">
        <v>176</v>
      </c>
      <c r="E31" s="108"/>
      <c r="F31" s="109"/>
      <c r="G31" s="107" t="s">
        <v>177</v>
      </c>
      <c r="H31" s="108"/>
      <c r="I31" s="109"/>
    </row>
    <row r="32" spans="1:9" x14ac:dyDescent="0.25">
      <c r="A32" s="117" t="s">
        <v>51</v>
      </c>
      <c r="B32" s="111"/>
      <c r="C32" s="112"/>
      <c r="D32" s="110" t="s">
        <v>51</v>
      </c>
      <c r="E32" s="111"/>
      <c r="F32" s="112"/>
      <c r="G32" s="110" t="s">
        <v>51</v>
      </c>
      <c r="H32" s="111"/>
      <c r="I32" s="112"/>
    </row>
    <row r="33" spans="1:9" x14ac:dyDescent="0.25">
      <c r="A33" s="117" t="s">
        <v>51</v>
      </c>
      <c r="B33" s="111"/>
      <c r="C33" s="112"/>
      <c r="D33" s="110" t="s">
        <v>51</v>
      </c>
      <c r="E33" s="111"/>
      <c r="F33" s="112"/>
      <c r="G33" s="110" t="s">
        <v>51</v>
      </c>
      <c r="H33" s="111"/>
      <c r="I33" s="112"/>
    </row>
    <row r="34" spans="1:9" x14ac:dyDescent="0.25">
      <c r="A34" s="117" t="s">
        <v>51</v>
      </c>
      <c r="B34" s="111"/>
      <c r="C34" s="112"/>
      <c r="D34" s="110" t="s">
        <v>51</v>
      </c>
      <c r="E34" s="111"/>
      <c r="F34" s="112"/>
      <c r="G34" s="110" t="s">
        <v>51</v>
      </c>
      <c r="H34" s="111"/>
      <c r="I34" s="112"/>
    </row>
    <row r="35" spans="1:9" x14ac:dyDescent="0.25">
      <c r="A35" s="118" t="s">
        <v>178</v>
      </c>
      <c r="B35" s="114"/>
      <c r="C35" s="115"/>
      <c r="D35" s="113" t="s">
        <v>178</v>
      </c>
      <c r="E35" s="114"/>
      <c r="F35" s="115"/>
      <c r="G35" s="113" t="s">
        <v>178</v>
      </c>
      <c r="H35" s="114"/>
      <c r="I35" s="115"/>
    </row>
    <row r="36" spans="1:9" x14ac:dyDescent="0.25">
      <c r="A36" s="58" t="s">
        <v>130</v>
      </c>
    </row>
    <row r="37" spans="1:9" ht="12.75" customHeight="1" x14ac:dyDescent="0.25">
      <c r="A37" s="75" t="s">
        <v>51</v>
      </c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37"/>
  <sheetViews>
    <sheetView tabSelected="1" workbookViewId="0">
      <pane ySplit="11" topLeftCell="A12" activePane="bottomLeft" state="frozen"/>
      <selection pane="bottomLeft" activeCell="G13" sqref="G13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4.42578125" customWidth="1"/>
    <col min="6" max="6" width="12.85546875" customWidth="1"/>
    <col min="7" max="7" width="12" customWidth="1"/>
    <col min="8" max="10" width="15.7109375" customWidth="1"/>
    <col min="11" max="12" width="11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69" t="s">
        <v>1</v>
      </c>
      <c r="B2" s="70"/>
      <c r="C2" s="79" t="s">
        <v>2</v>
      </c>
      <c r="D2" s="80"/>
      <c r="E2" s="70" t="s">
        <v>3</v>
      </c>
      <c r="F2" s="70"/>
      <c r="G2" s="70" t="s">
        <v>4</v>
      </c>
      <c r="H2" s="74" t="s">
        <v>5</v>
      </c>
      <c r="I2" s="74" t="s">
        <v>6</v>
      </c>
      <c r="J2" s="70"/>
      <c r="K2" s="70"/>
      <c r="L2" s="76"/>
    </row>
    <row r="3" spans="1:76" x14ac:dyDescent="0.25">
      <c r="A3" s="71"/>
      <c r="B3" s="72"/>
      <c r="C3" s="81"/>
      <c r="D3" s="81"/>
      <c r="E3" s="72"/>
      <c r="F3" s="72"/>
      <c r="G3" s="72"/>
      <c r="H3" s="72"/>
      <c r="I3" s="72"/>
      <c r="J3" s="72"/>
      <c r="K3" s="72"/>
      <c r="L3" s="77"/>
    </row>
    <row r="4" spans="1:76" x14ac:dyDescent="0.25">
      <c r="A4" s="73" t="s">
        <v>7</v>
      </c>
      <c r="B4" s="72"/>
      <c r="C4" s="75" t="s">
        <v>8</v>
      </c>
      <c r="D4" s="72"/>
      <c r="E4" s="72" t="s">
        <v>9</v>
      </c>
      <c r="F4" s="72"/>
      <c r="G4" s="72"/>
      <c r="H4" s="75" t="s">
        <v>10</v>
      </c>
      <c r="I4" s="75" t="s">
        <v>11</v>
      </c>
      <c r="J4" s="72"/>
      <c r="K4" s="72"/>
      <c r="L4" s="77"/>
    </row>
    <row r="5" spans="1:76" x14ac:dyDescent="0.25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7"/>
    </row>
    <row r="6" spans="1:76" x14ac:dyDescent="0.25">
      <c r="A6" s="73" t="s">
        <v>12</v>
      </c>
      <c r="B6" s="72"/>
      <c r="C6" s="75" t="s">
        <v>13</v>
      </c>
      <c r="D6" s="72"/>
      <c r="E6" s="72" t="s">
        <v>14</v>
      </c>
      <c r="F6" s="72"/>
      <c r="G6" s="72"/>
      <c r="H6" s="75" t="s">
        <v>15</v>
      </c>
      <c r="I6" s="72" t="s">
        <v>16</v>
      </c>
      <c r="J6" s="72"/>
      <c r="K6" s="72"/>
      <c r="L6" s="77"/>
    </row>
    <row r="7" spans="1:76" x14ac:dyDescent="0.25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7"/>
    </row>
    <row r="8" spans="1:76" x14ac:dyDescent="0.25">
      <c r="A8" s="73" t="s">
        <v>17</v>
      </c>
      <c r="B8" s="72"/>
      <c r="C8" s="75" t="s">
        <v>18</v>
      </c>
      <c r="D8" s="72"/>
      <c r="E8" s="72" t="s">
        <v>19</v>
      </c>
      <c r="F8" s="72"/>
      <c r="G8" s="72" t="s">
        <v>20</v>
      </c>
      <c r="H8" s="75" t="s">
        <v>21</v>
      </c>
      <c r="I8" s="75" t="s">
        <v>11</v>
      </c>
      <c r="J8" s="72"/>
      <c r="K8" s="72"/>
      <c r="L8" s="77"/>
    </row>
    <row r="9" spans="1:76" x14ac:dyDescent="0.25">
      <c r="A9" s="119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1"/>
    </row>
    <row r="10" spans="1:76" x14ac:dyDescent="0.25">
      <c r="A10" s="5" t="s">
        <v>22</v>
      </c>
      <c r="B10" s="6" t="s">
        <v>23</v>
      </c>
      <c r="C10" s="122" t="s">
        <v>24</v>
      </c>
      <c r="D10" s="123"/>
      <c r="E10" s="6" t="s">
        <v>25</v>
      </c>
      <c r="F10" s="7" t="s">
        <v>26</v>
      </c>
      <c r="G10" s="8" t="s">
        <v>27</v>
      </c>
      <c r="H10" s="126" t="s">
        <v>28</v>
      </c>
      <c r="I10" s="127"/>
      <c r="J10" s="128"/>
      <c r="K10" s="129" t="s">
        <v>29</v>
      </c>
      <c r="L10" s="130"/>
      <c r="BK10" s="9" t="s">
        <v>30</v>
      </c>
      <c r="BL10" s="10" t="s">
        <v>31</v>
      </c>
      <c r="BW10" s="10" t="s">
        <v>32</v>
      </c>
    </row>
    <row r="11" spans="1:76" x14ac:dyDescent="0.25">
      <c r="A11" s="11" t="s">
        <v>18</v>
      </c>
      <c r="B11" s="12" t="s">
        <v>18</v>
      </c>
      <c r="C11" s="124" t="s">
        <v>33</v>
      </c>
      <c r="D11" s="125"/>
      <c r="E11" s="12" t="s">
        <v>18</v>
      </c>
      <c r="F11" s="12" t="s">
        <v>18</v>
      </c>
      <c r="G11" s="13" t="s">
        <v>34</v>
      </c>
      <c r="H11" s="14" t="s">
        <v>35</v>
      </c>
      <c r="I11" s="15" t="s">
        <v>36</v>
      </c>
      <c r="J11" s="16" t="s">
        <v>37</v>
      </c>
      <c r="K11" s="17" t="s">
        <v>38</v>
      </c>
      <c r="L11" s="15" t="s">
        <v>37</v>
      </c>
      <c r="Z11" s="9" t="s">
        <v>39</v>
      </c>
      <c r="AA11" s="9" t="s">
        <v>40</v>
      </c>
      <c r="AB11" s="9" t="s">
        <v>41</v>
      </c>
      <c r="AC11" s="9" t="s">
        <v>42</v>
      </c>
      <c r="AD11" s="9" t="s">
        <v>43</v>
      </c>
      <c r="AE11" s="9" t="s">
        <v>44</v>
      </c>
      <c r="AF11" s="9" t="s">
        <v>45</v>
      </c>
      <c r="AG11" s="9" t="s">
        <v>46</v>
      </c>
      <c r="AH11" s="9" t="s">
        <v>47</v>
      </c>
      <c r="BH11" s="9" t="s">
        <v>48</v>
      </c>
      <c r="BI11" s="9" t="s">
        <v>49</v>
      </c>
      <c r="BJ11" s="9" t="s">
        <v>50</v>
      </c>
    </row>
    <row r="12" spans="1:76" x14ac:dyDescent="0.25">
      <c r="A12" s="18" t="s">
        <v>51</v>
      </c>
      <c r="B12" s="19" t="s">
        <v>52</v>
      </c>
      <c r="C12" s="131" t="s">
        <v>53</v>
      </c>
      <c r="D12" s="132"/>
      <c r="E12" s="20" t="s">
        <v>18</v>
      </c>
      <c r="F12" s="20" t="s">
        <v>18</v>
      </c>
      <c r="G12" s="20" t="s">
        <v>18</v>
      </c>
      <c r="H12" s="21">
        <f>SUM(H13:H16)</f>
        <v>0</v>
      </c>
      <c r="I12" s="21">
        <f>SUM(I13:I16)</f>
        <v>0</v>
      </c>
      <c r="J12" s="21">
        <f>SUM(J13:J16)</f>
        <v>0</v>
      </c>
      <c r="K12" s="22" t="s">
        <v>51</v>
      </c>
      <c r="L12" s="23">
        <f>SUM(L13:L16)</f>
        <v>0.71196599999999999</v>
      </c>
      <c r="AI12" s="9" t="s">
        <v>51</v>
      </c>
      <c r="AS12" s="1">
        <f>SUM(AJ13:AJ16)</f>
        <v>0</v>
      </c>
      <c r="AT12" s="1">
        <f>SUM(AK13:AK16)</f>
        <v>0</v>
      </c>
      <c r="AU12" s="1">
        <f>SUM(AL13:AL16)</f>
        <v>0</v>
      </c>
    </row>
    <row r="13" spans="1:76" x14ac:dyDescent="0.25">
      <c r="A13" s="2" t="s">
        <v>54</v>
      </c>
      <c r="B13" s="3" t="s">
        <v>55</v>
      </c>
      <c r="C13" s="75" t="s">
        <v>56</v>
      </c>
      <c r="D13" s="72"/>
      <c r="E13" s="3" t="s">
        <v>57</v>
      </c>
      <c r="F13" s="24">
        <v>0.3</v>
      </c>
      <c r="G13" s="24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4">
        <v>0.74602000000000002</v>
      </c>
      <c r="L13" s="25">
        <f>F13*K13</f>
        <v>0.223806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9" t="s">
        <v>51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12</v>
      </c>
      <c r="AO13" s="24">
        <f>G13*0.581244906</f>
        <v>0</v>
      </c>
      <c r="AP13" s="24">
        <f>G13*(1-0.581244906)</f>
        <v>0</v>
      </c>
      <c r="AQ13" s="26" t="s">
        <v>54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58</v>
      </c>
      <c r="AZ13" s="26" t="s">
        <v>59</v>
      </c>
      <c r="BA13" s="9" t="s">
        <v>60</v>
      </c>
      <c r="BC13" s="24">
        <f>AW13+AX13</f>
        <v>0</v>
      </c>
      <c r="BD13" s="24">
        <f>G13/(100-BE13)*100</f>
        <v>0</v>
      </c>
      <c r="BE13" s="24">
        <v>0</v>
      </c>
      <c r="BF13" s="24">
        <f>L13</f>
        <v>0.223806</v>
      </c>
      <c r="BH13" s="24">
        <f>F13*AO13</f>
        <v>0</v>
      </c>
      <c r="BI13" s="24">
        <f>F13*AP13</f>
        <v>0</v>
      </c>
      <c r="BJ13" s="24">
        <f>F13*G13</f>
        <v>0</v>
      </c>
      <c r="BK13" s="24"/>
      <c r="BL13" s="24">
        <v>31</v>
      </c>
      <c r="BW13" s="24">
        <v>12</v>
      </c>
      <c r="BX13" s="4" t="s">
        <v>56</v>
      </c>
    </row>
    <row r="14" spans="1:76" x14ac:dyDescent="0.25">
      <c r="A14" s="2" t="s">
        <v>61</v>
      </c>
      <c r="B14" s="3" t="s">
        <v>62</v>
      </c>
      <c r="C14" s="75" t="s">
        <v>191</v>
      </c>
      <c r="D14" s="72"/>
      <c r="E14" s="3" t="s">
        <v>64</v>
      </c>
      <c r="F14" s="24">
        <v>3</v>
      </c>
      <c r="G14" s="24">
        <v>0</v>
      </c>
      <c r="H14" s="24">
        <f>ROUND(F14*AO14,2)</f>
        <v>0</v>
      </c>
      <c r="I14" s="24">
        <f>ROUND(F14*AP14,2)</f>
        <v>0</v>
      </c>
      <c r="J14" s="24">
        <f>ROUND(F14*G14,2)</f>
        <v>0</v>
      </c>
      <c r="K14" s="24">
        <v>0.11122</v>
      </c>
      <c r="L14" s="25">
        <f>F14*K14</f>
        <v>0.33366000000000001</v>
      </c>
      <c r="Z14" s="24">
        <f>ROUND(IF(AQ14="5",BJ14,0),2)</f>
        <v>0</v>
      </c>
      <c r="AB14" s="24">
        <f>ROUND(IF(AQ14="1",BH14,0),2)</f>
        <v>0</v>
      </c>
      <c r="AC14" s="24">
        <f>ROUND(IF(AQ14="1",BI14,0),2)</f>
        <v>0</v>
      </c>
      <c r="AD14" s="24">
        <f>ROUND(IF(AQ14="7",BH14,0),2)</f>
        <v>0</v>
      </c>
      <c r="AE14" s="24">
        <f>ROUND(IF(AQ14="7",BI14,0),2)</f>
        <v>0</v>
      </c>
      <c r="AF14" s="24">
        <f>ROUND(IF(AQ14="2",BH14,0),2)</f>
        <v>0</v>
      </c>
      <c r="AG14" s="24">
        <f>ROUND(IF(AQ14="2",BI14,0),2)</f>
        <v>0</v>
      </c>
      <c r="AH14" s="24">
        <f>ROUND(IF(AQ14="0",BJ14,0),2)</f>
        <v>0</v>
      </c>
      <c r="AI14" s="9" t="s">
        <v>51</v>
      </c>
      <c r="AJ14" s="24">
        <f>IF(AN14=0,J14,0)</f>
        <v>0</v>
      </c>
      <c r="AK14" s="24">
        <f>IF(AN14=12,J14,0)</f>
        <v>0</v>
      </c>
      <c r="AL14" s="24">
        <f>IF(AN14=21,J14,0)</f>
        <v>0</v>
      </c>
      <c r="AN14" s="24">
        <v>12</v>
      </c>
      <c r="AO14" s="24">
        <f>G14*0.595391629</f>
        <v>0</v>
      </c>
      <c r="AP14" s="24">
        <f>G14*(1-0.595391629)</f>
        <v>0</v>
      </c>
      <c r="AQ14" s="26" t="s">
        <v>54</v>
      </c>
      <c r="AV14" s="24">
        <f>ROUND(AW14+AX14,2)</f>
        <v>0</v>
      </c>
      <c r="AW14" s="24">
        <f>ROUND(F14*AO14,2)</f>
        <v>0</v>
      </c>
      <c r="AX14" s="24">
        <f>ROUND(F14*AP14,2)</f>
        <v>0</v>
      </c>
      <c r="AY14" s="26" t="s">
        <v>58</v>
      </c>
      <c r="AZ14" s="26" t="s">
        <v>59</v>
      </c>
      <c r="BA14" s="9" t="s">
        <v>60</v>
      </c>
      <c r="BC14" s="24">
        <f>AW14+AX14</f>
        <v>0</v>
      </c>
      <c r="BD14" s="24">
        <f>G14/(100-BE14)*100</f>
        <v>0</v>
      </c>
      <c r="BE14" s="24">
        <v>0</v>
      </c>
      <c r="BF14" s="24">
        <f>L14</f>
        <v>0.33366000000000001</v>
      </c>
      <c r="BH14" s="24">
        <f>F14*AO14</f>
        <v>0</v>
      </c>
      <c r="BI14" s="24">
        <f>F14*AP14</f>
        <v>0</v>
      </c>
      <c r="BJ14" s="24">
        <f>F14*G14</f>
        <v>0</v>
      </c>
      <c r="BK14" s="24"/>
      <c r="BL14" s="24">
        <v>31</v>
      </c>
      <c r="BW14" s="24">
        <v>12</v>
      </c>
      <c r="BX14" s="4" t="s">
        <v>63</v>
      </c>
    </row>
    <row r="15" spans="1:76" x14ac:dyDescent="0.25">
      <c r="A15" s="2" t="s">
        <v>65</v>
      </c>
      <c r="B15" s="3" t="s">
        <v>66</v>
      </c>
      <c r="C15" s="75" t="s">
        <v>67</v>
      </c>
      <c r="D15" s="72"/>
      <c r="E15" s="3" t="s">
        <v>64</v>
      </c>
      <c r="F15" s="24">
        <v>1</v>
      </c>
      <c r="G15" s="24">
        <v>0</v>
      </c>
      <c r="H15" s="24">
        <f>ROUND(F15*AO15,2)</f>
        <v>0</v>
      </c>
      <c r="I15" s="24">
        <f>ROUND(F15*AP15,2)</f>
        <v>0</v>
      </c>
      <c r="J15" s="24">
        <f>ROUND(F15*G15,2)</f>
        <v>0</v>
      </c>
      <c r="K15" s="24">
        <v>5.1499999999999997E-2</v>
      </c>
      <c r="L15" s="25">
        <f>F15*K15</f>
        <v>5.1499999999999997E-2</v>
      </c>
      <c r="Z15" s="24">
        <f>ROUND(IF(AQ15="5",BJ15,0),2)</f>
        <v>0</v>
      </c>
      <c r="AB15" s="24">
        <f>ROUND(IF(AQ15="1",BH15,0),2)</f>
        <v>0</v>
      </c>
      <c r="AC15" s="24">
        <f>ROUND(IF(AQ15="1",BI15,0),2)</f>
        <v>0</v>
      </c>
      <c r="AD15" s="24">
        <f>ROUND(IF(AQ15="7",BH15,0),2)</f>
        <v>0</v>
      </c>
      <c r="AE15" s="24">
        <f>ROUND(IF(AQ15="7",BI15,0),2)</f>
        <v>0</v>
      </c>
      <c r="AF15" s="24">
        <f>ROUND(IF(AQ15="2",BH15,0),2)</f>
        <v>0</v>
      </c>
      <c r="AG15" s="24">
        <f>ROUND(IF(AQ15="2",BI15,0),2)</f>
        <v>0</v>
      </c>
      <c r="AH15" s="24">
        <f>ROUND(IF(AQ15="0",BJ15,0),2)</f>
        <v>0</v>
      </c>
      <c r="AI15" s="9" t="s">
        <v>51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12</v>
      </c>
      <c r="AO15" s="24">
        <f>G15*0.512357414</f>
        <v>0</v>
      </c>
      <c r="AP15" s="24">
        <f>G15*(1-0.512357414)</f>
        <v>0</v>
      </c>
      <c r="AQ15" s="26" t="s">
        <v>54</v>
      </c>
      <c r="AV15" s="24">
        <f>ROUND(AW15+AX15,2)</f>
        <v>0</v>
      </c>
      <c r="AW15" s="24">
        <f>ROUND(F15*AO15,2)</f>
        <v>0</v>
      </c>
      <c r="AX15" s="24">
        <f>ROUND(F15*AP15,2)</f>
        <v>0</v>
      </c>
      <c r="AY15" s="26" t="s">
        <v>58</v>
      </c>
      <c r="AZ15" s="26" t="s">
        <v>59</v>
      </c>
      <c r="BA15" s="9" t="s">
        <v>60</v>
      </c>
      <c r="BC15" s="24">
        <f>AW15+AX15</f>
        <v>0</v>
      </c>
      <c r="BD15" s="24">
        <f>G15/(100-BE15)*100</f>
        <v>0</v>
      </c>
      <c r="BE15" s="24">
        <v>0</v>
      </c>
      <c r="BF15" s="24">
        <f>L15</f>
        <v>5.1499999999999997E-2</v>
      </c>
      <c r="BH15" s="24">
        <f>F15*AO15</f>
        <v>0</v>
      </c>
      <c r="BI15" s="24">
        <f>F15*AP15</f>
        <v>0</v>
      </c>
      <c r="BJ15" s="24">
        <f>F15*G15</f>
        <v>0</v>
      </c>
      <c r="BK15" s="24"/>
      <c r="BL15" s="24">
        <v>31</v>
      </c>
      <c r="BW15" s="24">
        <v>12</v>
      </c>
      <c r="BX15" s="4" t="s">
        <v>67</v>
      </c>
    </row>
    <row r="16" spans="1:76" x14ac:dyDescent="0.25">
      <c r="A16" s="2" t="s">
        <v>68</v>
      </c>
      <c r="B16" s="3" t="s">
        <v>66</v>
      </c>
      <c r="C16" s="75" t="s">
        <v>69</v>
      </c>
      <c r="D16" s="72"/>
      <c r="E16" s="3" t="s">
        <v>64</v>
      </c>
      <c r="F16" s="24">
        <v>2</v>
      </c>
      <c r="G16" s="24">
        <v>0</v>
      </c>
      <c r="H16" s="24">
        <f>ROUND(F16*AO16,2)</f>
        <v>0</v>
      </c>
      <c r="I16" s="24">
        <f>ROUND(F16*AP16,2)</f>
        <v>0</v>
      </c>
      <c r="J16" s="24">
        <f>ROUND(F16*G16,2)</f>
        <v>0</v>
      </c>
      <c r="K16" s="24">
        <v>5.1499999999999997E-2</v>
      </c>
      <c r="L16" s="25">
        <f>F16*K16</f>
        <v>0.10299999999999999</v>
      </c>
      <c r="Z16" s="24">
        <f>ROUND(IF(AQ16="5",BJ16,0),2)</f>
        <v>0</v>
      </c>
      <c r="AB16" s="24">
        <f>ROUND(IF(AQ16="1",BH16,0),2)</f>
        <v>0</v>
      </c>
      <c r="AC16" s="24">
        <f>ROUND(IF(AQ16="1",BI16,0),2)</f>
        <v>0</v>
      </c>
      <c r="AD16" s="24">
        <f>ROUND(IF(AQ16="7",BH16,0),2)</f>
        <v>0</v>
      </c>
      <c r="AE16" s="24">
        <f>ROUND(IF(AQ16="7",BI16,0),2)</f>
        <v>0</v>
      </c>
      <c r="AF16" s="24">
        <f>ROUND(IF(AQ16="2",BH16,0),2)</f>
        <v>0</v>
      </c>
      <c r="AG16" s="24">
        <f>ROUND(IF(AQ16="2",BI16,0),2)</f>
        <v>0</v>
      </c>
      <c r="AH16" s="24">
        <f>ROUND(IF(AQ16="0",BJ16,0),2)</f>
        <v>0</v>
      </c>
      <c r="AI16" s="9" t="s">
        <v>51</v>
      </c>
      <c r="AJ16" s="24">
        <f>IF(AN16=0,J16,0)</f>
        <v>0</v>
      </c>
      <c r="AK16" s="24">
        <f>IF(AN16=12,J16,0)</f>
        <v>0</v>
      </c>
      <c r="AL16" s="24">
        <f>IF(AN16=21,J16,0)</f>
        <v>0</v>
      </c>
      <c r="AN16" s="24">
        <v>12</v>
      </c>
      <c r="AO16" s="24">
        <f>G16*0.512293103</f>
        <v>0</v>
      </c>
      <c r="AP16" s="24">
        <f>G16*(1-0.512293103)</f>
        <v>0</v>
      </c>
      <c r="AQ16" s="26" t="s">
        <v>54</v>
      </c>
      <c r="AV16" s="24">
        <f>ROUND(AW16+AX16,2)</f>
        <v>0</v>
      </c>
      <c r="AW16" s="24">
        <f>ROUND(F16*AO16,2)</f>
        <v>0</v>
      </c>
      <c r="AX16" s="24">
        <f>ROUND(F16*AP16,2)</f>
        <v>0</v>
      </c>
      <c r="AY16" s="26" t="s">
        <v>58</v>
      </c>
      <c r="AZ16" s="26" t="s">
        <v>59</v>
      </c>
      <c r="BA16" s="9" t="s">
        <v>60</v>
      </c>
      <c r="BC16" s="24">
        <f>AW16+AX16</f>
        <v>0</v>
      </c>
      <c r="BD16" s="24">
        <f>G16/(100-BE16)*100</f>
        <v>0</v>
      </c>
      <c r="BE16" s="24">
        <v>0</v>
      </c>
      <c r="BF16" s="24">
        <f>L16</f>
        <v>0.10299999999999999</v>
      </c>
      <c r="BH16" s="24">
        <f>F16*AO16</f>
        <v>0</v>
      </c>
      <c r="BI16" s="24">
        <f>F16*AP16</f>
        <v>0</v>
      </c>
      <c r="BJ16" s="24">
        <f>F16*G16</f>
        <v>0</v>
      </c>
      <c r="BK16" s="24"/>
      <c r="BL16" s="24">
        <v>31</v>
      </c>
      <c r="BW16" s="24">
        <v>12</v>
      </c>
      <c r="BX16" s="4" t="s">
        <v>69</v>
      </c>
    </row>
    <row r="17" spans="1:76" x14ac:dyDescent="0.25">
      <c r="A17" s="27" t="s">
        <v>51</v>
      </c>
      <c r="B17" s="28" t="s">
        <v>70</v>
      </c>
      <c r="C17" s="133" t="s">
        <v>71</v>
      </c>
      <c r="D17" s="134"/>
      <c r="E17" s="29" t="s">
        <v>18</v>
      </c>
      <c r="F17" s="29" t="s">
        <v>18</v>
      </c>
      <c r="G17" s="29" t="s">
        <v>18</v>
      </c>
      <c r="H17" s="1">
        <f>SUM(H18:H19)</f>
        <v>0</v>
      </c>
      <c r="I17" s="1">
        <f>SUM(I18:I19)</f>
        <v>0</v>
      </c>
      <c r="J17" s="1">
        <f>SUM(J18:J19)</f>
        <v>0</v>
      </c>
      <c r="K17" s="9" t="s">
        <v>51</v>
      </c>
      <c r="L17" s="30">
        <f>SUM(L18:L19)</f>
        <v>0.63711000000000007</v>
      </c>
      <c r="AI17" s="9" t="s">
        <v>51</v>
      </c>
      <c r="AS17" s="1">
        <f>SUM(AJ18:AJ19)</f>
        <v>0</v>
      </c>
      <c r="AT17" s="1">
        <f>SUM(AK18:AK19)</f>
        <v>0</v>
      </c>
      <c r="AU17" s="1">
        <f>SUM(AL18:AL19)</f>
        <v>0</v>
      </c>
    </row>
    <row r="18" spans="1:76" x14ac:dyDescent="0.25">
      <c r="A18" s="2" t="s">
        <v>72</v>
      </c>
      <c r="B18" s="3" t="s">
        <v>73</v>
      </c>
      <c r="C18" s="75" t="s">
        <v>74</v>
      </c>
      <c r="D18" s="72"/>
      <c r="E18" s="3" t="s">
        <v>75</v>
      </c>
      <c r="F18" s="24">
        <v>3</v>
      </c>
      <c r="G18" s="24">
        <v>0</v>
      </c>
      <c r="H18" s="24">
        <f>ROUND(F18*AO18,2)</f>
        <v>0</v>
      </c>
      <c r="I18" s="24">
        <f>ROUND(F18*AP18,2)</f>
        <v>0</v>
      </c>
      <c r="J18" s="24">
        <f>ROUND(F18*G18,2)</f>
        <v>0</v>
      </c>
      <c r="K18" s="24">
        <v>5.985E-2</v>
      </c>
      <c r="L18" s="25">
        <f>F18*K18</f>
        <v>0.17954999999999999</v>
      </c>
      <c r="Z18" s="24">
        <f>ROUND(IF(AQ18="5",BJ18,0),2)</f>
        <v>0</v>
      </c>
      <c r="AB18" s="24">
        <f>ROUND(IF(AQ18="1",BH18,0),2)</f>
        <v>0</v>
      </c>
      <c r="AC18" s="24">
        <f>ROUND(IF(AQ18="1",BI18,0),2)</f>
        <v>0</v>
      </c>
      <c r="AD18" s="24">
        <f>ROUND(IF(AQ18="7",BH18,0),2)</f>
        <v>0</v>
      </c>
      <c r="AE18" s="24">
        <f>ROUND(IF(AQ18="7",BI18,0),2)</f>
        <v>0</v>
      </c>
      <c r="AF18" s="24">
        <f>ROUND(IF(AQ18="2",BH18,0),2)</f>
        <v>0</v>
      </c>
      <c r="AG18" s="24">
        <f>ROUND(IF(AQ18="2",BI18,0),2)</f>
        <v>0</v>
      </c>
      <c r="AH18" s="24">
        <f>ROUND(IF(AQ18="0",BJ18,0),2)</f>
        <v>0</v>
      </c>
      <c r="AI18" s="9" t="s">
        <v>51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12</v>
      </c>
      <c r="AO18" s="24">
        <f>G18*0.568580815</f>
        <v>0</v>
      </c>
      <c r="AP18" s="24">
        <f>G18*(1-0.568580815)</f>
        <v>0</v>
      </c>
      <c r="AQ18" s="26" t="s">
        <v>54</v>
      </c>
      <c r="AV18" s="24">
        <f>ROUND(AW18+AX18,2)</f>
        <v>0</v>
      </c>
      <c r="AW18" s="24">
        <f>ROUND(F18*AO18,2)</f>
        <v>0</v>
      </c>
      <c r="AX18" s="24">
        <f>ROUND(F18*AP18,2)</f>
        <v>0</v>
      </c>
      <c r="AY18" s="26" t="s">
        <v>76</v>
      </c>
      <c r="AZ18" s="26" t="s">
        <v>77</v>
      </c>
      <c r="BA18" s="9" t="s">
        <v>60</v>
      </c>
      <c r="BC18" s="24">
        <f>AW18+AX18</f>
        <v>0</v>
      </c>
      <c r="BD18" s="24">
        <f>G18/(100-BE18)*100</f>
        <v>0</v>
      </c>
      <c r="BE18" s="24">
        <v>0</v>
      </c>
      <c r="BF18" s="24">
        <f>L18</f>
        <v>0.17954999999999999</v>
      </c>
      <c r="BH18" s="24">
        <f>F18*AO18</f>
        <v>0</v>
      </c>
      <c r="BI18" s="24">
        <f>F18*AP18</f>
        <v>0</v>
      </c>
      <c r="BJ18" s="24">
        <f>F18*G18</f>
        <v>0</v>
      </c>
      <c r="BK18" s="24"/>
      <c r="BL18" s="24">
        <v>63</v>
      </c>
      <c r="BW18" s="24">
        <v>12</v>
      </c>
      <c r="BX18" s="4" t="s">
        <v>74</v>
      </c>
    </row>
    <row r="19" spans="1:76" x14ac:dyDescent="0.25">
      <c r="A19" s="2" t="s">
        <v>78</v>
      </c>
      <c r="B19" s="3" t="s">
        <v>79</v>
      </c>
      <c r="C19" s="75" t="s">
        <v>80</v>
      </c>
      <c r="D19" s="72"/>
      <c r="E19" s="3" t="s">
        <v>75</v>
      </c>
      <c r="F19" s="24">
        <v>18</v>
      </c>
      <c r="G19" s="24">
        <v>0</v>
      </c>
      <c r="H19" s="24">
        <f>ROUND(F19*AO19,2)</f>
        <v>0</v>
      </c>
      <c r="I19" s="24">
        <f>ROUND(F19*AP19,2)</f>
        <v>0</v>
      </c>
      <c r="J19" s="24">
        <f>ROUND(F19*G19,2)</f>
        <v>0</v>
      </c>
      <c r="K19" s="24">
        <v>2.5420000000000002E-2</v>
      </c>
      <c r="L19" s="25">
        <f>F19*K19</f>
        <v>0.45756000000000002</v>
      </c>
      <c r="Z19" s="24">
        <f>ROUND(IF(AQ19="5",BJ19,0),2)</f>
        <v>0</v>
      </c>
      <c r="AB19" s="24">
        <f>ROUND(IF(AQ19="1",BH19,0),2)</f>
        <v>0</v>
      </c>
      <c r="AC19" s="24">
        <f>ROUND(IF(AQ19="1",BI19,0),2)</f>
        <v>0</v>
      </c>
      <c r="AD19" s="24">
        <f>ROUND(IF(AQ19="7",BH19,0),2)</f>
        <v>0</v>
      </c>
      <c r="AE19" s="24">
        <f>ROUND(IF(AQ19="7",BI19,0),2)</f>
        <v>0</v>
      </c>
      <c r="AF19" s="24">
        <f>ROUND(IF(AQ19="2",BH19,0),2)</f>
        <v>0</v>
      </c>
      <c r="AG19" s="24">
        <f>ROUND(IF(AQ19="2",BI19,0),2)</f>
        <v>0</v>
      </c>
      <c r="AH19" s="24">
        <f>ROUND(IF(AQ19="0",BJ19,0),2)</f>
        <v>0</v>
      </c>
      <c r="AI19" s="9" t="s">
        <v>51</v>
      </c>
      <c r="AJ19" s="24">
        <f>IF(AN19=0,J19,0)</f>
        <v>0</v>
      </c>
      <c r="AK19" s="24">
        <f>IF(AN19=12,J19,0)</f>
        <v>0</v>
      </c>
      <c r="AL19" s="24">
        <f>IF(AN19=21,J19,0)</f>
        <v>0</v>
      </c>
      <c r="AN19" s="24">
        <v>12</v>
      </c>
      <c r="AO19" s="24">
        <f>G19*0.091298865</f>
        <v>0</v>
      </c>
      <c r="AP19" s="24">
        <f>G19*(1-0.091298865)</f>
        <v>0</v>
      </c>
      <c r="AQ19" s="26" t="s">
        <v>54</v>
      </c>
      <c r="AV19" s="24">
        <f>ROUND(AW19+AX19,2)</f>
        <v>0</v>
      </c>
      <c r="AW19" s="24">
        <f>ROUND(F19*AO19,2)</f>
        <v>0</v>
      </c>
      <c r="AX19" s="24">
        <f>ROUND(F19*AP19,2)</f>
        <v>0</v>
      </c>
      <c r="AY19" s="26" t="s">
        <v>76</v>
      </c>
      <c r="AZ19" s="26" t="s">
        <v>77</v>
      </c>
      <c r="BA19" s="9" t="s">
        <v>60</v>
      </c>
      <c r="BC19" s="24">
        <f>AW19+AX19</f>
        <v>0</v>
      </c>
      <c r="BD19" s="24">
        <f>G19/(100-BE19)*100</f>
        <v>0</v>
      </c>
      <c r="BE19" s="24">
        <v>0</v>
      </c>
      <c r="BF19" s="24">
        <f>L19</f>
        <v>0.45756000000000002</v>
      </c>
      <c r="BH19" s="24">
        <f>F19*AO19</f>
        <v>0</v>
      </c>
      <c r="BI19" s="24">
        <f>F19*AP19</f>
        <v>0</v>
      </c>
      <c r="BJ19" s="24">
        <f>F19*G19</f>
        <v>0</v>
      </c>
      <c r="BK19" s="24"/>
      <c r="BL19" s="24">
        <v>63</v>
      </c>
      <c r="BW19" s="24">
        <v>12</v>
      </c>
      <c r="BX19" s="4" t="s">
        <v>80</v>
      </c>
    </row>
    <row r="20" spans="1:76" x14ac:dyDescent="0.25">
      <c r="A20" s="27" t="s">
        <v>51</v>
      </c>
      <c r="B20" s="28" t="s">
        <v>81</v>
      </c>
      <c r="C20" s="133" t="s">
        <v>82</v>
      </c>
      <c r="D20" s="134"/>
      <c r="E20" s="29" t="s">
        <v>18</v>
      </c>
      <c r="F20" s="29" t="s">
        <v>18</v>
      </c>
      <c r="G20" s="29" t="s">
        <v>18</v>
      </c>
      <c r="H20" s="1">
        <f>SUM(H21:H22)</f>
        <v>0</v>
      </c>
      <c r="I20" s="1">
        <f>SUM(I21:I22)</f>
        <v>0</v>
      </c>
      <c r="J20" s="1">
        <f>SUM(J21:J22)</f>
        <v>0</v>
      </c>
      <c r="K20" s="9" t="s">
        <v>51</v>
      </c>
      <c r="L20" s="30">
        <f>SUM(L21:L22)</f>
        <v>0.11326</v>
      </c>
      <c r="AI20" s="9" t="s">
        <v>51</v>
      </c>
      <c r="AS20" s="1">
        <f>SUM(AJ21:AJ22)</f>
        <v>0</v>
      </c>
      <c r="AT20" s="1">
        <f>SUM(AK21:AK22)</f>
        <v>0</v>
      </c>
      <c r="AU20" s="1">
        <f>SUM(AL21:AL22)</f>
        <v>0</v>
      </c>
    </row>
    <row r="21" spans="1:76" ht="25.5" x14ac:dyDescent="0.25">
      <c r="A21" s="2" t="s">
        <v>83</v>
      </c>
      <c r="B21" s="3" t="s">
        <v>84</v>
      </c>
      <c r="C21" s="75" t="s">
        <v>85</v>
      </c>
      <c r="D21" s="72"/>
      <c r="E21" s="3" t="s">
        <v>64</v>
      </c>
      <c r="F21" s="24">
        <v>2</v>
      </c>
      <c r="G21" s="24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4">
        <v>3.1469999999999998E-2</v>
      </c>
      <c r="L21" s="25">
        <f>F21*K21</f>
        <v>6.2939999999999996E-2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9" t="s">
        <v>51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12</v>
      </c>
      <c r="AO21" s="24">
        <f>G21*0.74637145</f>
        <v>0</v>
      </c>
      <c r="AP21" s="24">
        <f>G21*(1-0.74637145)</f>
        <v>0</v>
      </c>
      <c r="AQ21" s="26" t="s">
        <v>54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86</v>
      </c>
      <c r="AZ21" s="26" t="s">
        <v>77</v>
      </c>
      <c r="BA21" s="9" t="s">
        <v>60</v>
      </c>
      <c r="BC21" s="24">
        <f>AW21+AX21</f>
        <v>0</v>
      </c>
      <c r="BD21" s="24">
        <f>G21/(100-BE21)*100</f>
        <v>0</v>
      </c>
      <c r="BE21" s="24">
        <v>0</v>
      </c>
      <c r="BF21" s="24">
        <f>L21</f>
        <v>6.2939999999999996E-2</v>
      </c>
      <c r="BH21" s="24">
        <f>F21*AO21</f>
        <v>0</v>
      </c>
      <c r="BI21" s="24">
        <f>F21*AP21</f>
        <v>0</v>
      </c>
      <c r="BJ21" s="24">
        <f>F21*G21</f>
        <v>0</v>
      </c>
      <c r="BK21" s="24"/>
      <c r="BL21" s="24">
        <v>64</v>
      </c>
      <c r="BW21" s="24">
        <v>12</v>
      </c>
      <c r="BX21" s="4" t="s">
        <v>85</v>
      </c>
    </row>
    <row r="22" spans="1:76" x14ac:dyDescent="0.25">
      <c r="A22" s="2" t="s">
        <v>87</v>
      </c>
      <c r="B22" s="3" t="s">
        <v>88</v>
      </c>
      <c r="C22" s="75" t="s">
        <v>89</v>
      </c>
      <c r="D22" s="72"/>
      <c r="E22" s="3" t="s">
        <v>64</v>
      </c>
      <c r="F22" s="24">
        <v>2</v>
      </c>
      <c r="G22" s="24">
        <v>0</v>
      </c>
      <c r="H22" s="24">
        <f>ROUND(F22*AO22,2)</f>
        <v>0</v>
      </c>
      <c r="I22" s="24">
        <f>ROUND(F22*AP22,2)</f>
        <v>0</v>
      </c>
      <c r="J22" s="24">
        <f>ROUND(F22*G22,2)</f>
        <v>0</v>
      </c>
      <c r="K22" s="24">
        <v>2.5159999999999998E-2</v>
      </c>
      <c r="L22" s="25">
        <f>F22*K22</f>
        <v>5.0319999999999997E-2</v>
      </c>
      <c r="Z22" s="24">
        <f>ROUND(IF(AQ22="5",BJ22,0),2)</f>
        <v>0</v>
      </c>
      <c r="AB22" s="24">
        <f>ROUND(IF(AQ22="1",BH22,0),2)</f>
        <v>0</v>
      </c>
      <c r="AC22" s="24">
        <f>ROUND(IF(AQ22="1",BI22,0),2)</f>
        <v>0</v>
      </c>
      <c r="AD22" s="24">
        <f>ROUND(IF(AQ22="7",BH22,0),2)</f>
        <v>0</v>
      </c>
      <c r="AE22" s="24">
        <f>ROUND(IF(AQ22="7",BI22,0),2)</f>
        <v>0</v>
      </c>
      <c r="AF22" s="24">
        <f>ROUND(IF(AQ22="2",BH22,0),2)</f>
        <v>0</v>
      </c>
      <c r="AG22" s="24">
        <f>ROUND(IF(AQ22="2",BI22,0),2)</f>
        <v>0</v>
      </c>
      <c r="AH22" s="24">
        <f>ROUND(IF(AQ22="0",BJ22,0),2)</f>
        <v>0</v>
      </c>
      <c r="AI22" s="9" t="s">
        <v>51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12</v>
      </c>
      <c r="AO22" s="24">
        <f>G22*0.055809249</f>
        <v>0</v>
      </c>
      <c r="AP22" s="24">
        <f>G22*(1-0.055809249)</f>
        <v>0</v>
      </c>
      <c r="AQ22" s="26" t="s">
        <v>54</v>
      </c>
      <c r="AV22" s="24">
        <f>ROUND(AW22+AX22,2)</f>
        <v>0</v>
      </c>
      <c r="AW22" s="24">
        <f>ROUND(F22*AO22,2)</f>
        <v>0</v>
      </c>
      <c r="AX22" s="24">
        <f>ROUND(F22*AP22,2)</f>
        <v>0</v>
      </c>
      <c r="AY22" s="26" t="s">
        <v>86</v>
      </c>
      <c r="AZ22" s="26" t="s">
        <v>77</v>
      </c>
      <c r="BA22" s="9" t="s">
        <v>60</v>
      </c>
      <c r="BC22" s="24">
        <f>AW22+AX22</f>
        <v>0</v>
      </c>
      <c r="BD22" s="24">
        <f>G22/(100-BE22)*100</f>
        <v>0</v>
      </c>
      <c r="BE22" s="24">
        <v>0</v>
      </c>
      <c r="BF22" s="24">
        <f>L22</f>
        <v>5.0319999999999997E-2</v>
      </c>
      <c r="BH22" s="24">
        <f>F22*AO22</f>
        <v>0</v>
      </c>
      <c r="BI22" s="24">
        <f>F22*AP22</f>
        <v>0</v>
      </c>
      <c r="BJ22" s="24">
        <f>F22*G22</f>
        <v>0</v>
      </c>
      <c r="BK22" s="24"/>
      <c r="BL22" s="24">
        <v>64</v>
      </c>
      <c r="BW22" s="24">
        <v>12</v>
      </c>
      <c r="BX22" s="4" t="s">
        <v>89</v>
      </c>
    </row>
    <row r="23" spans="1:76" x14ac:dyDescent="0.25">
      <c r="A23" s="27" t="s">
        <v>51</v>
      </c>
      <c r="B23" s="28" t="s">
        <v>90</v>
      </c>
      <c r="C23" s="133" t="s">
        <v>91</v>
      </c>
      <c r="D23" s="134"/>
      <c r="E23" s="29" t="s">
        <v>18</v>
      </c>
      <c r="F23" s="29" t="s">
        <v>18</v>
      </c>
      <c r="G23" s="29" t="s">
        <v>18</v>
      </c>
      <c r="H23" s="1">
        <f>SUM(H24:H24)</f>
        <v>0</v>
      </c>
      <c r="I23" s="1">
        <f>SUM(I24:I24)</f>
        <v>0</v>
      </c>
      <c r="J23" s="1">
        <f>SUM(J24:J24)</f>
        <v>0</v>
      </c>
      <c r="K23" s="9" t="s">
        <v>51</v>
      </c>
      <c r="L23" s="30">
        <f>SUM(L24:L24)</f>
        <v>0</v>
      </c>
      <c r="AI23" s="9" t="s">
        <v>51</v>
      </c>
      <c r="AS23" s="1">
        <f>SUM(AJ24:AJ24)</f>
        <v>0</v>
      </c>
      <c r="AT23" s="1">
        <f>SUM(AK24:AK24)</f>
        <v>0</v>
      </c>
      <c r="AU23" s="1">
        <f>SUM(AL24:AL24)</f>
        <v>0</v>
      </c>
    </row>
    <row r="24" spans="1:76" x14ac:dyDescent="0.25">
      <c r="A24" s="2" t="s">
        <v>92</v>
      </c>
      <c r="B24" s="3" t="s">
        <v>93</v>
      </c>
      <c r="C24" s="75" t="s">
        <v>94</v>
      </c>
      <c r="D24" s="72"/>
      <c r="E24" s="3" t="s">
        <v>95</v>
      </c>
      <c r="F24" s="24">
        <v>15</v>
      </c>
      <c r="G24" s="24">
        <v>0</v>
      </c>
      <c r="H24" s="24">
        <f>ROUND(F24*AO24,2)</f>
        <v>0</v>
      </c>
      <c r="I24" s="24">
        <f>ROUND(F24*AP24,2)</f>
        <v>0</v>
      </c>
      <c r="J24" s="24">
        <f>ROUND(F24*G24,2)</f>
        <v>0</v>
      </c>
      <c r="K24" s="24">
        <v>0</v>
      </c>
      <c r="L24" s="25">
        <f>F24*K24</f>
        <v>0</v>
      </c>
      <c r="Z24" s="24">
        <f>ROUND(IF(AQ24="5",BJ24,0),2)</f>
        <v>0</v>
      </c>
      <c r="AB24" s="24">
        <f>ROUND(IF(AQ24="1",BH24,0),2)</f>
        <v>0</v>
      </c>
      <c r="AC24" s="24">
        <f>ROUND(IF(AQ24="1",BI24,0),2)</f>
        <v>0</v>
      </c>
      <c r="AD24" s="24">
        <f>ROUND(IF(AQ24="7",BH24,0),2)</f>
        <v>0</v>
      </c>
      <c r="AE24" s="24">
        <f>ROUND(IF(AQ24="7",BI24,0),2)</f>
        <v>0</v>
      </c>
      <c r="AF24" s="24">
        <f>ROUND(IF(AQ24="2",BH24,0),2)</f>
        <v>0</v>
      </c>
      <c r="AG24" s="24">
        <f>ROUND(IF(AQ24="2",BI24,0),2)</f>
        <v>0</v>
      </c>
      <c r="AH24" s="24">
        <f>ROUND(IF(AQ24="0",BJ24,0),2)</f>
        <v>0</v>
      </c>
      <c r="AI24" s="9" t="s">
        <v>51</v>
      </c>
      <c r="AJ24" s="24">
        <f>IF(AN24=0,J24,0)</f>
        <v>0</v>
      </c>
      <c r="AK24" s="24">
        <f>IF(AN24=12,J24,0)</f>
        <v>0</v>
      </c>
      <c r="AL24" s="24">
        <f>IF(AN24=21,J24,0)</f>
        <v>0</v>
      </c>
      <c r="AN24" s="24">
        <v>12</v>
      </c>
      <c r="AO24" s="24">
        <f>G24*0</f>
        <v>0</v>
      </c>
      <c r="AP24" s="24">
        <f>G24*(1-0)</f>
        <v>0</v>
      </c>
      <c r="AQ24" s="26" t="s">
        <v>54</v>
      </c>
      <c r="AV24" s="24">
        <f>ROUND(AW24+AX24,2)</f>
        <v>0</v>
      </c>
      <c r="AW24" s="24">
        <f>ROUND(F24*AO24,2)</f>
        <v>0</v>
      </c>
      <c r="AX24" s="24">
        <f>ROUND(F24*AP24,2)</f>
        <v>0</v>
      </c>
      <c r="AY24" s="26" t="s">
        <v>96</v>
      </c>
      <c r="AZ24" s="26" t="s">
        <v>97</v>
      </c>
      <c r="BA24" s="9" t="s">
        <v>60</v>
      </c>
      <c r="BC24" s="24">
        <f>AW24+AX24</f>
        <v>0</v>
      </c>
      <c r="BD24" s="24">
        <f>G24/(100-BE24)*100</f>
        <v>0</v>
      </c>
      <c r="BE24" s="24">
        <v>0</v>
      </c>
      <c r="BF24" s="24">
        <f>L24</f>
        <v>0</v>
      </c>
      <c r="BH24" s="24">
        <f>F24*AO24</f>
        <v>0</v>
      </c>
      <c r="BI24" s="24">
        <f>F24*AP24</f>
        <v>0</v>
      </c>
      <c r="BJ24" s="24">
        <f>F24*G24</f>
        <v>0</v>
      </c>
      <c r="BK24" s="24"/>
      <c r="BL24" s="24">
        <v>90</v>
      </c>
      <c r="BW24" s="24">
        <v>12</v>
      </c>
      <c r="BX24" s="4" t="s">
        <v>94</v>
      </c>
    </row>
    <row r="25" spans="1:76" x14ac:dyDescent="0.25">
      <c r="A25" s="27" t="s">
        <v>51</v>
      </c>
      <c r="B25" s="28" t="s">
        <v>98</v>
      </c>
      <c r="C25" s="133" t="s">
        <v>99</v>
      </c>
      <c r="D25" s="134"/>
      <c r="E25" s="29" t="s">
        <v>18</v>
      </c>
      <c r="F25" s="29" t="s">
        <v>18</v>
      </c>
      <c r="G25" s="29" t="s">
        <v>18</v>
      </c>
      <c r="H25" s="1">
        <f>SUM(H26:H28)</f>
        <v>0</v>
      </c>
      <c r="I25" s="1">
        <f>SUM(I26:I28)</f>
        <v>0</v>
      </c>
      <c r="J25" s="1">
        <f>SUM(J26:J28)</f>
        <v>0</v>
      </c>
      <c r="K25" s="9" t="s">
        <v>51</v>
      </c>
      <c r="L25" s="30">
        <f>SUM(L26:L28)</f>
        <v>2.9598740000000001</v>
      </c>
      <c r="AI25" s="9" t="s">
        <v>51</v>
      </c>
      <c r="AS25" s="1">
        <f>SUM(AJ26:AJ28)</f>
        <v>0</v>
      </c>
      <c r="AT25" s="1">
        <f>SUM(AK26:AK28)</f>
        <v>0</v>
      </c>
      <c r="AU25" s="1">
        <f>SUM(AL26:AL28)</f>
        <v>0</v>
      </c>
    </row>
    <row r="26" spans="1:76" x14ac:dyDescent="0.25">
      <c r="A26" s="2" t="s">
        <v>100</v>
      </c>
      <c r="B26" s="3" t="s">
        <v>101</v>
      </c>
      <c r="C26" s="75" t="s">
        <v>102</v>
      </c>
      <c r="D26" s="72"/>
      <c r="E26" s="3" t="s">
        <v>75</v>
      </c>
      <c r="F26" s="24">
        <v>2.5</v>
      </c>
      <c r="G26" s="24">
        <v>0</v>
      </c>
      <c r="H26" s="24">
        <f>ROUND(F26*AO26,2)</f>
        <v>0</v>
      </c>
      <c r="I26" s="24">
        <f>ROUND(F26*AP26,2)</f>
        <v>0</v>
      </c>
      <c r="J26" s="24">
        <f>ROUND(F26*G26,2)</f>
        <v>0</v>
      </c>
      <c r="K26" s="24">
        <v>0.27054</v>
      </c>
      <c r="L26" s="25">
        <f>F26*K26</f>
        <v>0.67635000000000001</v>
      </c>
      <c r="Z26" s="24">
        <f>ROUND(IF(AQ26="5",BJ26,0),2)</f>
        <v>0</v>
      </c>
      <c r="AB26" s="24">
        <f>ROUND(IF(AQ26="1",BH26,0),2)</f>
        <v>0</v>
      </c>
      <c r="AC26" s="24">
        <f>ROUND(IF(AQ26="1",BI26,0),2)</f>
        <v>0</v>
      </c>
      <c r="AD26" s="24">
        <f>ROUND(IF(AQ26="7",BH26,0),2)</f>
        <v>0</v>
      </c>
      <c r="AE26" s="24">
        <f>ROUND(IF(AQ26="7",BI26,0),2)</f>
        <v>0</v>
      </c>
      <c r="AF26" s="24">
        <f>ROUND(IF(AQ26="2",BH26,0),2)</f>
        <v>0</v>
      </c>
      <c r="AG26" s="24">
        <f>ROUND(IF(AQ26="2",BI26,0),2)</f>
        <v>0</v>
      </c>
      <c r="AH26" s="24">
        <f>ROUND(IF(AQ26="0",BJ26,0),2)</f>
        <v>0</v>
      </c>
      <c r="AI26" s="9" t="s">
        <v>51</v>
      </c>
      <c r="AJ26" s="24">
        <f>IF(AN26=0,J26,0)</f>
        <v>0</v>
      </c>
      <c r="AK26" s="24">
        <f>IF(AN26=12,J26,0)</f>
        <v>0</v>
      </c>
      <c r="AL26" s="24">
        <f>IF(AN26=21,J26,0)</f>
        <v>0</v>
      </c>
      <c r="AN26" s="24">
        <v>12</v>
      </c>
      <c r="AO26" s="24">
        <f>G26*0.067320819</f>
        <v>0</v>
      </c>
      <c r="AP26" s="24">
        <f>G26*(1-0.067320819)</f>
        <v>0</v>
      </c>
      <c r="AQ26" s="26" t="s">
        <v>54</v>
      </c>
      <c r="AV26" s="24">
        <f>ROUND(AW26+AX26,2)</f>
        <v>0</v>
      </c>
      <c r="AW26" s="24">
        <f>ROUND(F26*AO26,2)</f>
        <v>0</v>
      </c>
      <c r="AX26" s="24">
        <f>ROUND(F26*AP26,2)</f>
        <v>0</v>
      </c>
      <c r="AY26" s="26" t="s">
        <v>103</v>
      </c>
      <c r="AZ26" s="26" t="s">
        <v>97</v>
      </c>
      <c r="BA26" s="9" t="s">
        <v>60</v>
      </c>
      <c r="BC26" s="24">
        <f>AW26+AX26</f>
        <v>0</v>
      </c>
      <c r="BD26" s="24">
        <f>G26/(100-BE26)*100</f>
        <v>0</v>
      </c>
      <c r="BE26" s="24">
        <v>0</v>
      </c>
      <c r="BF26" s="24">
        <f>L26</f>
        <v>0.67635000000000001</v>
      </c>
      <c r="BH26" s="24">
        <f>F26*AO26</f>
        <v>0</v>
      </c>
      <c r="BI26" s="24">
        <f>F26*AP26</f>
        <v>0</v>
      </c>
      <c r="BJ26" s="24">
        <f>F26*G26</f>
        <v>0</v>
      </c>
      <c r="BK26" s="24"/>
      <c r="BL26" s="24">
        <v>97</v>
      </c>
      <c r="BW26" s="24">
        <v>12</v>
      </c>
      <c r="BX26" s="4" t="s">
        <v>102</v>
      </c>
    </row>
    <row r="27" spans="1:76" x14ac:dyDescent="0.25">
      <c r="A27" s="2" t="s">
        <v>104</v>
      </c>
      <c r="B27" s="3" t="s">
        <v>105</v>
      </c>
      <c r="C27" s="75" t="s">
        <v>106</v>
      </c>
      <c r="D27" s="72"/>
      <c r="E27" s="3" t="s">
        <v>64</v>
      </c>
      <c r="F27" s="24">
        <v>2</v>
      </c>
      <c r="G27" s="24">
        <v>0</v>
      </c>
      <c r="H27" s="24">
        <f>ROUND(F27*AO27,2)</f>
        <v>0</v>
      </c>
      <c r="I27" s="24">
        <f>ROUND(F27*AP27,2)</f>
        <v>0</v>
      </c>
      <c r="J27" s="24">
        <f>ROUND(F27*G27,2)</f>
        <v>0</v>
      </c>
      <c r="K27" s="24">
        <v>6.0670000000000002E-2</v>
      </c>
      <c r="L27" s="25">
        <f>F27*K27</f>
        <v>0.12134</v>
      </c>
      <c r="Z27" s="24">
        <f>ROUND(IF(AQ27="5",BJ27,0),2)</f>
        <v>0</v>
      </c>
      <c r="AB27" s="24">
        <f>ROUND(IF(AQ27="1",BH27,0),2)</f>
        <v>0</v>
      </c>
      <c r="AC27" s="24">
        <f>ROUND(IF(AQ27="1",BI27,0),2)</f>
        <v>0</v>
      </c>
      <c r="AD27" s="24">
        <f>ROUND(IF(AQ27="7",BH27,0),2)</f>
        <v>0</v>
      </c>
      <c r="AE27" s="24">
        <f>ROUND(IF(AQ27="7",BI27,0),2)</f>
        <v>0</v>
      </c>
      <c r="AF27" s="24">
        <f>ROUND(IF(AQ27="2",BH27,0),2)</f>
        <v>0</v>
      </c>
      <c r="AG27" s="24">
        <f>ROUND(IF(AQ27="2",BI27,0),2)</f>
        <v>0</v>
      </c>
      <c r="AH27" s="24">
        <f>ROUND(IF(AQ27="0",BJ27,0),2)</f>
        <v>0</v>
      </c>
      <c r="AI27" s="9" t="s">
        <v>51</v>
      </c>
      <c r="AJ27" s="24">
        <f>IF(AN27=0,J27,0)</f>
        <v>0</v>
      </c>
      <c r="AK27" s="24">
        <f>IF(AN27=12,J27,0)</f>
        <v>0</v>
      </c>
      <c r="AL27" s="24">
        <f>IF(AN27=21,J27,0)</f>
        <v>0</v>
      </c>
      <c r="AN27" s="24">
        <v>12</v>
      </c>
      <c r="AO27" s="24">
        <f>G27*0.013137255</f>
        <v>0</v>
      </c>
      <c r="AP27" s="24">
        <f>G27*(1-0.013137255)</f>
        <v>0</v>
      </c>
      <c r="AQ27" s="26" t="s">
        <v>54</v>
      </c>
      <c r="AV27" s="24">
        <f>ROUND(AW27+AX27,2)</f>
        <v>0</v>
      </c>
      <c r="AW27" s="24">
        <f>ROUND(F27*AO27,2)</f>
        <v>0</v>
      </c>
      <c r="AX27" s="24">
        <f>ROUND(F27*AP27,2)</f>
        <v>0</v>
      </c>
      <c r="AY27" s="26" t="s">
        <v>103</v>
      </c>
      <c r="AZ27" s="26" t="s">
        <v>97</v>
      </c>
      <c r="BA27" s="9" t="s">
        <v>60</v>
      </c>
      <c r="BC27" s="24">
        <f>AW27+AX27</f>
        <v>0</v>
      </c>
      <c r="BD27" s="24">
        <f>G27/(100-BE27)*100</f>
        <v>0</v>
      </c>
      <c r="BE27" s="24">
        <v>0</v>
      </c>
      <c r="BF27" s="24">
        <f>L27</f>
        <v>0.12134</v>
      </c>
      <c r="BH27" s="24">
        <f>F27*AO27</f>
        <v>0</v>
      </c>
      <c r="BI27" s="24">
        <f>F27*AP27</f>
        <v>0</v>
      </c>
      <c r="BJ27" s="24">
        <f>F27*G27</f>
        <v>0</v>
      </c>
      <c r="BK27" s="24"/>
      <c r="BL27" s="24">
        <v>97</v>
      </c>
      <c r="BW27" s="24">
        <v>12</v>
      </c>
      <c r="BX27" s="4" t="s">
        <v>106</v>
      </c>
    </row>
    <row r="28" spans="1:76" x14ac:dyDescent="0.25">
      <c r="A28" s="2" t="s">
        <v>107</v>
      </c>
      <c r="B28" s="3" t="s">
        <v>108</v>
      </c>
      <c r="C28" s="75" t="s">
        <v>109</v>
      </c>
      <c r="D28" s="72"/>
      <c r="E28" s="3" t="s">
        <v>57</v>
      </c>
      <c r="F28" s="24">
        <v>1.2</v>
      </c>
      <c r="G28" s="24">
        <v>0</v>
      </c>
      <c r="H28" s="24">
        <f>ROUND(F28*AO28,2)</f>
        <v>0</v>
      </c>
      <c r="I28" s="24">
        <f>ROUND(F28*AP28,2)</f>
        <v>0</v>
      </c>
      <c r="J28" s="24">
        <f>ROUND(F28*G28,2)</f>
        <v>0</v>
      </c>
      <c r="K28" s="24">
        <v>1.80182</v>
      </c>
      <c r="L28" s="25">
        <f>F28*K28</f>
        <v>2.1621839999999999</v>
      </c>
      <c r="Z28" s="24">
        <f>ROUND(IF(AQ28="5",BJ28,0),2)</f>
        <v>0</v>
      </c>
      <c r="AB28" s="24">
        <f>ROUND(IF(AQ28="1",BH28,0),2)</f>
        <v>0</v>
      </c>
      <c r="AC28" s="24">
        <f>ROUND(IF(AQ28="1",BI28,0),2)</f>
        <v>0</v>
      </c>
      <c r="AD28" s="24">
        <f>ROUND(IF(AQ28="7",BH28,0),2)</f>
        <v>0</v>
      </c>
      <c r="AE28" s="24">
        <f>ROUND(IF(AQ28="7",BI28,0),2)</f>
        <v>0</v>
      </c>
      <c r="AF28" s="24">
        <f>ROUND(IF(AQ28="2",BH28,0),2)</f>
        <v>0</v>
      </c>
      <c r="AG28" s="24">
        <f>ROUND(IF(AQ28="2",BI28,0),2)</f>
        <v>0</v>
      </c>
      <c r="AH28" s="24">
        <f>ROUND(IF(AQ28="0",BJ28,0),2)</f>
        <v>0</v>
      </c>
      <c r="AI28" s="9" t="s">
        <v>51</v>
      </c>
      <c r="AJ28" s="24">
        <f>IF(AN28=0,J28,0)</f>
        <v>0</v>
      </c>
      <c r="AK28" s="24">
        <f>IF(AN28=12,J28,0)</f>
        <v>0</v>
      </c>
      <c r="AL28" s="24">
        <f>IF(AN28=21,J28,0)</f>
        <v>0</v>
      </c>
      <c r="AN28" s="24">
        <v>12</v>
      </c>
      <c r="AO28" s="24">
        <f>G28*0.020623385</f>
        <v>0</v>
      </c>
      <c r="AP28" s="24">
        <f>G28*(1-0.020623385)</f>
        <v>0</v>
      </c>
      <c r="AQ28" s="26" t="s">
        <v>54</v>
      </c>
      <c r="AV28" s="24">
        <f>ROUND(AW28+AX28,2)</f>
        <v>0</v>
      </c>
      <c r="AW28" s="24">
        <f>ROUND(F28*AO28,2)</f>
        <v>0</v>
      </c>
      <c r="AX28" s="24">
        <f>ROUND(F28*AP28,2)</f>
        <v>0</v>
      </c>
      <c r="AY28" s="26" t="s">
        <v>103</v>
      </c>
      <c r="AZ28" s="26" t="s">
        <v>97</v>
      </c>
      <c r="BA28" s="9" t="s">
        <v>60</v>
      </c>
      <c r="BC28" s="24">
        <f>AW28+AX28</f>
        <v>0</v>
      </c>
      <c r="BD28" s="24">
        <f>G28/(100-BE28)*100</f>
        <v>0</v>
      </c>
      <c r="BE28" s="24">
        <v>0</v>
      </c>
      <c r="BF28" s="24">
        <f>L28</f>
        <v>2.1621839999999999</v>
      </c>
      <c r="BH28" s="24">
        <f>F28*AO28</f>
        <v>0</v>
      </c>
      <c r="BI28" s="24">
        <f>F28*AP28</f>
        <v>0</v>
      </c>
      <c r="BJ28" s="24">
        <f>F28*G28</f>
        <v>0</v>
      </c>
      <c r="BK28" s="24"/>
      <c r="BL28" s="24">
        <v>97</v>
      </c>
      <c r="BW28" s="24">
        <v>12</v>
      </c>
      <c r="BX28" s="4" t="s">
        <v>109</v>
      </c>
    </row>
    <row r="29" spans="1:76" x14ac:dyDescent="0.25">
      <c r="A29" s="27" t="s">
        <v>51</v>
      </c>
      <c r="B29" s="28" t="s">
        <v>110</v>
      </c>
      <c r="C29" s="133" t="s">
        <v>111</v>
      </c>
      <c r="D29" s="134"/>
      <c r="E29" s="29" t="s">
        <v>18</v>
      </c>
      <c r="F29" s="29" t="s">
        <v>18</v>
      </c>
      <c r="G29" s="29" t="s">
        <v>18</v>
      </c>
      <c r="H29" s="1">
        <f>SUM(H30:H30)</f>
        <v>0</v>
      </c>
      <c r="I29" s="1">
        <f>SUM(I30:I30)</f>
        <v>0</v>
      </c>
      <c r="J29" s="1">
        <f>SUM(J30:J30)</f>
        <v>0</v>
      </c>
      <c r="K29" s="9" t="s">
        <v>51</v>
      </c>
      <c r="L29" s="30">
        <f>SUM(L30:L30)</f>
        <v>0</v>
      </c>
      <c r="AI29" s="9" t="s">
        <v>51</v>
      </c>
      <c r="AS29" s="1">
        <f>SUM(AJ30:AJ30)</f>
        <v>0</v>
      </c>
      <c r="AT29" s="1">
        <f>SUM(AK30:AK30)</f>
        <v>0</v>
      </c>
      <c r="AU29" s="1">
        <f>SUM(AL30:AL30)</f>
        <v>0</v>
      </c>
    </row>
    <row r="30" spans="1:76" x14ac:dyDescent="0.25">
      <c r="A30" s="2" t="s">
        <v>112</v>
      </c>
      <c r="B30" s="3" t="s">
        <v>113</v>
      </c>
      <c r="C30" s="75" t="s">
        <v>114</v>
      </c>
      <c r="D30" s="72"/>
      <c r="E30" s="3" t="s">
        <v>115</v>
      </c>
      <c r="F30" s="24">
        <v>1</v>
      </c>
      <c r="G30" s="24">
        <v>0</v>
      </c>
      <c r="H30" s="24">
        <f>ROUND(F30*AO30,2)</f>
        <v>0</v>
      </c>
      <c r="I30" s="24">
        <f>ROUND(F30*AP30,2)</f>
        <v>0</v>
      </c>
      <c r="J30" s="24">
        <f>ROUND(F30*G30,2)</f>
        <v>0</v>
      </c>
      <c r="K30" s="24">
        <v>0</v>
      </c>
      <c r="L30" s="25">
        <f>F30*K30</f>
        <v>0</v>
      </c>
      <c r="Z30" s="24">
        <f>ROUND(IF(AQ30="5",BJ30,0),2)</f>
        <v>0</v>
      </c>
      <c r="AB30" s="24">
        <f>ROUND(IF(AQ30="1",BH30,0),2)</f>
        <v>0</v>
      </c>
      <c r="AC30" s="24">
        <f>ROUND(IF(AQ30="1",BI30,0),2)</f>
        <v>0</v>
      </c>
      <c r="AD30" s="24">
        <f>ROUND(IF(AQ30="7",BH30,0),2)</f>
        <v>0</v>
      </c>
      <c r="AE30" s="24">
        <f>ROUND(IF(AQ30="7",BI30,0),2)</f>
        <v>0</v>
      </c>
      <c r="AF30" s="24">
        <f>ROUND(IF(AQ30="2",BH30,0),2)</f>
        <v>0</v>
      </c>
      <c r="AG30" s="24">
        <f>ROUND(IF(AQ30="2",BI30,0),2)</f>
        <v>0</v>
      </c>
      <c r="AH30" s="24">
        <f>ROUND(IF(AQ30="0",BJ30,0),2)</f>
        <v>0</v>
      </c>
      <c r="AI30" s="9" t="s">
        <v>51</v>
      </c>
      <c r="AJ30" s="24">
        <f>IF(AN30=0,J30,0)</f>
        <v>0</v>
      </c>
      <c r="AK30" s="24">
        <f>IF(AN30=12,J30,0)</f>
        <v>0</v>
      </c>
      <c r="AL30" s="24">
        <f>IF(AN30=21,J30,0)</f>
        <v>0</v>
      </c>
      <c r="AN30" s="24">
        <v>12</v>
      </c>
      <c r="AO30" s="24">
        <f>G30*0</f>
        <v>0</v>
      </c>
      <c r="AP30" s="24">
        <f>G30*(1-0)</f>
        <v>0</v>
      </c>
      <c r="AQ30" s="26" t="s">
        <v>72</v>
      </c>
      <c r="AV30" s="24">
        <f>ROUND(AW30+AX30,2)</f>
        <v>0</v>
      </c>
      <c r="AW30" s="24">
        <f>ROUND(F30*AO30,2)</f>
        <v>0</v>
      </c>
      <c r="AX30" s="24">
        <f>ROUND(F30*AP30,2)</f>
        <v>0</v>
      </c>
      <c r="AY30" s="26" t="s">
        <v>116</v>
      </c>
      <c r="AZ30" s="26" t="s">
        <v>97</v>
      </c>
      <c r="BA30" s="9" t="s">
        <v>60</v>
      </c>
      <c r="BC30" s="24">
        <f>AW30+AX30</f>
        <v>0</v>
      </c>
      <c r="BD30" s="24">
        <f>G30/(100-BE30)*100</f>
        <v>0</v>
      </c>
      <c r="BE30" s="24">
        <v>0</v>
      </c>
      <c r="BF30" s="24">
        <f>L30</f>
        <v>0</v>
      </c>
      <c r="BH30" s="24">
        <f>F30*AO30</f>
        <v>0</v>
      </c>
      <c r="BI30" s="24">
        <f>F30*AP30</f>
        <v>0</v>
      </c>
      <c r="BJ30" s="24">
        <f>F30*G30</f>
        <v>0</v>
      </c>
      <c r="BK30" s="24"/>
      <c r="BL30" s="24"/>
      <c r="BW30" s="24">
        <v>12</v>
      </c>
      <c r="BX30" s="4" t="s">
        <v>114</v>
      </c>
    </row>
    <row r="31" spans="1:76" x14ac:dyDescent="0.25">
      <c r="A31" s="27" t="s">
        <v>51</v>
      </c>
      <c r="B31" s="28" t="s">
        <v>117</v>
      </c>
      <c r="C31" s="133" t="s">
        <v>118</v>
      </c>
      <c r="D31" s="134"/>
      <c r="E31" s="29" t="s">
        <v>18</v>
      </c>
      <c r="F31" s="29" t="s">
        <v>18</v>
      </c>
      <c r="G31" s="29" t="s">
        <v>18</v>
      </c>
      <c r="H31" s="1">
        <f>SUM(H32:H34)</f>
        <v>0</v>
      </c>
      <c r="I31" s="1">
        <f>SUM(I32:I34)</f>
        <v>0</v>
      </c>
      <c r="J31" s="1">
        <f>SUM(J32:J34)</f>
        <v>0</v>
      </c>
      <c r="K31" s="9" t="s">
        <v>51</v>
      </c>
      <c r="L31" s="30">
        <f>SUM(L32:L34)</f>
        <v>0</v>
      </c>
      <c r="AI31" s="9" t="s">
        <v>51</v>
      </c>
      <c r="AS31" s="1">
        <f>SUM(AJ32:AJ34)</f>
        <v>0</v>
      </c>
      <c r="AT31" s="1">
        <f>SUM(AK32:AK34)</f>
        <v>0</v>
      </c>
      <c r="AU31" s="1">
        <f>SUM(AL32:AL34)</f>
        <v>0</v>
      </c>
    </row>
    <row r="32" spans="1:76" x14ac:dyDescent="0.25">
      <c r="A32" s="2" t="s">
        <v>119</v>
      </c>
      <c r="B32" s="3" t="s">
        <v>120</v>
      </c>
      <c r="C32" s="75" t="s">
        <v>121</v>
      </c>
      <c r="D32" s="72"/>
      <c r="E32" s="3" t="s">
        <v>115</v>
      </c>
      <c r="F32" s="24">
        <v>3</v>
      </c>
      <c r="G32" s="24">
        <v>0</v>
      </c>
      <c r="H32" s="24">
        <f>ROUND(F32*AO32,2)</f>
        <v>0</v>
      </c>
      <c r="I32" s="24">
        <f>ROUND(F32*AP32,2)</f>
        <v>0</v>
      </c>
      <c r="J32" s="24">
        <f>ROUND(F32*G32,2)</f>
        <v>0</v>
      </c>
      <c r="K32" s="24">
        <v>0</v>
      </c>
      <c r="L32" s="25">
        <f>F32*K32</f>
        <v>0</v>
      </c>
      <c r="Z32" s="24">
        <f>ROUND(IF(AQ32="5",BJ32,0),2)</f>
        <v>0</v>
      </c>
      <c r="AB32" s="24">
        <f>ROUND(IF(AQ32="1",BH32,0),2)</f>
        <v>0</v>
      </c>
      <c r="AC32" s="24">
        <f>ROUND(IF(AQ32="1",BI32,0),2)</f>
        <v>0</v>
      </c>
      <c r="AD32" s="24">
        <f>ROUND(IF(AQ32="7",BH32,0),2)</f>
        <v>0</v>
      </c>
      <c r="AE32" s="24">
        <f>ROUND(IF(AQ32="7",BI32,0),2)</f>
        <v>0</v>
      </c>
      <c r="AF32" s="24">
        <f>ROUND(IF(AQ32="2",BH32,0),2)</f>
        <v>0</v>
      </c>
      <c r="AG32" s="24">
        <f>ROUND(IF(AQ32="2",BI32,0),2)</f>
        <v>0</v>
      </c>
      <c r="AH32" s="24">
        <f>ROUND(IF(AQ32="0",BJ32,0),2)</f>
        <v>0</v>
      </c>
      <c r="AI32" s="9" t="s">
        <v>51</v>
      </c>
      <c r="AJ32" s="24">
        <f>IF(AN32=0,J32,0)</f>
        <v>0</v>
      </c>
      <c r="AK32" s="24">
        <f>IF(AN32=12,J32,0)</f>
        <v>0</v>
      </c>
      <c r="AL32" s="24">
        <f>IF(AN32=21,J32,0)</f>
        <v>0</v>
      </c>
      <c r="AN32" s="24">
        <v>12</v>
      </c>
      <c r="AO32" s="24">
        <f>G32*0</f>
        <v>0</v>
      </c>
      <c r="AP32" s="24">
        <f>G32*(1-0)</f>
        <v>0</v>
      </c>
      <c r="AQ32" s="26" t="s">
        <v>72</v>
      </c>
      <c r="AV32" s="24">
        <f>ROUND(AW32+AX32,2)</f>
        <v>0</v>
      </c>
      <c r="AW32" s="24">
        <f>ROUND(F32*AO32,2)</f>
        <v>0</v>
      </c>
      <c r="AX32" s="24">
        <f>ROUND(F32*AP32,2)</f>
        <v>0</v>
      </c>
      <c r="AY32" s="26" t="s">
        <v>122</v>
      </c>
      <c r="AZ32" s="26" t="s">
        <v>97</v>
      </c>
      <c r="BA32" s="9" t="s">
        <v>60</v>
      </c>
      <c r="BC32" s="24">
        <f>AW32+AX32</f>
        <v>0</v>
      </c>
      <c r="BD32" s="24">
        <f>G32/(100-BE32)*100</f>
        <v>0</v>
      </c>
      <c r="BE32" s="24">
        <v>0</v>
      </c>
      <c r="BF32" s="24">
        <f>L32</f>
        <v>0</v>
      </c>
      <c r="BH32" s="24">
        <f>F32*AO32</f>
        <v>0</v>
      </c>
      <c r="BI32" s="24">
        <f>F32*AP32</f>
        <v>0</v>
      </c>
      <c r="BJ32" s="24">
        <f>F32*G32</f>
        <v>0</v>
      </c>
      <c r="BK32" s="24"/>
      <c r="BL32" s="24"/>
      <c r="BW32" s="24">
        <v>12</v>
      </c>
      <c r="BX32" s="4" t="s">
        <v>121</v>
      </c>
    </row>
    <row r="33" spans="1:76" x14ac:dyDescent="0.25">
      <c r="A33" s="2" t="s">
        <v>123</v>
      </c>
      <c r="B33" s="3" t="s">
        <v>124</v>
      </c>
      <c r="C33" s="75" t="s">
        <v>125</v>
      </c>
      <c r="D33" s="72"/>
      <c r="E33" s="3" t="s">
        <v>115</v>
      </c>
      <c r="F33" s="24">
        <v>3</v>
      </c>
      <c r="G33" s="24">
        <v>0</v>
      </c>
      <c r="H33" s="24">
        <f>ROUND(F33*AO33,2)</f>
        <v>0</v>
      </c>
      <c r="I33" s="24">
        <f>ROUND(F33*AP33,2)</f>
        <v>0</v>
      </c>
      <c r="J33" s="24">
        <f>ROUND(F33*G33,2)</f>
        <v>0</v>
      </c>
      <c r="K33" s="24">
        <v>0</v>
      </c>
      <c r="L33" s="25">
        <f>F33*K33</f>
        <v>0</v>
      </c>
      <c r="Z33" s="24">
        <f>ROUND(IF(AQ33="5",BJ33,0),2)</f>
        <v>0</v>
      </c>
      <c r="AB33" s="24">
        <f>ROUND(IF(AQ33="1",BH33,0),2)</f>
        <v>0</v>
      </c>
      <c r="AC33" s="24">
        <f>ROUND(IF(AQ33="1",BI33,0),2)</f>
        <v>0</v>
      </c>
      <c r="AD33" s="24">
        <f>ROUND(IF(AQ33="7",BH33,0),2)</f>
        <v>0</v>
      </c>
      <c r="AE33" s="24">
        <f>ROUND(IF(AQ33="7",BI33,0),2)</f>
        <v>0</v>
      </c>
      <c r="AF33" s="24">
        <f>ROUND(IF(AQ33="2",BH33,0),2)</f>
        <v>0</v>
      </c>
      <c r="AG33" s="24">
        <f>ROUND(IF(AQ33="2",BI33,0),2)</f>
        <v>0</v>
      </c>
      <c r="AH33" s="24">
        <f>ROUND(IF(AQ33="0",BJ33,0),2)</f>
        <v>0</v>
      </c>
      <c r="AI33" s="9" t="s">
        <v>51</v>
      </c>
      <c r="AJ33" s="24">
        <f>IF(AN33=0,J33,0)</f>
        <v>0</v>
      </c>
      <c r="AK33" s="24">
        <f>IF(AN33=12,J33,0)</f>
        <v>0</v>
      </c>
      <c r="AL33" s="24">
        <f>IF(AN33=21,J33,0)</f>
        <v>0</v>
      </c>
      <c r="AN33" s="24">
        <v>12</v>
      </c>
      <c r="AO33" s="24">
        <f>G33*0</f>
        <v>0</v>
      </c>
      <c r="AP33" s="24">
        <f>G33*(1-0)</f>
        <v>0</v>
      </c>
      <c r="AQ33" s="26" t="s">
        <v>72</v>
      </c>
      <c r="AV33" s="24">
        <f>ROUND(AW33+AX33,2)</f>
        <v>0</v>
      </c>
      <c r="AW33" s="24">
        <f>ROUND(F33*AO33,2)</f>
        <v>0</v>
      </c>
      <c r="AX33" s="24">
        <f>ROUND(F33*AP33,2)</f>
        <v>0</v>
      </c>
      <c r="AY33" s="26" t="s">
        <v>122</v>
      </c>
      <c r="AZ33" s="26" t="s">
        <v>97</v>
      </c>
      <c r="BA33" s="9" t="s">
        <v>60</v>
      </c>
      <c r="BC33" s="24">
        <f>AW33+AX33</f>
        <v>0</v>
      </c>
      <c r="BD33" s="24">
        <f>G33/(100-BE33)*100</f>
        <v>0</v>
      </c>
      <c r="BE33" s="24">
        <v>0</v>
      </c>
      <c r="BF33" s="24">
        <f>L33</f>
        <v>0</v>
      </c>
      <c r="BH33" s="24">
        <f>F33*AO33</f>
        <v>0</v>
      </c>
      <c r="BI33" s="24">
        <f>F33*AP33</f>
        <v>0</v>
      </c>
      <c r="BJ33" s="24">
        <f>F33*G33</f>
        <v>0</v>
      </c>
      <c r="BK33" s="24"/>
      <c r="BL33" s="24"/>
      <c r="BW33" s="24">
        <v>12</v>
      </c>
      <c r="BX33" s="4" t="s">
        <v>125</v>
      </c>
    </row>
    <row r="34" spans="1:76" x14ac:dyDescent="0.25">
      <c r="A34" s="31" t="s">
        <v>126</v>
      </c>
      <c r="B34" s="32" t="s">
        <v>127</v>
      </c>
      <c r="C34" s="135" t="s">
        <v>128</v>
      </c>
      <c r="D34" s="82"/>
      <c r="E34" s="32" t="s">
        <v>115</v>
      </c>
      <c r="F34" s="33">
        <v>3</v>
      </c>
      <c r="G34" s="33">
        <v>0</v>
      </c>
      <c r="H34" s="33">
        <f>ROUND(F34*AO34,2)</f>
        <v>0</v>
      </c>
      <c r="I34" s="33">
        <f>ROUND(F34*AP34,2)</f>
        <v>0</v>
      </c>
      <c r="J34" s="33">
        <f>ROUND(F34*G34,2)</f>
        <v>0</v>
      </c>
      <c r="K34" s="33">
        <v>0</v>
      </c>
      <c r="L34" s="34">
        <f>F34*K34</f>
        <v>0</v>
      </c>
      <c r="Z34" s="24">
        <f>ROUND(IF(AQ34="5",BJ34,0),2)</f>
        <v>0</v>
      </c>
      <c r="AB34" s="24">
        <f>ROUND(IF(AQ34="1",BH34,0),2)</f>
        <v>0</v>
      </c>
      <c r="AC34" s="24">
        <f>ROUND(IF(AQ34="1",BI34,0),2)</f>
        <v>0</v>
      </c>
      <c r="AD34" s="24">
        <f>ROUND(IF(AQ34="7",BH34,0),2)</f>
        <v>0</v>
      </c>
      <c r="AE34" s="24">
        <f>ROUND(IF(AQ34="7",BI34,0),2)</f>
        <v>0</v>
      </c>
      <c r="AF34" s="24">
        <f>ROUND(IF(AQ34="2",BH34,0),2)</f>
        <v>0</v>
      </c>
      <c r="AG34" s="24">
        <f>ROUND(IF(AQ34="2",BI34,0),2)</f>
        <v>0</v>
      </c>
      <c r="AH34" s="24">
        <f>ROUND(IF(AQ34="0",BJ34,0),2)</f>
        <v>0</v>
      </c>
      <c r="AI34" s="9" t="s">
        <v>51</v>
      </c>
      <c r="AJ34" s="24">
        <f>IF(AN34=0,J34,0)</f>
        <v>0</v>
      </c>
      <c r="AK34" s="24">
        <f>IF(AN34=12,J34,0)</f>
        <v>0</v>
      </c>
      <c r="AL34" s="24">
        <f>IF(AN34=21,J34,0)</f>
        <v>0</v>
      </c>
      <c r="AN34" s="24">
        <v>12</v>
      </c>
      <c r="AO34" s="24">
        <f>G34*0</f>
        <v>0</v>
      </c>
      <c r="AP34" s="24">
        <f>G34*(1-0)</f>
        <v>0</v>
      </c>
      <c r="AQ34" s="26" t="s">
        <v>72</v>
      </c>
      <c r="AV34" s="24">
        <f>ROUND(AW34+AX34,2)</f>
        <v>0</v>
      </c>
      <c r="AW34" s="24">
        <f>ROUND(F34*AO34,2)</f>
        <v>0</v>
      </c>
      <c r="AX34" s="24">
        <f>ROUND(F34*AP34,2)</f>
        <v>0</v>
      </c>
      <c r="AY34" s="26" t="s">
        <v>122</v>
      </c>
      <c r="AZ34" s="26" t="s">
        <v>97</v>
      </c>
      <c r="BA34" s="9" t="s">
        <v>60</v>
      </c>
      <c r="BC34" s="24">
        <f>AW34+AX34</f>
        <v>0</v>
      </c>
      <c r="BD34" s="24">
        <f>G34/(100-BE34)*100</f>
        <v>0</v>
      </c>
      <c r="BE34" s="24">
        <v>0</v>
      </c>
      <c r="BF34" s="24">
        <f>L34</f>
        <v>0</v>
      </c>
      <c r="BH34" s="24">
        <f>F34*AO34</f>
        <v>0</v>
      </c>
      <c r="BI34" s="24">
        <f>F34*AP34</f>
        <v>0</v>
      </c>
      <c r="BJ34" s="24">
        <f>F34*G34</f>
        <v>0</v>
      </c>
      <c r="BK34" s="24"/>
      <c r="BL34" s="24"/>
      <c r="BW34" s="24">
        <v>12</v>
      </c>
      <c r="BX34" s="4" t="s">
        <v>128</v>
      </c>
    </row>
    <row r="35" spans="1:76" x14ac:dyDescent="0.25">
      <c r="H35" s="136" t="s">
        <v>129</v>
      </c>
      <c r="I35" s="136"/>
      <c r="J35" s="35">
        <f>ROUND(J12+J17+J20+J23+J25+J29+J31,0)</f>
        <v>0</v>
      </c>
    </row>
    <row r="36" spans="1:76" x14ac:dyDescent="0.25">
      <c r="A36" s="36" t="s">
        <v>130</v>
      </c>
    </row>
    <row r="37" spans="1:76" ht="12.75" customHeight="1" x14ac:dyDescent="0.25">
      <c r="A37" s="75" t="s">
        <v>51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</row>
  </sheetData>
  <mergeCells count="54">
    <mergeCell ref="C34:D34"/>
    <mergeCell ref="H35:I35"/>
    <mergeCell ref="A37:L37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1:D11"/>
    <mergeCell ref="H10:J10"/>
    <mergeCell ref="K10:L10"/>
    <mergeCell ref="C12:D12"/>
    <mergeCell ref="C13:D13"/>
    <mergeCell ref="I2:L3"/>
    <mergeCell ref="I4:L5"/>
    <mergeCell ref="I6:L7"/>
    <mergeCell ref="I8:L9"/>
    <mergeCell ref="C10:D10"/>
    <mergeCell ref="C8:D9"/>
    <mergeCell ref="G2:G3"/>
    <mergeCell ref="G4:G5"/>
    <mergeCell ref="G6:G7"/>
    <mergeCell ref="G8:G9"/>
    <mergeCell ref="A1:L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workbookViewId="0">
      <selection sqref="A1:G1"/>
    </sheetView>
  </sheetViews>
  <sheetFormatPr defaultColWidth="12.140625" defaultRowHeight="15" customHeight="1" x14ac:dyDescent="0.25"/>
  <cols>
    <col min="1" max="2" width="17.85546875" customWidth="1"/>
    <col min="3" max="3" width="42.85546875" customWidth="1"/>
    <col min="4" max="4" width="110.140625" customWidth="1"/>
    <col min="5" max="5" width="24.140625" customWidth="1"/>
    <col min="6" max="6" width="15.7109375" customWidth="1"/>
    <col min="7" max="7" width="20" customWidth="1"/>
  </cols>
  <sheetData>
    <row r="1" spans="1:7" ht="54.75" customHeight="1" x14ac:dyDescent="0.25">
      <c r="A1" s="68" t="s">
        <v>131</v>
      </c>
      <c r="B1" s="68"/>
      <c r="C1" s="68"/>
      <c r="D1" s="68"/>
      <c r="E1" s="68"/>
      <c r="F1" s="68"/>
      <c r="G1" s="68"/>
    </row>
    <row r="2" spans="1:7" x14ac:dyDescent="0.25">
      <c r="A2" s="69" t="s">
        <v>1</v>
      </c>
      <c r="B2" s="79" t="str">
        <f>'Stavební rozpočet'!C2</f>
        <v>Stavební úpravy bytového domu - STAVEBNÍ ÚPRAVY 1.PP-doplněk</v>
      </c>
      <c r="C2" s="80"/>
      <c r="D2" s="74" t="s">
        <v>5</v>
      </c>
      <c r="E2" s="74" t="str">
        <f>'Stavební rozpočet'!I2</f>
        <v>Město Bohumín, Masarykova158, 735 81 Bohumín</v>
      </c>
      <c r="F2" s="70"/>
      <c r="G2" s="76"/>
    </row>
    <row r="3" spans="1:7" ht="15" customHeight="1" x14ac:dyDescent="0.25">
      <c r="A3" s="71"/>
      <c r="B3" s="81"/>
      <c r="C3" s="81"/>
      <c r="D3" s="72"/>
      <c r="E3" s="72"/>
      <c r="F3" s="72"/>
      <c r="G3" s="77"/>
    </row>
    <row r="4" spans="1:7" x14ac:dyDescent="0.25">
      <c r="A4" s="73" t="s">
        <v>7</v>
      </c>
      <c r="B4" s="75" t="str">
        <f>'Stavební rozpočet'!C4</f>
        <v>Budova pro bydlení</v>
      </c>
      <c r="C4" s="72"/>
      <c r="D4" s="75" t="s">
        <v>10</v>
      </c>
      <c r="E4" s="75" t="str">
        <f>'Stavební rozpočet'!I4</f>
        <v>Ing. Stanislav Wilczek</v>
      </c>
      <c r="F4" s="72"/>
      <c r="G4" s="77"/>
    </row>
    <row r="5" spans="1:7" ht="15" customHeight="1" x14ac:dyDescent="0.25">
      <c r="A5" s="71"/>
      <c r="B5" s="72"/>
      <c r="C5" s="72"/>
      <c r="D5" s="72"/>
      <c r="E5" s="72"/>
      <c r="F5" s="72"/>
      <c r="G5" s="77"/>
    </row>
    <row r="6" spans="1:7" x14ac:dyDescent="0.25">
      <c r="A6" s="73" t="s">
        <v>12</v>
      </c>
      <c r="B6" s="75" t="str">
        <f>'Stavební rozpočet'!C6</f>
        <v>Partyzánská 302, Bohumín – Pudlov</v>
      </c>
      <c r="C6" s="72"/>
      <c r="D6" s="75" t="s">
        <v>15</v>
      </c>
      <c r="E6" s="75" t="str">
        <f>'Stavební rozpočet'!I6</f>
        <v> </v>
      </c>
      <c r="F6" s="72"/>
      <c r="G6" s="77"/>
    </row>
    <row r="7" spans="1:7" ht="15" customHeight="1" x14ac:dyDescent="0.25">
      <c r="A7" s="71"/>
      <c r="B7" s="72"/>
      <c r="C7" s="72"/>
      <c r="D7" s="72"/>
      <c r="E7" s="72"/>
      <c r="F7" s="72"/>
      <c r="G7" s="77"/>
    </row>
    <row r="8" spans="1:7" x14ac:dyDescent="0.25">
      <c r="A8" s="73" t="s">
        <v>21</v>
      </c>
      <c r="B8" s="75" t="str">
        <f>'Stavební rozpočet'!I8</f>
        <v>Ing. Stanislav Wilczek</v>
      </c>
      <c r="C8" s="72"/>
      <c r="D8" s="75" t="s">
        <v>19</v>
      </c>
      <c r="E8" s="75" t="str">
        <f>'Stavební rozpočet'!G8</f>
        <v>19.02.2025</v>
      </c>
      <c r="F8" s="72"/>
      <c r="G8" s="77"/>
    </row>
    <row r="9" spans="1:7" x14ac:dyDescent="0.25">
      <c r="A9" s="119"/>
      <c r="B9" s="120"/>
      <c r="C9" s="120"/>
      <c r="D9" s="120"/>
      <c r="E9" s="120"/>
      <c r="F9" s="120"/>
      <c r="G9" s="121"/>
    </row>
    <row r="10" spans="1:7" x14ac:dyDescent="0.25">
      <c r="A10" s="37" t="s">
        <v>22</v>
      </c>
      <c r="B10" s="38" t="s">
        <v>23</v>
      </c>
      <c r="C10" s="137" t="s">
        <v>24</v>
      </c>
      <c r="D10" s="138"/>
      <c r="E10" s="38" t="s">
        <v>25</v>
      </c>
      <c r="F10" s="39" t="s">
        <v>26</v>
      </c>
      <c r="G10" s="40" t="s">
        <v>132</v>
      </c>
    </row>
    <row r="11" spans="1:7" x14ac:dyDescent="0.25">
      <c r="A11" s="41" t="s">
        <v>51</v>
      </c>
      <c r="B11" s="19" t="s">
        <v>52</v>
      </c>
      <c r="C11" s="132" t="s">
        <v>53</v>
      </c>
      <c r="D11" s="132"/>
      <c r="E11" s="19" t="s">
        <v>51</v>
      </c>
      <c r="F11" s="22" t="s">
        <v>51</v>
      </c>
      <c r="G11" s="42" t="s">
        <v>51</v>
      </c>
    </row>
    <row r="12" spans="1:7" x14ac:dyDescent="0.25">
      <c r="A12" s="2" t="s">
        <v>54</v>
      </c>
      <c r="B12" s="3" t="s">
        <v>55</v>
      </c>
      <c r="C12" s="72" t="s">
        <v>56</v>
      </c>
      <c r="D12" s="72"/>
      <c r="E12" s="3" t="s">
        <v>57</v>
      </c>
      <c r="F12" s="24">
        <v>0.3</v>
      </c>
      <c r="G12" s="25">
        <v>0</v>
      </c>
    </row>
    <row r="13" spans="1:7" x14ac:dyDescent="0.25">
      <c r="A13" s="2" t="s">
        <v>61</v>
      </c>
      <c r="B13" s="3" t="s">
        <v>62</v>
      </c>
      <c r="C13" s="72" t="s">
        <v>191</v>
      </c>
      <c r="D13" s="72"/>
      <c r="E13" s="3" t="s">
        <v>64</v>
      </c>
      <c r="F13" s="24">
        <v>3</v>
      </c>
      <c r="G13" s="25">
        <v>0</v>
      </c>
    </row>
    <row r="14" spans="1:7" x14ac:dyDescent="0.25">
      <c r="A14" s="2" t="s">
        <v>65</v>
      </c>
      <c r="B14" s="3" t="s">
        <v>66</v>
      </c>
      <c r="C14" s="72" t="s">
        <v>67</v>
      </c>
      <c r="D14" s="72"/>
      <c r="E14" s="3" t="s">
        <v>64</v>
      </c>
      <c r="F14" s="24">
        <v>1</v>
      </c>
      <c r="G14" s="25">
        <v>0</v>
      </c>
    </row>
    <row r="15" spans="1:7" x14ac:dyDescent="0.25">
      <c r="A15" s="2" t="s">
        <v>68</v>
      </c>
      <c r="B15" s="3" t="s">
        <v>66</v>
      </c>
      <c r="C15" s="72" t="s">
        <v>69</v>
      </c>
      <c r="D15" s="72"/>
      <c r="E15" s="3" t="s">
        <v>64</v>
      </c>
      <c r="F15" s="24">
        <v>2</v>
      </c>
      <c r="G15" s="25">
        <v>0</v>
      </c>
    </row>
    <row r="16" spans="1:7" x14ac:dyDescent="0.25">
      <c r="A16" s="43" t="s">
        <v>51</v>
      </c>
      <c r="B16" s="28" t="s">
        <v>70</v>
      </c>
      <c r="C16" s="134" t="s">
        <v>71</v>
      </c>
      <c r="D16" s="134"/>
      <c r="E16" s="28" t="s">
        <v>51</v>
      </c>
      <c r="F16" s="9" t="s">
        <v>51</v>
      </c>
      <c r="G16" s="44" t="s">
        <v>51</v>
      </c>
    </row>
    <row r="17" spans="1:7" x14ac:dyDescent="0.25">
      <c r="A17" s="2" t="s">
        <v>72</v>
      </c>
      <c r="B17" s="3" t="s">
        <v>73</v>
      </c>
      <c r="C17" s="72" t="s">
        <v>74</v>
      </c>
      <c r="D17" s="72"/>
      <c r="E17" s="3" t="s">
        <v>75</v>
      </c>
      <c r="F17" s="24">
        <v>3</v>
      </c>
      <c r="G17" s="25">
        <v>0</v>
      </c>
    </row>
    <row r="18" spans="1:7" x14ac:dyDescent="0.25">
      <c r="A18" s="2" t="s">
        <v>78</v>
      </c>
      <c r="B18" s="3" t="s">
        <v>79</v>
      </c>
      <c r="C18" s="72" t="s">
        <v>80</v>
      </c>
      <c r="D18" s="72"/>
      <c r="E18" s="3" t="s">
        <v>75</v>
      </c>
      <c r="F18" s="24">
        <v>18</v>
      </c>
      <c r="G18" s="25">
        <v>0</v>
      </c>
    </row>
    <row r="19" spans="1:7" x14ac:dyDescent="0.25">
      <c r="A19" s="43" t="s">
        <v>51</v>
      </c>
      <c r="B19" s="28" t="s">
        <v>81</v>
      </c>
      <c r="C19" s="134" t="s">
        <v>82</v>
      </c>
      <c r="D19" s="134"/>
      <c r="E19" s="28" t="s">
        <v>51</v>
      </c>
      <c r="F19" s="9" t="s">
        <v>51</v>
      </c>
      <c r="G19" s="44" t="s">
        <v>51</v>
      </c>
    </row>
    <row r="20" spans="1:7" x14ac:dyDescent="0.25">
      <c r="A20" s="2" t="s">
        <v>83</v>
      </c>
      <c r="B20" s="3" t="s">
        <v>84</v>
      </c>
      <c r="C20" s="72" t="s">
        <v>85</v>
      </c>
      <c r="D20" s="72"/>
      <c r="E20" s="3" t="s">
        <v>64</v>
      </c>
      <c r="F20" s="24">
        <v>2</v>
      </c>
      <c r="G20" s="25">
        <v>0</v>
      </c>
    </row>
    <row r="21" spans="1:7" x14ac:dyDescent="0.25">
      <c r="A21" s="2" t="s">
        <v>87</v>
      </c>
      <c r="B21" s="3" t="s">
        <v>88</v>
      </c>
      <c r="C21" s="72" t="s">
        <v>89</v>
      </c>
      <c r="D21" s="72"/>
      <c r="E21" s="3" t="s">
        <v>64</v>
      </c>
      <c r="F21" s="24">
        <v>2</v>
      </c>
      <c r="G21" s="25">
        <v>0</v>
      </c>
    </row>
    <row r="22" spans="1:7" x14ac:dyDescent="0.25">
      <c r="A22" s="43" t="s">
        <v>51</v>
      </c>
      <c r="B22" s="28" t="s">
        <v>90</v>
      </c>
      <c r="C22" s="134" t="s">
        <v>91</v>
      </c>
      <c r="D22" s="134"/>
      <c r="E22" s="28" t="s">
        <v>51</v>
      </c>
      <c r="F22" s="9" t="s">
        <v>51</v>
      </c>
      <c r="G22" s="44" t="s">
        <v>51</v>
      </c>
    </row>
    <row r="23" spans="1:7" x14ac:dyDescent="0.25">
      <c r="A23" s="2" t="s">
        <v>92</v>
      </c>
      <c r="B23" s="3" t="s">
        <v>93</v>
      </c>
      <c r="C23" s="72" t="s">
        <v>94</v>
      </c>
      <c r="D23" s="72"/>
      <c r="E23" s="3" t="s">
        <v>95</v>
      </c>
      <c r="F23" s="24">
        <v>15</v>
      </c>
      <c r="G23" s="25">
        <v>0</v>
      </c>
    </row>
    <row r="24" spans="1:7" x14ac:dyDescent="0.25">
      <c r="A24" s="43" t="s">
        <v>51</v>
      </c>
      <c r="B24" s="28" t="s">
        <v>98</v>
      </c>
      <c r="C24" s="134" t="s">
        <v>99</v>
      </c>
      <c r="D24" s="134"/>
      <c r="E24" s="28" t="s">
        <v>51</v>
      </c>
      <c r="F24" s="9" t="s">
        <v>51</v>
      </c>
      <c r="G24" s="44" t="s">
        <v>51</v>
      </c>
    </row>
    <row r="25" spans="1:7" x14ac:dyDescent="0.25">
      <c r="A25" s="2" t="s">
        <v>100</v>
      </c>
      <c r="B25" s="3" t="s">
        <v>101</v>
      </c>
      <c r="C25" s="72" t="s">
        <v>102</v>
      </c>
      <c r="D25" s="72"/>
      <c r="E25" s="3" t="s">
        <v>75</v>
      </c>
      <c r="F25" s="24">
        <v>2.5</v>
      </c>
      <c r="G25" s="25">
        <v>0</v>
      </c>
    </row>
    <row r="26" spans="1:7" x14ac:dyDescent="0.25">
      <c r="A26" s="2" t="s">
        <v>104</v>
      </c>
      <c r="B26" s="3" t="s">
        <v>105</v>
      </c>
      <c r="C26" s="72" t="s">
        <v>106</v>
      </c>
      <c r="D26" s="72"/>
      <c r="E26" s="3" t="s">
        <v>64</v>
      </c>
      <c r="F26" s="24">
        <v>2</v>
      </c>
      <c r="G26" s="25">
        <v>0</v>
      </c>
    </row>
    <row r="27" spans="1:7" x14ac:dyDescent="0.25">
      <c r="A27" s="2" t="s">
        <v>107</v>
      </c>
      <c r="B27" s="3" t="s">
        <v>108</v>
      </c>
      <c r="C27" s="72" t="s">
        <v>109</v>
      </c>
      <c r="D27" s="72"/>
      <c r="E27" s="3" t="s">
        <v>57</v>
      </c>
      <c r="F27" s="24">
        <v>1.2</v>
      </c>
      <c r="G27" s="25">
        <v>0</v>
      </c>
    </row>
    <row r="28" spans="1:7" x14ac:dyDescent="0.25">
      <c r="A28" s="43" t="s">
        <v>51</v>
      </c>
      <c r="B28" s="28" t="s">
        <v>110</v>
      </c>
      <c r="C28" s="134" t="s">
        <v>111</v>
      </c>
      <c r="D28" s="134"/>
      <c r="E28" s="28" t="s">
        <v>51</v>
      </c>
      <c r="F28" s="9" t="s">
        <v>51</v>
      </c>
      <c r="G28" s="44" t="s">
        <v>51</v>
      </c>
    </row>
    <row r="29" spans="1:7" x14ac:dyDescent="0.25">
      <c r="A29" s="2" t="s">
        <v>112</v>
      </c>
      <c r="B29" s="3" t="s">
        <v>113</v>
      </c>
      <c r="C29" s="72" t="s">
        <v>114</v>
      </c>
      <c r="D29" s="72"/>
      <c r="E29" s="3" t="s">
        <v>115</v>
      </c>
      <c r="F29" s="24">
        <v>1</v>
      </c>
      <c r="G29" s="25">
        <v>0</v>
      </c>
    </row>
    <row r="30" spans="1:7" x14ac:dyDescent="0.25">
      <c r="A30" s="43" t="s">
        <v>51</v>
      </c>
      <c r="B30" s="28" t="s">
        <v>117</v>
      </c>
      <c r="C30" s="134" t="s">
        <v>118</v>
      </c>
      <c r="D30" s="134"/>
      <c r="E30" s="28" t="s">
        <v>51</v>
      </c>
      <c r="F30" s="9" t="s">
        <v>51</v>
      </c>
      <c r="G30" s="44" t="s">
        <v>51</v>
      </c>
    </row>
    <row r="31" spans="1:7" x14ac:dyDescent="0.25">
      <c r="A31" s="2" t="s">
        <v>119</v>
      </c>
      <c r="B31" s="3" t="s">
        <v>120</v>
      </c>
      <c r="C31" s="72" t="s">
        <v>121</v>
      </c>
      <c r="D31" s="72"/>
      <c r="E31" s="3" t="s">
        <v>115</v>
      </c>
      <c r="F31" s="24">
        <v>3</v>
      </c>
      <c r="G31" s="25">
        <v>0</v>
      </c>
    </row>
    <row r="32" spans="1:7" x14ac:dyDescent="0.25">
      <c r="A32" s="2" t="s">
        <v>123</v>
      </c>
      <c r="B32" s="3" t="s">
        <v>124</v>
      </c>
      <c r="C32" s="72" t="s">
        <v>125</v>
      </c>
      <c r="D32" s="72"/>
      <c r="E32" s="3" t="s">
        <v>115</v>
      </c>
      <c r="F32" s="24">
        <v>3</v>
      </c>
      <c r="G32" s="25">
        <v>0</v>
      </c>
    </row>
    <row r="33" spans="1:8" x14ac:dyDescent="0.25">
      <c r="A33" s="31" t="s">
        <v>126</v>
      </c>
      <c r="B33" s="32" t="s">
        <v>127</v>
      </c>
      <c r="C33" s="82" t="s">
        <v>128</v>
      </c>
      <c r="D33" s="82"/>
      <c r="E33" s="32" t="s">
        <v>115</v>
      </c>
      <c r="F33" s="33">
        <v>3</v>
      </c>
      <c r="G33" s="34">
        <v>0</v>
      </c>
    </row>
    <row r="35" spans="1:8" x14ac:dyDescent="0.25">
      <c r="A35" s="36" t="s">
        <v>130</v>
      </c>
    </row>
    <row r="36" spans="1:8" ht="12.75" customHeight="1" x14ac:dyDescent="0.25">
      <c r="A36" s="75" t="s">
        <v>51</v>
      </c>
      <c r="B36" s="72"/>
      <c r="C36" s="72"/>
      <c r="D36" s="72"/>
      <c r="E36" s="72"/>
      <c r="F36" s="72"/>
      <c r="G36" s="72"/>
      <c r="H36" s="72"/>
    </row>
  </sheetData>
  <mergeCells count="42">
    <mergeCell ref="A36:H36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E8:G9"/>
    <mergeCell ref="C10:D10"/>
    <mergeCell ref="C11:D11"/>
    <mergeCell ref="C12:D12"/>
    <mergeCell ref="C13:D13"/>
    <mergeCell ref="A1:G1"/>
    <mergeCell ref="A2:A3"/>
    <mergeCell ref="A4:A5"/>
    <mergeCell ref="A6:A7"/>
    <mergeCell ref="A8:A9"/>
    <mergeCell ref="D2:D3"/>
    <mergeCell ref="D4:D5"/>
    <mergeCell ref="D6:D7"/>
    <mergeCell ref="D8:D9"/>
    <mergeCell ref="B2:C3"/>
    <mergeCell ref="B4:C5"/>
    <mergeCell ref="B6:C7"/>
    <mergeCell ref="B8:C9"/>
    <mergeCell ref="E2:G3"/>
    <mergeCell ref="E4:G5"/>
    <mergeCell ref="E6:G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67" t="s">
        <v>179</v>
      </c>
      <c r="B1" s="68"/>
      <c r="C1" s="68"/>
      <c r="D1" s="68"/>
      <c r="E1" s="68"/>
      <c r="F1" s="68"/>
      <c r="G1" s="68"/>
      <c r="H1" s="68"/>
      <c r="I1" s="68"/>
    </row>
    <row r="2" spans="1:9" x14ac:dyDescent="0.25">
      <c r="A2" s="69" t="s">
        <v>1</v>
      </c>
      <c r="B2" s="70"/>
      <c r="C2" s="79" t="str">
        <f>'Stavební rozpočet'!C2</f>
        <v>Stavební úpravy bytového domu - STAVEBNÍ ÚPRAVY 1.PP-doplněk</v>
      </c>
      <c r="D2" s="80"/>
      <c r="E2" s="74" t="s">
        <v>5</v>
      </c>
      <c r="F2" s="74" t="str">
        <f>'Stavební rozpočet'!I2</f>
        <v>Město Bohumín, Masarykova158, 735 81 Bohumín</v>
      </c>
      <c r="G2" s="70"/>
      <c r="H2" s="74" t="s">
        <v>134</v>
      </c>
      <c r="I2" s="76" t="s">
        <v>135</v>
      </c>
    </row>
    <row r="3" spans="1:9" ht="25.5" customHeight="1" x14ac:dyDescent="0.25">
      <c r="A3" s="71"/>
      <c r="B3" s="72"/>
      <c r="C3" s="81"/>
      <c r="D3" s="81"/>
      <c r="E3" s="72"/>
      <c r="F3" s="72"/>
      <c r="G3" s="72"/>
      <c r="H3" s="72"/>
      <c r="I3" s="77"/>
    </row>
    <row r="4" spans="1:9" x14ac:dyDescent="0.25">
      <c r="A4" s="73" t="s">
        <v>7</v>
      </c>
      <c r="B4" s="72"/>
      <c r="C4" s="75" t="str">
        <f>'Stavební rozpočet'!C4</f>
        <v>Budova pro bydlení</v>
      </c>
      <c r="D4" s="72"/>
      <c r="E4" s="75" t="s">
        <v>10</v>
      </c>
      <c r="F4" s="75" t="str">
        <f>'Stavební rozpočet'!I4</f>
        <v>Ing. Stanislav Wilczek</v>
      </c>
      <c r="G4" s="72"/>
      <c r="H4" s="75" t="s">
        <v>134</v>
      </c>
      <c r="I4" s="77" t="s">
        <v>136</v>
      </c>
    </row>
    <row r="5" spans="1:9" ht="15" customHeight="1" x14ac:dyDescent="0.25">
      <c r="A5" s="71"/>
      <c r="B5" s="72"/>
      <c r="C5" s="72"/>
      <c r="D5" s="72"/>
      <c r="E5" s="72"/>
      <c r="F5" s="72"/>
      <c r="G5" s="72"/>
      <c r="H5" s="72"/>
      <c r="I5" s="77"/>
    </row>
    <row r="6" spans="1:9" x14ac:dyDescent="0.25">
      <c r="A6" s="73" t="s">
        <v>12</v>
      </c>
      <c r="B6" s="72"/>
      <c r="C6" s="75" t="str">
        <f>'Stavební rozpočet'!C6</f>
        <v>Partyzánská 302, Bohumín – Pudlov</v>
      </c>
      <c r="D6" s="72"/>
      <c r="E6" s="75" t="s">
        <v>15</v>
      </c>
      <c r="F6" s="75" t="str">
        <f>'Stavební rozpočet'!I6</f>
        <v> </v>
      </c>
      <c r="G6" s="72"/>
      <c r="H6" s="75" t="s">
        <v>134</v>
      </c>
      <c r="I6" s="77" t="s">
        <v>51</v>
      </c>
    </row>
    <row r="7" spans="1:9" ht="15" customHeight="1" x14ac:dyDescent="0.25">
      <c r="A7" s="71"/>
      <c r="B7" s="72"/>
      <c r="C7" s="72"/>
      <c r="D7" s="72"/>
      <c r="E7" s="72"/>
      <c r="F7" s="72"/>
      <c r="G7" s="72"/>
      <c r="H7" s="72"/>
      <c r="I7" s="77"/>
    </row>
    <row r="8" spans="1:9" x14ac:dyDescent="0.25">
      <c r="A8" s="73" t="s">
        <v>9</v>
      </c>
      <c r="B8" s="72"/>
      <c r="C8" s="75">
        <f>'Stavební rozpočet'!G4</f>
        <v>0</v>
      </c>
      <c r="D8" s="72"/>
      <c r="E8" s="75" t="s">
        <v>14</v>
      </c>
      <c r="F8" s="75">
        <f>'Stavební rozpočet'!G6</f>
        <v>0</v>
      </c>
      <c r="G8" s="72"/>
      <c r="H8" s="72" t="s">
        <v>137</v>
      </c>
      <c r="I8" s="78">
        <v>16</v>
      </c>
    </row>
    <row r="9" spans="1:9" x14ac:dyDescent="0.25">
      <c r="A9" s="71"/>
      <c r="B9" s="72"/>
      <c r="C9" s="72"/>
      <c r="D9" s="72"/>
      <c r="E9" s="72"/>
      <c r="F9" s="72"/>
      <c r="G9" s="72"/>
      <c r="H9" s="72"/>
      <c r="I9" s="77"/>
    </row>
    <row r="10" spans="1:9" x14ac:dyDescent="0.25">
      <c r="A10" s="73" t="s">
        <v>17</v>
      </c>
      <c r="B10" s="72"/>
      <c r="C10" s="75" t="str">
        <f>'Stavební rozpočet'!C8</f>
        <v xml:space="preserve"> </v>
      </c>
      <c r="D10" s="72"/>
      <c r="E10" s="75" t="s">
        <v>21</v>
      </c>
      <c r="F10" s="75" t="str">
        <f>'Stavební rozpočet'!I8</f>
        <v>Ing. Stanislav Wilczek</v>
      </c>
      <c r="G10" s="72"/>
      <c r="H10" s="72" t="s">
        <v>138</v>
      </c>
      <c r="I10" s="83" t="str">
        <f>'Stavební rozpočet'!G8</f>
        <v>19.02.2025</v>
      </c>
    </row>
    <row r="11" spans="1:9" x14ac:dyDescent="0.25">
      <c r="A11" s="88"/>
      <c r="B11" s="82"/>
      <c r="C11" s="82"/>
      <c r="D11" s="82"/>
      <c r="E11" s="82"/>
      <c r="F11" s="82"/>
      <c r="G11" s="82"/>
      <c r="H11" s="82"/>
      <c r="I11" s="84"/>
    </row>
    <row r="13" spans="1:9" ht="15.75" x14ac:dyDescent="0.25">
      <c r="A13" s="139" t="s">
        <v>180</v>
      </c>
      <c r="B13" s="139"/>
      <c r="C13" s="139"/>
      <c r="D13" s="139"/>
      <c r="E13" s="139"/>
    </row>
    <row r="14" spans="1:9" x14ac:dyDescent="0.25">
      <c r="A14" s="140" t="s">
        <v>181</v>
      </c>
      <c r="B14" s="141"/>
      <c r="C14" s="141"/>
      <c r="D14" s="141"/>
      <c r="E14" s="142"/>
      <c r="F14" s="59" t="s">
        <v>182</v>
      </c>
      <c r="G14" s="59" t="s">
        <v>183</v>
      </c>
      <c r="H14" s="59" t="s">
        <v>184</v>
      </c>
      <c r="I14" s="59" t="s">
        <v>182</v>
      </c>
    </row>
    <row r="15" spans="1:9" x14ac:dyDescent="0.25">
      <c r="A15" s="143" t="s">
        <v>148</v>
      </c>
      <c r="B15" s="144"/>
      <c r="C15" s="144"/>
      <c r="D15" s="144"/>
      <c r="E15" s="145"/>
      <c r="F15" s="60">
        <v>0</v>
      </c>
      <c r="G15" s="61" t="s">
        <v>51</v>
      </c>
      <c r="H15" s="61" t="s">
        <v>51</v>
      </c>
      <c r="I15" s="60">
        <f>F15</f>
        <v>0</v>
      </c>
    </row>
    <row r="16" spans="1:9" x14ac:dyDescent="0.25">
      <c r="A16" s="143" t="s">
        <v>150</v>
      </c>
      <c r="B16" s="144"/>
      <c r="C16" s="144"/>
      <c r="D16" s="144"/>
      <c r="E16" s="145"/>
      <c r="F16" s="60">
        <v>0</v>
      </c>
      <c r="G16" s="61" t="s">
        <v>51</v>
      </c>
      <c r="H16" s="61" t="s">
        <v>51</v>
      </c>
      <c r="I16" s="60">
        <f>F16</f>
        <v>0</v>
      </c>
    </row>
    <row r="17" spans="1:9" x14ac:dyDescent="0.25">
      <c r="A17" s="146" t="s">
        <v>153</v>
      </c>
      <c r="B17" s="147"/>
      <c r="C17" s="147"/>
      <c r="D17" s="147"/>
      <c r="E17" s="148"/>
      <c r="F17" s="62">
        <v>0</v>
      </c>
      <c r="G17" s="63" t="s">
        <v>51</v>
      </c>
      <c r="H17" s="63" t="s">
        <v>51</v>
      </c>
      <c r="I17" s="62">
        <f>F17</f>
        <v>0</v>
      </c>
    </row>
    <row r="18" spans="1:9" x14ac:dyDescent="0.25">
      <c r="A18" s="149" t="s">
        <v>185</v>
      </c>
      <c r="B18" s="150"/>
      <c r="C18" s="150"/>
      <c r="D18" s="150"/>
      <c r="E18" s="151"/>
      <c r="F18" s="64" t="s">
        <v>51</v>
      </c>
      <c r="G18" s="65" t="s">
        <v>51</v>
      </c>
      <c r="H18" s="65" t="s">
        <v>51</v>
      </c>
      <c r="I18" s="66">
        <f>SUM(I15:I17)</f>
        <v>0</v>
      </c>
    </row>
    <row r="20" spans="1:9" x14ac:dyDescent="0.25">
      <c r="A20" s="140" t="s">
        <v>145</v>
      </c>
      <c r="B20" s="141"/>
      <c r="C20" s="141"/>
      <c r="D20" s="141"/>
      <c r="E20" s="142"/>
      <c r="F20" s="59" t="s">
        <v>182</v>
      </c>
      <c r="G20" s="59" t="s">
        <v>183</v>
      </c>
      <c r="H20" s="59" t="s">
        <v>184</v>
      </c>
      <c r="I20" s="59" t="s">
        <v>182</v>
      </c>
    </row>
    <row r="21" spans="1:9" x14ac:dyDescent="0.25">
      <c r="A21" s="143" t="s">
        <v>149</v>
      </c>
      <c r="B21" s="144"/>
      <c r="C21" s="144"/>
      <c r="D21" s="144"/>
      <c r="E21" s="145"/>
      <c r="F21" s="60">
        <v>0</v>
      </c>
      <c r="G21" s="61" t="s">
        <v>51</v>
      </c>
      <c r="H21" s="61" t="s">
        <v>51</v>
      </c>
      <c r="I21" s="60">
        <f t="shared" ref="I21:I26" si="0">F21</f>
        <v>0</v>
      </c>
    </row>
    <row r="22" spans="1:9" x14ac:dyDescent="0.25">
      <c r="A22" s="143" t="s">
        <v>151</v>
      </c>
      <c r="B22" s="144"/>
      <c r="C22" s="144"/>
      <c r="D22" s="144"/>
      <c r="E22" s="145"/>
      <c r="F22" s="60">
        <v>0</v>
      </c>
      <c r="G22" s="61" t="s">
        <v>51</v>
      </c>
      <c r="H22" s="61" t="s">
        <v>51</v>
      </c>
      <c r="I22" s="60">
        <f t="shared" si="0"/>
        <v>0</v>
      </c>
    </row>
    <row r="23" spans="1:9" x14ac:dyDescent="0.25">
      <c r="A23" s="143" t="s">
        <v>154</v>
      </c>
      <c r="B23" s="144"/>
      <c r="C23" s="144"/>
      <c r="D23" s="144"/>
      <c r="E23" s="145"/>
      <c r="F23" s="60">
        <v>0</v>
      </c>
      <c r="G23" s="61" t="s">
        <v>51</v>
      </c>
      <c r="H23" s="61" t="s">
        <v>51</v>
      </c>
      <c r="I23" s="60">
        <f t="shared" si="0"/>
        <v>0</v>
      </c>
    </row>
    <row r="24" spans="1:9" x14ac:dyDescent="0.25">
      <c r="A24" s="143" t="s">
        <v>155</v>
      </c>
      <c r="B24" s="144"/>
      <c r="C24" s="144"/>
      <c r="D24" s="144"/>
      <c r="E24" s="145"/>
      <c r="F24" s="60">
        <v>0</v>
      </c>
      <c r="G24" s="61" t="s">
        <v>51</v>
      </c>
      <c r="H24" s="61" t="s">
        <v>51</v>
      </c>
      <c r="I24" s="60">
        <f t="shared" si="0"/>
        <v>0</v>
      </c>
    </row>
    <row r="25" spans="1:9" x14ac:dyDescent="0.25">
      <c r="A25" s="143" t="s">
        <v>157</v>
      </c>
      <c r="B25" s="144"/>
      <c r="C25" s="144"/>
      <c r="D25" s="144"/>
      <c r="E25" s="145"/>
      <c r="F25" s="60">
        <v>0</v>
      </c>
      <c r="G25" s="61" t="s">
        <v>51</v>
      </c>
      <c r="H25" s="61" t="s">
        <v>51</v>
      </c>
      <c r="I25" s="60">
        <f t="shared" si="0"/>
        <v>0</v>
      </c>
    </row>
    <row r="26" spans="1:9" x14ac:dyDescent="0.25">
      <c r="A26" s="146" t="s">
        <v>158</v>
      </c>
      <c r="B26" s="147"/>
      <c r="C26" s="147"/>
      <c r="D26" s="147"/>
      <c r="E26" s="148"/>
      <c r="F26" s="62">
        <v>0</v>
      </c>
      <c r="G26" s="63" t="s">
        <v>51</v>
      </c>
      <c r="H26" s="63" t="s">
        <v>51</v>
      </c>
      <c r="I26" s="62">
        <f t="shared" si="0"/>
        <v>0</v>
      </c>
    </row>
    <row r="27" spans="1:9" x14ac:dyDescent="0.25">
      <c r="A27" s="149" t="s">
        <v>186</v>
      </c>
      <c r="B27" s="150"/>
      <c r="C27" s="150"/>
      <c r="D27" s="150"/>
      <c r="E27" s="151"/>
      <c r="F27" s="64" t="s">
        <v>51</v>
      </c>
      <c r="G27" s="65" t="s">
        <v>51</v>
      </c>
      <c r="H27" s="65" t="s">
        <v>51</v>
      </c>
      <c r="I27" s="66">
        <f>SUM(I21:I26)</f>
        <v>0</v>
      </c>
    </row>
    <row r="29" spans="1:9" ht="15.75" x14ac:dyDescent="0.25">
      <c r="A29" s="152" t="s">
        <v>187</v>
      </c>
      <c r="B29" s="153"/>
      <c r="C29" s="153"/>
      <c r="D29" s="153"/>
      <c r="E29" s="154"/>
      <c r="F29" s="155">
        <f>I18+I27</f>
        <v>0</v>
      </c>
      <c r="G29" s="156"/>
      <c r="H29" s="156"/>
      <c r="I29" s="157"/>
    </row>
    <row r="33" spans="1:9" ht="15.75" x14ac:dyDescent="0.25">
      <c r="A33" s="139" t="s">
        <v>188</v>
      </c>
      <c r="B33" s="139"/>
      <c r="C33" s="139"/>
      <c r="D33" s="139"/>
      <c r="E33" s="139"/>
    </row>
    <row r="34" spans="1:9" x14ac:dyDescent="0.25">
      <c r="A34" s="140" t="s">
        <v>189</v>
      </c>
      <c r="B34" s="141"/>
      <c r="C34" s="141"/>
      <c r="D34" s="141"/>
      <c r="E34" s="142"/>
      <c r="F34" s="59" t="s">
        <v>182</v>
      </c>
      <c r="G34" s="59" t="s">
        <v>183</v>
      </c>
      <c r="H34" s="59" t="s">
        <v>184</v>
      </c>
      <c r="I34" s="59" t="s">
        <v>182</v>
      </c>
    </row>
    <row r="35" spans="1:9" x14ac:dyDescent="0.25">
      <c r="A35" s="146" t="s">
        <v>51</v>
      </c>
      <c r="B35" s="147"/>
      <c r="C35" s="147"/>
      <c r="D35" s="147"/>
      <c r="E35" s="148"/>
      <c r="F35" s="62">
        <v>0</v>
      </c>
      <c r="G35" s="63" t="s">
        <v>51</v>
      </c>
      <c r="H35" s="63" t="s">
        <v>51</v>
      </c>
      <c r="I35" s="62">
        <f>F35</f>
        <v>0</v>
      </c>
    </row>
    <row r="36" spans="1:9" x14ac:dyDescent="0.25">
      <c r="A36" s="149" t="s">
        <v>190</v>
      </c>
      <c r="B36" s="150"/>
      <c r="C36" s="150"/>
      <c r="D36" s="150"/>
      <c r="E36" s="151"/>
      <c r="F36" s="64" t="s">
        <v>51</v>
      </c>
      <c r="G36" s="65" t="s">
        <v>51</v>
      </c>
      <c r="H36" s="65" t="s">
        <v>51</v>
      </c>
      <c r="I36" s="66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rozpočtu</vt:lpstr>
      <vt:lpstr>Stavební rozpočet</vt:lpstr>
      <vt:lpstr>Výkaz výměr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Prokešová Adriana</cp:lastModifiedBy>
  <dcterms:created xsi:type="dcterms:W3CDTF">2021-06-10T20:06:38Z</dcterms:created>
  <dcterms:modified xsi:type="dcterms:W3CDTF">2025-03-07T07:55:10Z</dcterms:modified>
</cp:coreProperties>
</file>