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zivatel\Documents\_PROJEKTY\_ROZPOČTY\_EXPORT\"/>
    </mc:Choice>
  </mc:AlternateContent>
  <xr:revisionPtr revIDLastSave="0" documentId="13_ncr:1_{EEF81CE1-36F5-4E95-81D7-2474AB2863E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tavební rozpočet" sheetId="1" r:id="rId1"/>
    <sheet name="Stavební rozpočet - součet" sheetId="2" r:id="rId2"/>
    <sheet name="Výkaz výměr" sheetId="3" r:id="rId3"/>
    <sheet name="Krycí list rozpočtu" sheetId="4" r:id="rId4"/>
    <sheet name="VORN" sheetId="5" r:id="rId5"/>
  </sheets>
  <definedNames>
    <definedName name="vorn_sum">VORN!$I$36</definedName>
  </definedNames>
  <calcPr calcId="181029"/>
</workbook>
</file>

<file path=xl/calcChain.xml><?xml version="1.0" encoding="utf-8"?>
<calcChain xmlns="http://schemas.openxmlformats.org/spreadsheetml/2006/main">
  <c r="I35" i="5" l="1"/>
  <c r="I36" i="5" s="1"/>
  <c r="I26" i="5"/>
  <c r="I25" i="5"/>
  <c r="I18" i="4" s="1"/>
  <c r="I24" i="5"/>
  <c r="I23" i="5"/>
  <c r="I16" i="4" s="1"/>
  <c r="I22" i="5"/>
  <c r="I17" i="5"/>
  <c r="F16" i="4" s="1"/>
  <c r="I16" i="5"/>
  <c r="I15" i="5"/>
  <c r="I10" i="5"/>
  <c r="F10" i="5"/>
  <c r="C10" i="5"/>
  <c r="F8" i="5"/>
  <c r="C8" i="5"/>
  <c r="F6" i="5"/>
  <c r="C6" i="5"/>
  <c r="F4" i="5"/>
  <c r="C4" i="5"/>
  <c r="F2" i="5"/>
  <c r="C2" i="5"/>
  <c r="I24" i="4"/>
  <c r="I19" i="4"/>
  <c r="I17" i="4"/>
  <c r="I15" i="4"/>
  <c r="F15" i="4"/>
  <c r="I10" i="4"/>
  <c r="F10" i="4"/>
  <c r="C10" i="4"/>
  <c r="F8" i="4"/>
  <c r="C8" i="4"/>
  <c r="F6" i="4"/>
  <c r="C6" i="4"/>
  <c r="F4" i="4"/>
  <c r="C4" i="4"/>
  <c r="F2" i="4"/>
  <c r="C2" i="4"/>
  <c r="F8" i="3"/>
  <c r="C8" i="3"/>
  <c r="F6" i="3"/>
  <c r="C6" i="3"/>
  <c r="F4" i="3"/>
  <c r="C4" i="3"/>
  <c r="F2" i="3"/>
  <c r="C2" i="3"/>
  <c r="G8" i="2"/>
  <c r="C8" i="2"/>
  <c r="G6" i="2"/>
  <c r="C6" i="2"/>
  <c r="G4" i="2"/>
  <c r="C4" i="2"/>
  <c r="G2" i="2"/>
  <c r="C2" i="2"/>
  <c r="BJ206" i="1"/>
  <c r="Z206" i="1" s="1"/>
  <c r="BF206" i="1"/>
  <c r="BD206" i="1"/>
  <c r="AP206" i="1"/>
  <c r="AO206" i="1"/>
  <c r="AL206" i="1"/>
  <c r="AU196" i="1" s="1"/>
  <c r="AK206" i="1"/>
  <c r="AJ206" i="1"/>
  <c r="AH206" i="1"/>
  <c r="AG206" i="1"/>
  <c r="AF206" i="1"/>
  <c r="AE206" i="1"/>
  <c r="AD206" i="1"/>
  <c r="AC206" i="1"/>
  <c r="AB206" i="1"/>
  <c r="J206" i="1"/>
  <c r="BJ205" i="1"/>
  <c r="Z205" i="1" s="1"/>
  <c r="BF205" i="1"/>
  <c r="BD205" i="1"/>
  <c r="AP205" i="1"/>
  <c r="AO205" i="1"/>
  <c r="AL205" i="1"/>
  <c r="AK205" i="1"/>
  <c r="AJ205" i="1"/>
  <c r="AH205" i="1"/>
  <c r="AG205" i="1"/>
  <c r="AF205" i="1"/>
  <c r="AE205" i="1"/>
  <c r="AD205" i="1"/>
  <c r="AC205" i="1"/>
  <c r="AB205" i="1"/>
  <c r="J205" i="1"/>
  <c r="BJ204" i="1"/>
  <c r="BI204" i="1"/>
  <c r="BH204" i="1"/>
  <c r="BF204" i="1"/>
  <c r="BD204" i="1"/>
  <c r="AX204" i="1"/>
  <c r="AW204" i="1"/>
  <c r="BC204" i="1" s="1"/>
  <c r="AV204" i="1"/>
  <c r="AP204" i="1"/>
  <c r="AO204" i="1"/>
  <c r="AL204" i="1"/>
  <c r="AJ204" i="1"/>
  <c r="AH204" i="1"/>
  <c r="AG204" i="1"/>
  <c r="AF204" i="1"/>
  <c r="AE204" i="1"/>
  <c r="AD204" i="1"/>
  <c r="AC204" i="1"/>
  <c r="AB204" i="1"/>
  <c r="Z204" i="1"/>
  <c r="J204" i="1"/>
  <c r="AK204" i="1" s="1"/>
  <c r="I204" i="1"/>
  <c r="H204" i="1"/>
  <c r="BJ203" i="1"/>
  <c r="BI203" i="1"/>
  <c r="AC203" i="1" s="1"/>
  <c r="BH203" i="1"/>
  <c r="AB203" i="1" s="1"/>
  <c r="BF203" i="1"/>
  <c r="BD203" i="1"/>
  <c r="AX203" i="1"/>
  <c r="AP203" i="1"/>
  <c r="AO203" i="1"/>
  <c r="AW203" i="1" s="1"/>
  <c r="BC203" i="1" s="1"/>
  <c r="AL203" i="1"/>
  <c r="AJ203" i="1"/>
  <c r="AH203" i="1"/>
  <c r="AG203" i="1"/>
  <c r="AF203" i="1"/>
  <c r="AE203" i="1"/>
  <c r="AD203" i="1"/>
  <c r="Z203" i="1"/>
  <c r="J203" i="1"/>
  <c r="AK203" i="1" s="1"/>
  <c r="I203" i="1"/>
  <c r="H203" i="1"/>
  <c r="BJ202" i="1"/>
  <c r="Z202" i="1" s="1"/>
  <c r="BF202" i="1"/>
  <c r="BD202" i="1"/>
  <c r="AP202" i="1"/>
  <c r="AO202" i="1"/>
  <c r="AL202" i="1"/>
  <c r="AK202" i="1"/>
  <c r="AJ202" i="1"/>
  <c r="AH202" i="1"/>
  <c r="AG202" i="1"/>
  <c r="AF202" i="1"/>
  <c r="AE202" i="1"/>
  <c r="AD202" i="1"/>
  <c r="AC202" i="1"/>
  <c r="AB202" i="1"/>
  <c r="J202" i="1"/>
  <c r="I202" i="1"/>
  <c r="BJ201" i="1"/>
  <c r="Z201" i="1" s="1"/>
  <c r="BF201" i="1"/>
  <c r="BD201" i="1"/>
  <c r="AX201" i="1"/>
  <c r="AP201" i="1"/>
  <c r="BI201" i="1" s="1"/>
  <c r="AO201" i="1"/>
  <c r="BH201" i="1" s="1"/>
  <c r="AL201" i="1"/>
  <c r="AK201" i="1"/>
  <c r="AJ201" i="1"/>
  <c r="AH201" i="1"/>
  <c r="AG201" i="1"/>
  <c r="AF201" i="1"/>
  <c r="AE201" i="1"/>
  <c r="AD201" i="1"/>
  <c r="AC201" i="1"/>
  <c r="AB201" i="1"/>
  <c r="J201" i="1"/>
  <c r="I201" i="1"/>
  <c r="H201" i="1"/>
  <c r="BJ200" i="1"/>
  <c r="Z200" i="1" s="1"/>
  <c r="BI200" i="1"/>
  <c r="BF200" i="1"/>
  <c r="BD200" i="1"/>
  <c r="AX200" i="1"/>
  <c r="AW200" i="1"/>
  <c r="AP200" i="1"/>
  <c r="I200" i="1" s="1"/>
  <c r="AO200" i="1"/>
  <c r="BH200" i="1" s="1"/>
  <c r="AL200" i="1"/>
  <c r="AJ200" i="1"/>
  <c r="AH200" i="1"/>
  <c r="AG200" i="1"/>
  <c r="AF200" i="1"/>
  <c r="AE200" i="1"/>
  <c r="AD200" i="1"/>
  <c r="AC200" i="1"/>
  <c r="AB200" i="1"/>
  <c r="J200" i="1"/>
  <c r="BJ199" i="1"/>
  <c r="Z199" i="1" s="1"/>
  <c r="BI199" i="1"/>
  <c r="BH199" i="1"/>
  <c r="BF199" i="1"/>
  <c r="BD199" i="1"/>
  <c r="AX199" i="1"/>
  <c r="AV199" i="1"/>
  <c r="AP199" i="1"/>
  <c r="AO199" i="1"/>
  <c r="AW199" i="1" s="1"/>
  <c r="BC199" i="1" s="1"/>
  <c r="AL199" i="1"/>
  <c r="AJ199" i="1"/>
  <c r="AH199" i="1"/>
  <c r="AG199" i="1"/>
  <c r="AF199" i="1"/>
  <c r="AE199" i="1"/>
  <c r="AD199" i="1"/>
  <c r="AC199" i="1"/>
  <c r="AB199" i="1"/>
  <c r="J199" i="1"/>
  <c r="AK199" i="1" s="1"/>
  <c r="I199" i="1"/>
  <c r="H199" i="1"/>
  <c r="BJ198" i="1"/>
  <c r="BF198" i="1"/>
  <c r="BD198" i="1"/>
  <c r="AP198" i="1"/>
  <c r="AO198" i="1"/>
  <c r="AL198" i="1"/>
  <c r="AK198" i="1"/>
  <c r="AJ198" i="1"/>
  <c r="AH198" i="1"/>
  <c r="AG198" i="1"/>
  <c r="AF198" i="1"/>
  <c r="AE198" i="1"/>
  <c r="AD198" i="1"/>
  <c r="Z198" i="1"/>
  <c r="J198" i="1"/>
  <c r="BJ197" i="1"/>
  <c r="BF197" i="1"/>
  <c r="BD197" i="1"/>
  <c r="AP197" i="1"/>
  <c r="AO197" i="1"/>
  <c r="AW197" i="1" s="1"/>
  <c r="AL197" i="1"/>
  <c r="AK197" i="1"/>
  <c r="AJ197" i="1"/>
  <c r="AH197" i="1"/>
  <c r="AG197" i="1"/>
  <c r="AF197" i="1"/>
  <c r="AE197" i="1"/>
  <c r="AD197" i="1"/>
  <c r="Z197" i="1"/>
  <c r="J197" i="1"/>
  <c r="BJ194" i="1"/>
  <c r="BI194" i="1"/>
  <c r="AC194" i="1" s="1"/>
  <c r="BH194" i="1"/>
  <c r="AB194" i="1" s="1"/>
  <c r="BF194" i="1"/>
  <c r="BD194" i="1"/>
  <c r="AW194" i="1"/>
  <c r="AP194" i="1"/>
  <c r="AX194" i="1" s="1"/>
  <c r="AO194" i="1"/>
  <c r="AL194" i="1"/>
  <c r="AJ194" i="1"/>
  <c r="AH194" i="1"/>
  <c r="AG194" i="1"/>
  <c r="AF194" i="1"/>
  <c r="AE194" i="1"/>
  <c r="AD194" i="1"/>
  <c r="Z194" i="1"/>
  <c r="J194" i="1"/>
  <c r="AK194" i="1" s="1"/>
  <c r="I194" i="1"/>
  <c r="H194" i="1"/>
  <c r="H191" i="1" s="1"/>
  <c r="E23" i="2" s="1"/>
  <c r="BJ192" i="1"/>
  <c r="BH192" i="1"/>
  <c r="AB192" i="1" s="1"/>
  <c r="BF192" i="1"/>
  <c r="BD192" i="1"/>
  <c r="AW192" i="1"/>
  <c r="AP192" i="1"/>
  <c r="AO192" i="1"/>
  <c r="H192" i="1" s="1"/>
  <c r="AL192" i="1"/>
  <c r="AU191" i="1" s="1"/>
  <c r="AJ192" i="1"/>
  <c r="AH192" i="1"/>
  <c r="AG192" i="1"/>
  <c r="AF192" i="1"/>
  <c r="AE192" i="1"/>
  <c r="AD192" i="1"/>
  <c r="Z192" i="1"/>
  <c r="J192" i="1"/>
  <c r="AK192" i="1" s="1"/>
  <c r="AS191" i="1"/>
  <c r="J191" i="1"/>
  <c r="G23" i="2" s="1"/>
  <c r="I23" i="2" s="1"/>
  <c r="BJ190" i="1"/>
  <c r="BI190" i="1"/>
  <c r="BH190" i="1"/>
  <c r="BF190" i="1"/>
  <c r="BD190" i="1"/>
  <c r="AX190" i="1"/>
  <c r="AW190" i="1"/>
  <c r="BC190" i="1" s="1"/>
  <c r="AV190" i="1"/>
  <c r="AP190" i="1"/>
  <c r="AO190" i="1"/>
  <c r="AL190" i="1"/>
  <c r="AJ190" i="1"/>
  <c r="AH190" i="1"/>
  <c r="AG190" i="1"/>
  <c r="AF190" i="1"/>
  <c r="AE190" i="1"/>
  <c r="AD190" i="1"/>
  <c r="AC190" i="1"/>
  <c r="AB190" i="1"/>
  <c r="Z190" i="1"/>
  <c r="J190" i="1"/>
  <c r="AK190" i="1" s="1"/>
  <c r="I190" i="1"/>
  <c r="H190" i="1"/>
  <c r="BJ189" i="1"/>
  <c r="BI189" i="1"/>
  <c r="BH189" i="1"/>
  <c r="BF189" i="1"/>
  <c r="BD189" i="1"/>
  <c r="AX189" i="1"/>
  <c r="AV189" i="1" s="1"/>
  <c r="AW189" i="1"/>
  <c r="AP189" i="1"/>
  <c r="AO189" i="1"/>
  <c r="AL189" i="1"/>
  <c r="AK189" i="1"/>
  <c r="AJ189" i="1"/>
  <c r="AH189" i="1"/>
  <c r="AG189" i="1"/>
  <c r="AF189" i="1"/>
  <c r="AE189" i="1"/>
  <c r="AD189" i="1"/>
  <c r="AC189" i="1"/>
  <c r="AB189" i="1"/>
  <c r="Z189" i="1"/>
  <c r="J189" i="1"/>
  <c r="I189" i="1"/>
  <c r="H189" i="1"/>
  <c r="BJ187" i="1"/>
  <c r="BF187" i="1"/>
  <c r="BD187" i="1"/>
  <c r="AP187" i="1"/>
  <c r="AO187" i="1"/>
  <c r="AL187" i="1"/>
  <c r="AK187" i="1"/>
  <c r="AJ187" i="1"/>
  <c r="AH187" i="1"/>
  <c r="AG187" i="1"/>
  <c r="AF187" i="1"/>
  <c r="AC187" i="1"/>
  <c r="AB187" i="1"/>
  <c r="Z187" i="1"/>
  <c r="J187" i="1"/>
  <c r="BJ186" i="1"/>
  <c r="BF186" i="1"/>
  <c r="BD186" i="1"/>
  <c r="AX186" i="1"/>
  <c r="AW186" i="1"/>
  <c r="BC186" i="1" s="1"/>
  <c r="AV186" i="1"/>
  <c r="AP186" i="1"/>
  <c r="AO186" i="1"/>
  <c r="AL186" i="1"/>
  <c r="AK186" i="1"/>
  <c r="AJ186" i="1"/>
  <c r="AH186" i="1"/>
  <c r="AG186" i="1"/>
  <c r="AF186" i="1"/>
  <c r="AC186" i="1"/>
  <c r="AB186" i="1"/>
  <c r="Z186" i="1"/>
  <c r="J186" i="1"/>
  <c r="BJ185" i="1"/>
  <c r="BI185" i="1"/>
  <c r="AE185" i="1" s="1"/>
  <c r="BH185" i="1"/>
  <c r="AD185" i="1" s="1"/>
  <c r="BF185" i="1"/>
  <c r="BD185" i="1"/>
  <c r="AX185" i="1"/>
  <c r="AW185" i="1"/>
  <c r="AV185" i="1" s="1"/>
  <c r="AP185" i="1"/>
  <c r="AO185" i="1"/>
  <c r="AL185" i="1"/>
  <c r="AJ185" i="1"/>
  <c r="AH185" i="1"/>
  <c r="AG185" i="1"/>
  <c r="AF185" i="1"/>
  <c r="AC185" i="1"/>
  <c r="AB185" i="1"/>
  <c r="Z185" i="1"/>
  <c r="J185" i="1"/>
  <c r="AK185" i="1" s="1"/>
  <c r="I185" i="1"/>
  <c r="H185" i="1"/>
  <c r="AU184" i="1"/>
  <c r="AT184" i="1"/>
  <c r="AS184" i="1"/>
  <c r="J184" i="1"/>
  <c r="G22" i="2" s="1"/>
  <c r="I22" i="2" s="1"/>
  <c r="BJ183" i="1"/>
  <c r="Z183" i="1" s="1"/>
  <c r="BF183" i="1"/>
  <c r="BD183" i="1"/>
  <c r="AX183" i="1"/>
  <c r="BC183" i="1" s="1"/>
  <c r="AW183" i="1"/>
  <c r="AV183" i="1" s="1"/>
  <c r="AP183" i="1"/>
  <c r="AO183" i="1"/>
  <c r="AL183" i="1"/>
  <c r="AK183" i="1"/>
  <c r="AJ183" i="1"/>
  <c r="AS180" i="1" s="1"/>
  <c r="AH183" i="1"/>
  <c r="AG183" i="1"/>
  <c r="AF183" i="1"/>
  <c r="AE183" i="1"/>
  <c r="AD183" i="1"/>
  <c r="AC183" i="1"/>
  <c r="AB183" i="1"/>
  <c r="J183" i="1"/>
  <c r="BJ182" i="1"/>
  <c r="BI182" i="1"/>
  <c r="AE182" i="1" s="1"/>
  <c r="BH182" i="1"/>
  <c r="AD182" i="1" s="1"/>
  <c r="BF182" i="1"/>
  <c r="BD182" i="1"/>
  <c r="AP182" i="1"/>
  <c r="AX182" i="1" s="1"/>
  <c r="AO182" i="1"/>
  <c r="AW182" i="1" s="1"/>
  <c r="AL182" i="1"/>
  <c r="AU180" i="1" s="1"/>
  <c r="AJ182" i="1"/>
  <c r="AH182" i="1"/>
  <c r="AG182" i="1"/>
  <c r="AF182" i="1"/>
  <c r="AC182" i="1"/>
  <c r="AB182" i="1"/>
  <c r="Z182" i="1"/>
  <c r="J182" i="1"/>
  <c r="AK182" i="1" s="1"/>
  <c r="I182" i="1"/>
  <c r="H182" i="1"/>
  <c r="BJ181" i="1"/>
  <c r="BI181" i="1"/>
  <c r="AE181" i="1" s="1"/>
  <c r="BF181" i="1"/>
  <c r="BD181" i="1"/>
  <c r="AX181" i="1"/>
  <c r="AW181" i="1"/>
  <c r="AP181" i="1"/>
  <c r="AO181" i="1"/>
  <c r="BH181" i="1" s="1"/>
  <c r="AD181" i="1" s="1"/>
  <c r="AL181" i="1"/>
  <c r="AJ181" i="1"/>
  <c r="AH181" i="1"/>
  <c r="AG181" i="1"/>
  <c r="AF181" i="1"/>
  <c r="AC181" i="1"/>
  <c r="AB181" i="1"/>
  <c r="Z181" i="1"/>
  <c r="J181" i="1"/>
  <c r="I181" i="1"/>
  <c r="BJ179" i="1"/>
  <c r="BF179" i="1"/>
  <c r="BD179" i="1"/>
  <c r="AW179" i="1"/>
  <c r="AP179" i="1"/>
  <c r="AO179" i="1"/>
  <c r="AL179" i="1"/>
  <c r="AK179" i="1"/>
  <c r="AJ179" i="1"/>
  <c r="AH179" i="1"/>
  <c r="AG179" i="1"/>
  <c r="AF179" i="1"/>
  <c r="AE179" i="1"/>
  <c r="AD179" i="1"/>
  <c r="AC179" i="1"/>
  <c r="AB179" i="1"/>
  <c r="Z179" i="1"/>
  <c r="J179" i="1"/>
  <c r="BJ177" i="1"/>
  <c r="BH177" i="1"/>
  <c r="AD177" i="1" s="1"/>
  <c r="BF177" i="1"/>
  <c r="BD177" i="1"/>
  <c r="AX177" i="1"/>
  <c r="AW177" i="1"/>
  <c r="AV177" i="1" s="1"/>
  <c r="AP177" i="1"/>
  <c r="AO177" i="1"/>
  <c r="AL177" i="1"/>
  <c r="AJ177" i="1"/>
  <c r="AH177" i="1"/>
  <c r="AG177" i="1"/>
  <c r="AF177" i="1"/>
  <c r="AC177" i="1"/>
  <c r="AB177" i="1"/>
  <c r="Z177" i="1"/>
  <c r="J177" i="1"/>
  <c r="AK177" i="1" s="1"/>
  <c r="H177" i="1"/>
  <c r="BJ175" i="1"/>
  <c r="BI175" i="1"/>
  <c r="AE175" i="1" s="1"/>
  <c r="BH175" i="1"/>
  <c r="AD175" i="1" s="1"/>
  <c r="BF175" i="1"/>
  <c r="BD175" i="1"/>
  <c r="AX175" i="1"/>
  <c r="BC175" i="1" s="1"/>
  <c r="AW175" i="1"/>
  <c r="AP175" i="1"/>
  <c r="AO175" i="1"/>
  <c r="AL175" i="1"/>
  <c r="AJ175" i="1"/>
  <c r="AH175" i="1"/>
  <c r="AG175" i="1"/>
  <c r="AF175" i="1"/>
  <c r="AC175" i="1"/>
  <c r="AB175" i="1"/>
  <c r="Z175" i="1"/>
  <c r="J175" i="1"/>
  <c r="AK175" i="1" s="1"/>
  <c r="I175" i="1"/>
  <c r="H175" i="1"/>
  <c r="BJ173" i="1"/>
  <c r="BF173" i="1"/>
  <c r="BD173" i="1"/>
  <c r="AP173" i="1"/>
  <c r="AO173" i="1"/>
  <c r="AL173" i="1"/>
  <c r="AK173" i="1"/>
  <c r="AJ173" i="1"/>
  <c r="AH173" i="1"/>
  <c r="AG173" i="1"/>
  <c r="AF173" i="1"/>
  <c r="AC173" i="1"/>
  <c r="AB173" i="1"/>
  <c r="Z173" i="1"/>
  <c r="J173" i="1"/>
  <c r="BJ171" i="1"/>
  <c r="BF171" i="1"/>
  <c r="BD171" i="1"/>
  <c r="AP171" i="1"/>
  <c r="AX171" i="1" s="1"/>
  <c r="AO171" i="1"/>
  <c r="BH171" i="1" s="1"/>
  <c r="AD171" i="1" s="1"/>
  <c r="AL171" i="1"/>
  <c r="AK171" i="1"/>
  <c r="AJ171" i="1"/>
  <c r="AH171" i="1"/>
  <c r="AG171" i="1"/>
  <c r="AF171" i="1"/>
  <c r="AC171" i="1"/>
  <c r="AB171" i="1"/>
  <c r="Z171" i="1"/>
  <c r="J171" i="1"/>
  <c r="BJ169" i="1"/>
  <c r="BI169" i="1"/>
  <c r="AE169" i="1" s="1"/>
  <c r="BH169" i="1"/>
  <c r="AD169" i="1" s="1"/>
  <c r="BF169" i="1"/>
  <c r="BD169" i="1"/>
  <c r="AX169" i="1"/>
  <c r="AW169" i="1"/>
  <c r="BC169" i="1" s="1"/>
  <c r="AV169" i="1"/>
  <c r="AP169" i="1"/>
  <c r="AO169" i="1"/>
  <c r="AL169" i="1"/>
  <c r="AJ169" i="1"/>
  <c r="AH169" i="1"/>
  <c r="AG169" i="1"/>
  <c r="AF169" i="1"/>
  <c r="AC169" i="1"/>
  <c r="AB169" i="1"/>
  <c r="Z169" i="1"/>
  <c r="J169" i="1"/>
  <c r="AK169" i="1" s="1"/>
  <c r="I169" i="1"/>
  <c r="H169" i="1"/>
  <c r="BJ167" i="1"/>
  <c r="BI167" i="1"/>
  <c r="AE167" i="1" s="1"/>
  <c r="BH167" i="1"/>
  <c r="AD167" i="1" s="1"/>
  <c r="BF167" i="1"/>
  <c r="BD167" i="1"/>
  <c r="AX167" i="1"/>
  <c r="BC167" i="1" s="1"/>
  <c r="AW167" i="1"/>
  <c r="AP167" i="1"/>
  <c r="AO167" i="1"/>
  <c r="AL167" i="1"/>
  <c r="AJ167" i="1"/>
  <c r="AH167" i="1"/>
  <c r="AG167" i="1"/>
  <c r="AF167" i="1"/>
  <c r="AC167" i="1"/>
  <c r="AB167" i="1"/>
  <c r="Z167" i="1"/>
  <c r="J167" i="1"/>
  <c r="AK167" i="1" s="1"/>
  <c r="I167" i="1"/>
  <c r="H167" i="1"/>
  <c r="BJ165" i="1"/>
  <c r="BI165" i="1"/>
  <c r="AE165" i="1" s="1"/>
  <c r="BF165" i="1"/>
  <c r="BD165" i="1"/>
  <c r="AP165" i="1"/>
  <c r="AO165" i="1"/>
  <c r="AL165" i="1"/>
  <c r="AK165" i="1"/>
  <c r="AJ165" i="1"/>
  <c r="AH165" i="1"/>
  <c r="AG165" i="1"/>
  <c r="AF165" i="1"/>
  <c r="AC165" i="1"/>
  <c r="AB165" i="1"/>
  <c r="Z165" i="1"/>
  <c r="J165" i="1"/>
  <c r="H165" i="1"/>
  <c r="BJ163" i="1"/>
  <c r="BF163" i="1"/>
  <c r="BD163" i="1"/>
  <c r="AX163" i="1"/>
  <c r="BC163" i="1" s="1"/>
  <c r="AW163" i="1"/>
  <c r="AV163" i="1" s="1"/>
  <c r="AP163" i="1"/>
  <c r="AO163" i="1"/>
  <c r="BH163" i="1" s="1"/>
  <c r="AD163" i="1" s="1"/>
  <c r="AL163" i="1"/>
  <c r="AK163" i="1"/>
  <c r="AJ163" i="1"/>
  <c r="AH163" i="1"/>
  <c r="AG163" i="1"/>
  <c r="AF163" i="1"/>
  <c r="AC163" i="1"/>
  <c r="AB163" i="1"/>
  <c r="Z163" i="1"/>
  <c r="J163" i="1"/>
  <c r="H163" i="1"/>
  <c r="BJ161" i="1"/>
  <c r="BI161" i="1"/>
  <c r="AE161" i="1" s="1"/>
  <c r="BF161" i="1"/>
  <c r="BD161" i="1"/>
  <c r="AP161" i="1"/>
  <c r="AX161" i="1" s="1"/>
  <c r="AO161" i="1"/>
  <c r="AW161" i="1" s="1"/>
  <c r="AL161" i="1"/>
  <c r="AJ161" i="1"/>
  <c r="AH161" i="1"/>
  <c r="AG161" i="1"/>
  <c r="AF161" i="1"/>
  <c r="AC161" i="1"/>
  <c r="AB161" i="1"/>
  <c r="Z161" i="1"/>
  <c r="J161" i="1"/>
  <c r="AK161" i="1" s="1"/>
  <c r="I161" i="1"/>
  <c r="BJ159" i="1"/>
  <c r="BH159" i="1"/>
  <c r="AD159" i="1" s="1"/>
  <c r="BF159" i="1"/>
  <c r="BD159" i="1"/>
  <c r="AW159" i="1"/>
  <c r="AP159" i="1"/>
  <c r="AX159" i="1" s="1"/>
  <c r="BC159" i="1" s="1"/>
  <c r="AO159" i="1"/>
  <c r="AL159" i="1"/>
  <c r="AJ159" i="1"/>
  <c r="AH159" i="1"/>
  <c r="AG159" i="1"/>
  <c r="AF159" i="1"/>
  <c r="AC159" i="1"/>
  <c r="AB159" i="1"/>
  <c r="Z159" i="1"/>
  <c r="J159" i="1"/>
  <c r="AK159" i="1" s="1"/>
  <c r="H159" i="1"/>
  <c r="BJ158" i="1"/>
  <c r="BF158" i="1"/>
  <c r="BD158" i="1"/>
  <c r="AP158" i="1"/>
  <c r="AO158" i="1"/>
  <c r="AL158" i="1"/>
  <c r="AK158" i="1"/>
  <c r="AT157" i="1" s="1"/>
  <c r="AJ158" i="1"/>
  <c r="AS157" i="1" s="1"/>
  <c r="AH158" i="1"/>
  <c r="AG158" i="1"/>
  <c r="AF158" i="1"/>
  <c r="AC158" i="1"/>
  <c r="AB158" i="1"/>
  <c r="Z158" i="1"/>
  <c r="J158" i="1"/>
  <c r="H158" i="1"/>
  <c r="BJ156" i="1"/>
  <c r="BF156" i="1"/>
  <c r="BD156" i="1"/>
  <c r="AP156" i="1"/>
  <c r="BI156" i="1" s="1"/>
  <c r="AO156" i="1"/>
  <c r="H156" i="1" s="1"/>
  <c r="AL156" i="1"/>
  <c r="AJ156" i="1"/>
  <c r="AH156" i="1"/>
  <c r="AG156" i="1"/>
  <c r="AF156" i="1"/>
  <c r="AE156" i="1"/>
  <c r="AD156" i="1"/>
  <c r="AC156" i="1"/>
  <c r="AB156" i="1"/>
  <c r="Z156" i="1"/>
  <c r="J156" i="1"/>
  <c r="AK156" i="1" s="1"/>
  <c r="BJ155" i="1"/>
  <c r="BI155" i="1"/>
  <c r="AE155" i="1" s="1"/>
  <c r="BH155" i="1"/>
  <c r="AD155" i="1" s="1"/>
  <c r="BF155" i="1"/>
  <c r="BD155" i="1"/>
  <c r="BC155" i="1"/>
  <c r="AX155" i="1"/>
  <c r="AV155" i="1"/>
  <c r="AP155" i="1"/>
  <c r="AO155" i="1"/>
  <c r="AW155" i="1" s="1"/>
  <c r="AL155" i="1"/>
  <c r="AJ155" i="1"/>
  <c r="AH155" i="1"/>
  <c r="AG155" i="1"/>
  <c r="AF155" i="1"/>
  <c r="AC155" i="1"/>
  <c r="AB155" i="1"/>
  <c r="Z155" i="1"/>
  <c r="J155" i="1"/>
  <c r="AK155" i="1" s="1"/>
  <c r="I155" i="1"/>
  <c r="H155" i="1"/>
  <c r="BJ154" i="1"/>
  <c r="BF154" i="1"/>
  <c r="BD154" i="1"/>
  <c r="AP154" i="1"/>
  <c r="I154" i="1" s="1"/>
  <c r="AO154" i="1"/>
  <c r="AL154" i="1"/>
  <c r="AK154" i="1"/>
  <c r="AT153" i="1" s="1"/>
  <c r="AJ154" i="1"/>
  <c r="AH154" i="1"/>
  <c r="AG154" i="1"/>
  <c r="AF154" i="1"/>
  <c r="AC154" i="1"/>
  <c r="AB154" i="1"/>
  <c r="Z154" i="1"/>
  <c r="J154" i="1"/>
  <c r="AU153" i="1"/>
  <c r="J153" i="1"/>
  <c r="G19" i="2" s="1"/>
  <c r="I19" i="2" s="1"/>
  <c r="BJ152" i="1"/>
  <c r="BI152" i="1"/>
  <c r="BH152" i="1"/>
  <c r="BF152" i="1"/>
  <c r="BD152" i="1"/>
  <c r="BC152" i="1"/>
  <c r="AX152" i="1"/>
  <c r="AW152" i="1"/>
  <c r="AV152" i="1"/>
  <c r="AP152" i="1"/>
  <c r="AO152" i="1"/>
  <c r="AL152" i="1"/>
  <c r="AJ152" i="1"/>
  <c r="AH152" i="1"/>
  <c r="AG152" i="1"/>
  <c r="AF152" i="1"/>
  <c r="AE152" i="1"/>
  <c r="AD152" i="1"/>
  <c r="AC152" i="1"/>
  <c r="AB152" i="1"/>
  <c r="Z152" i="1"/>
  <c r="J152" i="1"/>
  <c r="AK152" i="1" s="1"/>
  <c r="I152" i="1"/>
  <c r="H152" i="1"/>
  <c r="BJ151" i="1"/>
  <c r="BH151" i="1"/>
  <c r="BF151" i="1"/>
  <c r="BD151" i="1"/>
  <c r="AW151" i="1"/>
  <c r="AP151" i="1"/>
  <c r="AO151" i="1"/>
  <c r="AL151" i="1"/>
  <c r="AJ151" i="1"/>
  <c r="AH151" i="1"/>
  <c r="AG151" i="1"/>
  <c r="AF151" i="1"/>
  <c r="AD151" i="1"/>
  <c r="AC151" i="1"/>
  <c r="AB151" i="1"/>
  <c r="Z151" i="1"/>
  <c r="J151" i="1"/>
  <c r="AK151" i="1" s="1"/>
  <c r="I151" i="1"/>
  <c r="H151" i="1"/>
  <c r="BJ150" i="1"/>
  <c r="BF150" i="1"/>
  <c r="BD150" i="1"/>
  <c r="AP150" i="1"/>
  <c r="AO150" i="1"/>
  <c r="AW150" i="1" s="1"/>
  <c r="AL150" i="1"/>
  <c r="AK150" i="1"/>
  <c r="AJ150" i="1"/>
  <c r="AH150" i="1"/>
  <c r="AG150" i="1"/>
  <c r="AF150" i="1"/>
  <c r="AC150" i="1"/>
  <c r="AB150" i="1"/>
  <c r="Z150" i="1"/>
  <c r="J150" i="1"/>
  <c r="BJ149" i="1"/>
  <c r="BF149" i="1"/>
  <c r="BD149" i="1"/>
  <c r="AP149" i="1"/>
  <c r="AO149" i="1"/>
  <c r="AL149" i="1"/>
  <c r="AK149" i="1"/>
  <c r="AJ149" i="1"/>
  <c r="AH149" i="1"/>
  <c r="AG149" i="1"/>
  <c r="AF149" i="1"/>
  <c r="AC149" i="1"/>
  <c r="AB149" i="1"/>
  <c r="Z149" i="1"/>
  <c r="J149" i="1"/>
  <c r="BJ148" i="1"/>
  <c r="BH148" i="1"/>
  <c r="AD148" i="1" s="1"/>
  <c r="BF148" i="1"/>
  <c r="BD148" i="1"/>
  <c r="AW148" i="1"/>
  <c r="AP148" i="1"/>
  <c r="BI148" i="1" s="1"/>
  <c r="AE148" i="1" s="1"/>
  <c r="AO148" i="1"/>
  <c r="AL148" i="1"/>
  <c r="AK148" i="1"/>
  <c r="AJ148" i="1"/>
  <c r="AH148" i="1"/>
  <c r="AG148" i="1"/>
  <c r="AF148" i="1"/>
  <c r="AC148" i="1"/>
  <c r="AB148" i="1"/>
  <c r="Z148" i="1"/>
  <c r="J148" i="1"/>
  <c r="I148" i="1"/>
  <c r="H148" i="1"/>
  <c r="BJ147" i="1"/>
  <c r="BI147" i="1"/>
  <c r="AE147" i="1" s="1"/>
  <c r="BH147" i="1"/>
  <c r="BF147" i="1"/>
  <c r="BD147" i="1"/>
  <c r="AW147" i="1"/>
  <c r="AP147" i="1"/>
  <c r="AX147" i="1" s="1"/>
  <c r="AO147" i="1"/>
  <c r="AL147" i="1"/>
  <c r="AJ147" i="1"/>
  <c r="AH147" i="1"/>
  <c r="AG147" i="1"/>
  <c r="AF147" i="1"/>
  <c r="AD147" i="1"/>
  <c r="AC147" i="1"/>
  <c r="AB147" i="1"/>
  <c r="Z147" i="1"/>
  <c r="J147" i="1"/>
  <c r="AK147" i="1" s="1"/>
  <c r="I147" i="1"/>
  <c r="H147" i="1"/>
  <c r="BJ146" i="1"/>
  <c r="BF146" i="1"/>
  <c r="BD146" i="1"/>
  <c r="AP146" i="1"/>
  <c r="AO146" i="1"/>
  <c r="BH146" i="1" s="1"/>
  <c r="AD146" i="1" s="1"/>
  <c r="AL146" i="1"/>
  <c r="AJ146" i="1"/>
  <c r="AH146" i="1"/>
  <c r="AG146" i="1"/>
  <c r="AF146" i="1"/>
  <c r="AC146" i="1"/>
  <c r="AB146" i="1"/>
  <c r="Z146" i="1"/>
  <c r="J146" i="1"/>
  <c r="AK146" i="1" s="1"/>
  <c r="H146" i="1"/>
  <c r="BJ145" i="1"/>
  <c r="BH145" i="1"/>
  <c r="AD145" i="1" s="1"/>
  <c r="BF145" i="1"/>
  <c r="BD145" i="1"/>
  <c r="BC145" i="1"/>
  <c r="AX145" i="1"/>
  <c r="AW145" i="1"/>
  <c r="AP145" i="1"/>
  <c r="BI145" i="1" s="1"/>
  <c r="AO145" i="1"/>
  <c r="AL145" i="1"/>
  <c r="AJ145" i="1"/>
  <c r="AS144" i="1" s="1"/>
  <c r="AH145" i="1"/>
  <c r="AG145" i="1"/>
  <c r="AF145" i="1"/>
  <c r="AE145" i="1"/>
  <c r="AC145" i="1"/>
  <c r="AB145" i="1"/>
  <c r="Z145" i="1"/>
  <c r="J145" i="1"/>
  <c r="I145" i="1"/>
  <c r="H145" i="1"/>
  <c r="AU144" i="1"/>
  <c r="BJ143" i="1"/>
  <c r="BI143" i="1"/>
  <c r="BH143" i="1"/>
  <c r="BF143" i="1"/>
  <c r="BD143" i="1"/>
  <c r="AX143" i="1"/>
  <c r="AW143" i="1"/>
  <c r="BC143" i="1" s="1"/>
  <c r="AV143" i="1"/>
  <c r="AP143" i="1"/>
  <c r="AO143" i="1"/>
  <c r="AL143" i="1"/>
  <c r="AK143" i="1"/>
  <c r="AJ143" i="1"/>
  <c r="AH143" i="1"/>
  <c r="AG143" i="1"/>
  <c r="AF143" i="1"/>
  <c r="AE143" i="1"/>
  <c r="AD143" i="1"/>
  <c r="AC143" i="1"/>
  <c r="AB143" i="1"/>
  <c r="Z143" i="1"/>
  <c r="J143" i="1"/>
  <c r="I143" i="1"/>
  <c r="H143" i="1"/>
  <c r="BJ142" i="1"/>
  <c r="BF142" i="1"/>
  <c r="BD142" i="1"/>
  <c r="AP142" i="1"/>
  <c r="AO142" i="1"/>
  <c r="AL142" i="1"/>
  <c r="AK142" i="1"/>
  <c r="AJ142" i="1"/>
  <c r="AH142" i="1"/>
  <c r="AG142" i="1"/>
  <c r="AF142" i="1"/>
  <c r="AC142" i="1"/>
  <c r="AB142" i="1"/>
  <c r="Z142" i="1"/>
  <c r="J142" i="1"/>
  <c r="BJ141" i="1"/>
  <c r="BF141" i="1"/>
  <c r="BD141" i="1"/>
  <c r="AP141" i="1"/>
  <c r="AO141" i="1"/>
  <c r="AL141" i="1"/>
  <c r="AJ141" i="1"/>
  <c r="AH141" i="1"/>
  <c r="AG141" i="1"/>
  <c r="AF141" i="1"/>
  <c r="AC141" i="1"/>
  <c r="AB141" i="1"/>
  <c r="Z141" i="1"/>
  <c r="J141" i="1"/>
  <c r="AK141" i="1" s="1"/>
  <c r="BJ140" i="1"/>
  <c r="BI140" i="1"/>
  <c r="AE140" i="1" s="1"/>
  <c r="BH140" i="1"/>
  <c r="AD140" i="1" s="1"/>
  <c r="BF140" i="1"/>
  <c r="BD140" i="1"/>
  <c r="AX140" i="1"/>
  <c r="AW140" i="1"/>
  <c r="AV140" i="1" s="1"/>
  <c r="AP140" i="1"/>
  <c r="AO140" i="1"/>
  <c r="AL140" i="1"/>
  <c r="AJ140" i="1"/>
  <c r="AH140" i="1"/>
  <c r="AG140" i="1"/>
  <c r="AF140" i="1"/>
  <c r="AC140" i="1"/>
  <c r="AB140" i="1"/>
  <c r="Z140" i="1"/>
  <c r="J140" i="1"/>
  <c r="AK140" i="1" s="1"/>
  <c r="I140" i="1"/>
  <c r="H140" i="1"/>
  <c r="BJ139" i="1"/>
  <c r="BI139" i="1"/>
  <c r="AE139" i="1" s="1"/>
  <c r="BH139" i="1"/>
  <c r="AD139" i="1" s="1"/>
  <c r="BF139" i="1"/>
  <c r="BD139" i="1"/>
  <c r="AX139" i="1"/>
  <c r="AW139" i="1"/>
  <c r="BC139" i="1" s="1"/>
  <c r="AV139" i="1"/>
  <c r="AP139" i="1"/>
  <c r="AO139" i="1"/>
  <c r="AL139" i="1"/>
  <c r="AJ139" i="1"/>
  <c r="AH139" i="1"/>
  <c r="AG139" i="1"/>
  <c r="AF139" i="1"/>
  <c r="AC139" i="1"/>
  <c r="AB139" i="1"/>
  <c r="Z139" i="1"/>
  <c r="J139" i="1"/>
  <c r="I139" i="1"/>
  <c r="H139" i="1"/>
  <c r="BJ137" i="1"/>
  <c r="Z137" i="1" s="1"/>
  <c r="BF137" i="1"/>
  <c r="BD137" i="1"/>
  <c r="AW137" i="1"/>
  <c r="AP137" i="1"/>
  <c r="BI137" i="1" s="1"/>
  <c r="AO137" i="1"/>
  <c r="AL137" i="1"/>
  <c r="AK137" i="1"/>
  <c r="AJ137" i="1"/>
  <c r="AH137" i="1"/>
  <c r="AG137" i="1"/>
  <c r="AF137" i="1"/>
  <c r="AE137" i="1"/>
  <c r="AD137" i="1"/>
  <c r="AC137" i="1"/>
  <c r="AB137" i="1"/>
  <c r="J137" i="1"/>
  <c r="BJ136" i="1"/>
  <c r="BI136" i="1"/>
  <c r="AE136" i="1" s="1"/>
  <c r="BH136" i="1"/>
  <c r="AD136" i="1" s="1"/>
  <c r="BF136" i="1"/>
  <c r="BD136" i="1"/>
  <c r="AX136" i="1"/>
  <c r="AP136" i="1"/>
  <c r="AO136" i="1"/>
  <c r="AW136" i="1" s="1"/>
  <c r="AV136" i="1" s="1"/>
  <c r="AL136" i="1"/>
  <c r="AJ136" i="1"/>
  <c r="AH136" i="1"/>
  <c r="AG136" i="1"/>
  <c r="AF136" i="1"/>
  <c r="AC136" i="1"/>
  <c r="AB136" i="1"/>
  <c r="Z136" i="1"/>
  <c r="J136" i="1"/>
  <c r="AK136" i="1" s="1"/>
  <c r="I136" i="1"/>
  <c r="H136" i="1"/>
  <c r="BJ135" i="1"/>
  <c r="BI135" i="1"/>
  <c r="AE135" i="1" s="1"/>
  <c r="BH135" i="1"/>
  <c r="AD135" i="1" s="1"/>
  <c r="BF135" i="1"/>
  <c r="BD135" i="1"/>
  <c r="AX135" i="1"/>
  <c r="AW135" i="1"/>
  <c r="AV135" i="1" s="1"/>
  <c r="AP135" i="1"/>
  <c r="AO135" i="1"/>
  <c r="H135" i="1" s="1"/>
  <c r="AL135" i="1"/>
  <c r="AJ135" i="1"/>
  <c r="AH135" i="1"/>
  <c r="AG135" i="1"/>
  <c r="AF135" i="1"/>
  <c r="AC135" i="1"/>
  <c r="AB135" i="1"/>
  <c r="Z135" i="1"/>
  <c r="J135" i="1"/>
  <c r="AK135" i="1" s="1"/>
  <c r="I135" i="1"/>
  <c r="BJ134" i="1"/>
  <c r="BH134" i="1"/>
  <c r="AD134" i="1" s="1"/>
  <c r="BF134" i="1"/>
  <c r="BD134" i="1"/>
  <c r="AX134" i="1"/>
  <c r="BC134" i="1" s="1"/>
  <c r="AW134" i="1"/>
  <c r="AP134" i="1"/>
  <c r="AO134" i="1"/>
  <c r="H134" i="1" s="1"/>
  <c r="AL134" i="1"/>
  <c r="AJ134" i="1"/>
  <c r="AH134" i="1"/>
  <c r="AG134" i="1"/>
  <c r="AF134" i="1"/>
  <c r="AC134" i="1"/>
  <c r="AB134" i="1"/>
  <c r="Z134" i="1"/>
  <c r="J134" i="1"/>
  <c r="AK134" i="1" s="1"/>
  <c r="BJ133" i="1"/>
  <c r="BI133" i="1"/>
  <c r="BH133" i="1"/>
  <c r="AD133" i="1" s="1"/>
  <c r="BF133" i="1"/>
  <c r="BD133" i="1"/>
  <c r="AP133" i="1"/>
  <c r="AX133" i="1" s="1"/>
  <c r="AO133" i="1"/>
  <c r="AW133" i="1" s="1"/>
  <c r="AL133" i="1"/>
  <c r="AJ133" i="1"/>
  <c r="AH133" i="1"/>
  <c r="AG133" i="1"/>
  <c r="AF133" i="1"/>
  <c r="AE133" i="1"/>
  <c r="AC133" i="1"/>
  <c r="AB133" i="1"/>
  <c r="Z133" i="1"/>
  <c r="J133" i="1"/>
  <c r="AK133" i="1" s="1"/>
  <c r="I133" i="1"/>
  <c r="H133" i="1"/>
  <c r="BJ132" i="1"/>
  <c r="BI132" i="1"/>
  <c r="BF132" i="1"/>
  <c r="BD132" i="1"/>
  <c r="AX132" i="1"/>
  <c r="AP132" i="1"/>
  <c r="AO132" i="1"/>
  <c r="AL132" i="1"/>
  <c r="AK132" i="1"/>
  <c r="AJ132" i="1"/>
  <c r="AH132" i="1"/>
  <c r="AG132" i="1"/>
  <c r="AF132" i="1"/>
  <c r="AE132" i="1"/>
  <c r="AC132" i="1"/>
  <c r="AB132" i="1"/>
  <c r="Z132" i="1"/>
  <c r="J132" i="1"/>
  <c r="I132" i="1"/>
  <c r="BJ130" i="1"/>
  <c r="BI130" i="1"/>
  <c r="BH130" i="1"/>
  <c r="AD130" i="1" s="1"/>
  <c r="BF130" i="1"/>
  <c r="BD130" i="1"/>
  <c r="AX130" i="1"/>
  <c r="AP130" i="1"/>
  <c r="AO130" i="1"/>
  <c r="H130" i="1" s="1"/>
  <c r="AL130" i="1"/>
  <c r="AK130" i="1"/>
  <c r="AJ130" i="1"/>
  <c r="AH130" i="1"/>
  <c r="AG130" i="1"/>
  <c r="AF130" i="1"/>
  <c r="AE130" i="1"/>
  <c r="AC130" i="1"/>
  <c r="AB130" i="1"/>
  <c r="Z130" i="1"/>
  <c r="J130" i="1"/>
  <c r="I130" i="1"/>
  <c r="BJ129" i="1"/>
  <c r="BF129" i="1"/>
  <c r="BD129" i="1"/>
  <c r="AP129" i="1"/>
  <c r="AO129" i="1"/>
  <c r="AL129" i="1"/>
  <c r="AK129" i="1"/>
  <c r="AJ129" i="1"/>
  <c r="AH129" i="1"/>
  <c r="AG129" i="1"/>
  <c r="AF129" i="1"/>
  <c r="AC129" i="1"/>
  <c r="AB129" i="1"/>
  <c r="Z129" i="1"/>
  <c r="J129" i="1"/>
  <c r="BJ128" i="1"/>
  <c r="BI128" i="1"/>
  <c r="AE128" i="1" s="1"/>
  <c r="BH128" i="1"/>
  <c r="AD128" i="1" s="1"/>
  <c r="BF128" i="1"/>
  <c r="BD128" i="1"/>
  <c r="AP128" i="1"/>
  <c r="AX128" i="1" s="1"/>
  <c r="AO128" i="1"/>
  <c r="AW128" i="1" s="1"/>
  <c r="AL128" i="1"/>
  <c r="AJ128" i="1"/>
  <c r="AH128" i="1"/>
  <c r="AG128" i="1"/>
  <c r="AF128" i="1"/>
  <c r="AC128" i="1"/>
  <c r="AB128" i="1"/>
  <c r="Z128" i="1"/>
  <c r="J128" i="1"/>
  <c r="AK128" i="1" s="1"/>
  <c r="I128" i="1"/>
  <c r="H128" i="1"/>
  <c r="BJ127" i="1"/>
  <c r="BI127" i="1"/>
  <c r="AE127" i="1" s="1"/>
  <c r="BH127" i="1"/>
  <c r="BF127" i="1"/>
  <c r="BD127" i="1"/>
  <c r="AX127" i="1"/>
  <c r="AW127" i="1"/>
  <c r="AV127" i="1" s="1"/>
  <c r="AP127" i="1"/>
  <c r="AO127" i="1"/>
  <c r="AL127" i="1"/>
  <c r="AJ127" i="1"/>
  <c r="AH127" i="1"/>
  <c r="AG127" i="1"/>
  <c r="AF127" i="1"/>
  <c r="AD127" i="1"/>
  <c r="AC127" i="1"/>
  <c r="AB127" i="1"/>
  <c r="Z127" i="1"/>
  <c r="J127" i="1"/>
  <c r="AK127" i="1" s="1"/>
  <c r="I127" i="1"/>
  <c r="H127" i="1"/>
  <c r="BJ126" i="1"/>
  <c r="BI126" i="1"/>
  <c r="BH126" i="1"/>
  <c r="BF126" i="1"/>
  <c r="BD126" i="1"/>
  <c r="AX126" i="1"/>
  <c r="AP126" i="1"/>
  <c r="AO126" i="1"/>
  <c r="H126" i="1" s="1"/>
  <c r="AL126" i="1"/>
  <c r="AJ126" i="1"/>
  <c r="AH126" i="1"/>
  <c r="AG126" i="1"/>
  <c r="AF126" i="1"/>
  <c r="AE126" i="1"/>
  <c r="AD126" i="1"/>
  <c r="AC126" i="1"/>
  <c r="AB126" i="1"/>
  <c r="Z126" i="1"/>
  <c r="J126" i="1"/>
  <c r="AK126" i="1" s="1"/>
  <c r="I126" i="1"/>
  <c r="BJ125" i="1"/>
  <c r="BH125" i="1"/>
  <c r="AD125" i="1" s="1"/>
  <c r="BF125" i="1"/>
  <c r="BD125" i="1"/>
  <c r="AX125" i="1"/>
  <c r="AW125" i="1"/>
  <c r="BC125" i="1" s="1"/>
  <c r="AV125" i="1"/>
  <c r="AP125" i="1"/>
  <c r="AO125" i="1"/>
  <c r="H125" i="1" s="1"/>
  <c r="AL125" i="1"/>
  <c r="AK125" i="1"/>
  <c r="AJ125" i="1"/>
  <c r="AH125" i="1"/>
  <c r="AG125" i="1"/>
  <c r="AF125" i="1"/>
  <c r="AC125" i="1"/>
  <c r="AB125" i="1"/>
  <c r="Z125" i="1"/>
  <c r="J125" i="1"/>
  <c r="BJ124" i="1"/>
  <c r="BF124" i="1"/>
  <c r="BD124" i="1"/>
  <c r="AP124" i="1"/>
  <c r="AX124" i="1" s="1"/>
  <c r="AO124" i="1"/>
  <c r="AL124" i="1"/>
  <c r="AK124" i="1"/>
  <c r="AJ124" i="1"/>
  <c r="AH124" i="1"/>
  <c r="AG124" i="1"/>
  <c r="AF124" i="1"/>
  <c r="AC124" i="1"/>
  <c r="AB124" i="1"/>
  <c r="Z124" i="1"/>
  <c r="J124" i="1"/>
  <c r="BJ123" i="1"/>
  <c r="BI123" i="1"/>
  <c r="BF123" i="1"/>
  <c r="BD123" i="1"/>
  <c r="AX123" i="1"/>
  <c r="AP123" i="1"/>
  <c r="AO123" i="1"/>
  <c r="H123" i="1" s="1"/>
  <c r="AL123" i="1"/>
  <c r="AK123" i="1"/>
  <c r="AJ123" i="1"/>
  <c r="AH123" i="1"/>
  <c r="AG123" i="1"/>
  <c r="AF123" i="1"/>
  <c r="AE123" i="1"/>
  <c r="AC123" i="1"/>
  <c r="AB123" i="1"/>
  <c r="Z123" i="1"/>
  <c r="J123" i="1"/>
  <c r="I123" i="1"/>
  <c r="BJ122" i="1"/>
  <c r="BI122" i="1"/>
  <c r="AE122" i="1" s="1"/>
  <c r="BF122" i="1"/>
  <c r="BD122" i="1"/>
  <c r="AX122" i="1"/>
  <c r="AP122" i="1"/>
  <c r="AO122" i="1"/>
  <c r="AL122" i="1"/>
  <c r="AJ122" i="1"/>
  <c r="AH122" i="1"/>
  <c r="AG122" i="1"/>
  <c r="AF122" i="1"/>
  <c r="AC122" i="1"/>
  <c r="AB122" i="1"/>
  <c r="Z122" i="1"/>
  <c r="J122" i="1"/>
  <c r="AK122" i="1" s="1"/>
  <c r="I122" i="1"/>
  <c r="BJ121" i="1"/>
  <c r="BF121" i="1"/>
  <c r="BD121" i="1"/>
  <c r="AP121" i="1"/>
  <c r="AO121" i="1"/>
  <c r="AL121" i="1"/>
  <c r="AJ121" i="1"/>
  <c r="AH121" i="1"/>
  <c r="AG121" i="1"/>
  <c r="AF121" i="1"/>
  <c r="AC121" i="1"/>
  <c r="AB121" i="1"/>
  <c r="Z121" i="1"/>
  <c r="J121" i="1"/>
  <c r="AK121" i="1" s="1"/>
  <c r="BJ120" i="1"/>
  <c r="BI120" i="1"/>
  <c r="BH120" i="1"/>
  <c r="AD120" i="1" s="1"/>
  <c r="BF120" i="1"/>
  <c r="BD120" i="1"/>
  <c r="AX120" i="1"/>
  <c r="AW120" i="1"/>
  <c r="BC120" i="1" s="1"/>
  <c r="AV120" i="1"/>
  <c r="AP120" i="1"/>
  <c r="AO120" i="1"/>
  <c r="AL120" i="1"/>
  <c r="AJ120" i="1"/>
  <c r="AH120" i="1"/>
  <c r="AG120" i="1"/>
  <c r="AF120" i="1"/>
  <c r="AE120" i="1"/>
  <c r="AC120" i="1"/>
  <c r="AB120" i="1"/>
  <c r="Z120" i="1"/>
  <c r="J120" i="1"/>
  <c r="AK120" i="1" s="1"/>
  <c r="I120" i="1"/>
  <c r="H120" i="1"/>
  <c r="BJ119" i="1"/>
  <c r="BI119" i="1"/>
  <c r="BH119" i="1"/>
  <c r="BF119" i="1"/>
  <c r="BD119" i="1"/>
  <c r="AX119" i="1"/>
  <c r="AP119" i="1"/>
  <c r="AO119" i="1"/>
  <c r="AW119" i="1" s="1"/>
  <c r="AL119" i="1"/>
  <c r="AJ119" i="1"/>
  <c r="AH119" i="1"/>
  <c r="AG119" i="1"/>
  <c r="AF119" i="1"/>
  <c r="AE119" i="1"/>
  <c r="AD119" i="1"/>
  <c r="AC119" i="1"/>
  <c r="AB119" i="1"/>
  <c r="Z119" i="1"/>
  <c r="J119" i="1"/>
  <c r="AK119" i="1" s="1"/>
  <c r="I119" i="1"/>
  <c r="H119" i="1"/>
  <c r="BJ118" i="1"/>
  <c r="BI118" i="1"/>
  <c r="BF118" i="1"/>
  <c r="BD118" i="1"/>
  <c r="AX118" i="1"/>
  <c r="AP118" i="1"/>
  <c r="AO118" i="1"/>
  <c r="AL118" i="1"/>
  <c r="AK118" i="1"/>
  <c r="AJ118" i="1"/>
  <c r="AH118" i="1"/>
  <c r="AG118" i="1"/>
  <c r="AF118" i="1"/>
  <c r="AE118" i="1"/>
  <c r="AC118" i="1"/>
  <c r="AB118" i="1"/>
  <c r="Z118" i="1"/>
  <c r="J118" i="1"/>
  <c r="I118" i="1"/>
  <c r="BJ117" i="1"/>
  <c r="BF117" i="1"/>
  <c r="BD117" i="1"/>
  <c r="AP117" i="1"/>
  <c r="AO117" i="1"/>
  <c r="AL117" i="1"/>
  <c r="AK117" i="1"/>
  <c r="AJ117" i="1"/>
  <c r="AH117" i="1"/>
  <c r="AG117" i="1"/>
  <c r="AF117" i="1"/>
  <c r="AC117" i="1"/>
  <c r="AB117" i="1"/>
  <c r="Z117" i="1"/>
  <c r="J117" i="1"/>
  <c r="BJ116" i="1"/>
  <c r="BF116" i="1"/>
  <c r="BD116" i="1"/>
  <c r="AP116" i="1"/>
  <c r="AO116" i="1"/>
  <c r="AW116" i="1" s="1"/>
  <c r="AL116" i="1"/>
  <c r="AK116" i="1"/>
  <c r="AJ116" i="1"/>
  <c r="AH116" i="1"/>
  <c r="AG116" i="1"/>
  <c r="AF116" i="1"/>
  <c r="AC116" i="1"/>
  <c r="AB116" i="1"/>
  <c r="Z116" i="1"/>
  <c r="J116" i="1"/>
  <c r="BJ115" i="1"/>
  <c r="BI115" i="1"/>
  <c r="AE115" i="1" s="1"/>
  <c r="BF115" i="1"/>
  <c r="BD115" i="1"/>
  <c r="AX115" i="1"/>
  <c r="AP115" i="1"/>
  <c r="AO115" i="1"/>
  <c r="AL115" i="1"/>
  <c r="AK115" i="1"/>
  <c r="AJ115" i="1"/>
  <c r="AH115" i="1"/>
  <c r="AG115" i="1"/>
  <c r="AF115" i="1"/>
  <c r="AC115" i="1"/>
  <c r="AB115" i="1"/>
  <c r="Z115" i="1"/>
  <c r="J115" i="1"/>
  <c r="I115" i="1"/>
  <c r="BJ114" i="1"/>
  <c r="BI114" i="1"/>
  <c r="AE114" i="1" s="1"/>
  <c r="BH114" i="1"/>
  <c r="AD114" i="1" s="1"/>
  <c r="BF114" i="1"/>
  <c r="BD114" i="1"/>
  <c r="AX114" i="1"/>
  <c r="AW114" i="1"/>
  <c r="AV114" i="1" s="1"/>
  <c r="AP114" i="1"/>
  <c r="AO114" i="1"/>
  <c r="H114" i="1" s="1"/>
  <c r="AL114" i="1"/>
  <c r="AJ114" i="1"/>
  <c r="AH114" i="1"/>
  <c r="AG114" i="1"/>
  <c r="AF114" i="1"/>
  <c r="AC114" i="1"/>
  <c r="AB114" i="1"/>
  <c r="Z114" i="1"/>
  <c r="J114" i="1"/>
  <c r="AK114" i="1" s="1"/>
  <c r="I114" i="1"/>
  <c r="BJ113" i="1"/>
  <c r="BH113" i="1"/>
  <c r="AD113" i="1" s="1"/>
  <c r="BF113" i="1"/>
  <c r="BD113" i="1"/>
  <c r="AX113" i="1"/>
  <c r="BC113" i="1" s="1"/>
  <c r="AW113" i="1"/>
  <c r="AV113" i="1" s="1"/>
  <c r="AP113" i="1"/>
  <c r="AO113" i="1"/>
  <c r="H113" i="1" s="1"/>
  <c r="AL113" i="1"/>
  <c r="AK113" i="1"/>
  <c r="AJ113" i="1"/>
  <c r="AH113" i="1"/>
  <c r="AG113" i="1"/>
  <c r="AF113" i="1"/>
  <c r="AC113" i="1"/>
  <c r="AB113" i="1"/>
  <c r="Z113" i="1"/>
  <c r="J113" i="1"/>
  <c r="BJ112" i="1"/>
  <c r="BI112" i="1"/>
  <c r="BF112" i="1"/>
  <c r="BD112" i="1"/>
  <c r="AP112" i="1"/>
  <c r="AX112" i="1" s="1"/>
  <c r="AO112" i="1"/>
  <c r="AL112" i="1"/>
  <c r="AJ112" i="1"/>
  <c r="AH112" i="1"/>
  <c r="AG112" i="1"/>
  <c r="AF112" i="1"/>
  <c r="AE112" i="1"/>
  <c r="AC112" i="1"/>
  <c r="AB112" i="1"/>
  <c r="Z112" i="1"/>
  <c r="J112" i="1"/>
  <c r="AK112" i="1" s="1"/>
  <c r="I112" i="1"/>
  <c r="BJ111" i="1"/>
  <c r="BI111" i="1"/>
  <c r="BF111" i="1"/>
  <c r="BD111" i="1"/>
  <c r="AX111" i="1"/>
  <c r="AP111" i="1"/>
  <c r="AO111" i="1"/>
  <c r="AL111" i="1"/>
  <c r="AK111" i="1"/>
  <c r="AJ111" i="1"/>
  <c r="AH111" i="1"/>
  <c r="AG111" i="1"/>
  <c r="AF111" i="1"/>
  <c r="AE111" i="1"/>
  <c r="AC111" i="1"/>
  <c r="AB111" i="1"/>
  <c r="Z111" i="1"/>
  <c r="J111" i="1"/>
  <c r="I111" i="1"/>
  <c r="BJ110" i="1"/>
  <c r="BI110" i="1"/>
  <c r="BF110" i="1"/>
  <c r="BD110" i="1"/>
  <c r="AX110" i="1"/>
  <c r="AP110" i="1"/>
  <c r="AO110" i="1"/>
  <c r="AL110" i="1"/>
  <c r="AK110" i="1"/>
  <c r="AJ110" i="1"/>
  <c r="AH110" i="1"/>
  <c r="AG110" i="1"/>
  <c r="AF110" i="1"/>
  <c r="AE110" i="1"/>
  <c r="AC110" i="1"/>
  <c r="AB110" i="1"/>
  <c r="Z110" i="1"/>
  <c r="J110" i="1"/>
  <c r="I110" i="1"/>
  <c r="BJ109" i="1"/>
  <c r="BF109" i="1"/>
  <c r="BD109" i="1"/>
  <c r="AP109" i="1"/>
  <c r="AO109" i="1"/>
  <c r="AL109" i="1"/>
  <c r="AK109" i="1"/>
  <c r="AJ109" i="1"/>
  <c r="AH109" i="1"/>
  <c r="AG109" i="1"/>
  <c r="AF109" i="1"/>
  <c r="AC109" i="1"/>
  <c r="AB109" i="1"/>
  <c r="Z109" i="1"/>
  <c r="J109" i="1"/>
  <c r="BJ108" i="1"/>
  <c r="BF108" i="1"/>
  <c r="BD108" i="1"/>
  <c r="AP108" i="1"/>
  <c r="AO108" i="1"/>
  <c r="H108" i="1" s="1"/>
  <c r="AL108" i="1"/>
  <c r="AK108" i="1"/>
  <c r="AJ108" i="1"/>
  <c r="AH108" i="1"/>
  <c r="AG108" i="1"/>
  <c r="AF108" i="1"/>
  <c r="AC108" i="1"/>
  <c r="AB108" i="1"/>
  <c r="Z108" i="1"/>
  <c r="J108" i="1"/>
  <c r="BJ107" i="1"/>
  <c r="BI107" i="1"/>
  <c r="AE107" i="1" s="1"/>
  <c r="BH107" i="1"/>
  <c r="AD107" i="1" s="1"/>
  <c r="BF107" i="1"/>
  <c r="BD107" i="1"/>
  <c r="AX107" i="1"/>
  <c r="AW107" i="1"/>
  <c r="AV107" i="1" s="1"/>
  <c r="AP107" i="1"/>
  <c r="AO107" i="1"/>
  <c r="AL107" i="1"/>
  <c r="AJ107" i="1"/>
  <c r="AH107" i="1"/>
  <c r="AG107" i="1"/>
  <c r="AF107" i="1"/>
  <c r="AC107" i="1"/>
  <c r="AB107" i="1"/>
  <c r="Z107" i="1"/>
  <c r="J107" i="1"/>
  <c r="AK107" i="1" s="1"/>
  <c r="I107" i="1"/>
  <c r="H107" i="1"/>
  <c r="BJ106" i="1"/>
  <c r="BI106" i="1"/>
  <c r="AE106" i="1" s="1"/>
  <c r="BH106" i="1"/>
  <c r="AD106" i="1" s="1"/>
  <c r="BF106" i="1"/>
  <c r="BD106" i="1"/>
  <c r="AX106" i="1"/>
  <c r="AP106" i="1"/>
  <c r="AO106" i="1"/>
  <c r="H106" i="1" s="1"/>
  <c r="AL106" i="1"/>
  <c r="AJ106" i="1"/>
  <c r="AH106" i="1"/>
  <c r="AG106" i="1"/>
  <c r="AF106" i="1"/>
  <c r="AC106" i="1"/>
  <c r="AB106" i="1"/>
  <c r="Z106" i="1"/>
  <c r="J106" i="1"/>
  <c r="AK106" i="1" s="1"/>
  <c r="I106" i="1"/>
  <c r="BJ105" i="1"/>
  <c r="BH105" i="1"/>
  <c r="AD105" i="1" s="1"/>
  <c r="BF105" i="1"/>
  <c r="BD105" i="1"/>
  <c r="AX105" i="1"/>
  <c r="AW105" i="1"/>
  <c r="BC105" i="1" s="1"/>
  <c r="AV105" i="1"/>
  <c r="AP105" i="1"/>
  <c r="AO105" i="1"/>
  <c r="H105" i="1" s="1"/>
  <c r="AL105" i="1"/>
  <c r="AJ105" i="1"/>
  <c r="AH105" i="1"/>
  <c r="AG105" i="1"/>
  <c r="AF105" i="1"/>
  <c r="AC105" i="1"/>
  <c r="AB105" i="1"/>
  <c r="Z105" i="1"/>
  <c r="J105" i="1"/>
  <c r="AK105" i="1" s="1"/>
  <c r="BJ104" i="1"/>
  <c r="BF104" i="1"/>
  <c r="BD104" i="1"/>
  <c r="AX104" i="1"/>
  <c r="AP104" i="1"/>
  <c r="AO104" i="1"/>
  <c r="AL104" i="1"/>
  <c r="AK104" i="1"/>
  <c r="AJ104" i="1"/>
  <c r="AH104" i="1"/>
  <c r="AG104" i="1"/>
  <c r="AF104" i="1"/>
  <c r="AC104" i="1"/>
  <c r="AB104" i="1"/>
  <c r="Z104" i="1"/>
  <c r="J104" i="1"/>
  <c r="BJ103" i="1"/>
  <c r="BI103" i="1"/>
  <c r="BH103" i="1"/>
  <c r="AD103" i="1" s="1"/>
  <c r="BF103" i="1"/>
  <c r="BD103" i="1"/>
  <c r="AX103" i="1"/>
  <c r="AP103" i="1"/>
  <c r="AO103" i="1"/>
  <c r="H103" i="1" s="1"/>
  <c r="AL103" i="1"/>
  <c r="AK103" i="1"/>
  <c r="AJ103" i="1"/>
  <c r="AH103" i="1"/>
  <c r="AG103" i="1"/>
  <c r="AF103" i="1"/>
  <c r="AE103" i="1"/>
  <c r="AC103" i="1"/>
  <c r="AB103" i="1"/>
  <c r="Z103" i="1"/>
  <c r="J103" i="1"/>
  <c r="I103" i="1"/>
  <c r="BJ102" i="1"/>
  <c r="BI102" i="1"/>
  <c r="AE102" i="1" s="1"/>
  <c r="BH102" i="1"/>
  <c r="AD102" i="1" s="1"/>
  <c r="BF102" i="1"/>
  <c r="BD102" i="1"/>
  <c r="AX102" i="1"/>
  <c r="AP102" i="1"/>
  <c r="AO102" i="1"/>
  <c r="H102" i="1" s="1"/>
  <c r="AL102" i="1"/>
  <c r="AJ102" i="1"/>
  <c r="AH102" i="1"/>
  <c r="AG102" i="1"/>
  <c r="AF102" i="1"/>
  <c r="AC102" i="1"/>
  <c r="AB102" i="1"/>
  <c r="Z102" i="1"/>
  <c r="J102" i="1"/>
  <c r="AK102" i="1" s="1"/>
  <c r="I102" i="1"/>
  <c r="BJ101" i="1"/>
  <c r="BH101" i="1"/>
  <c r="AD101" i="1" s="1"/>
  <c r="BF101" i="1"/>
  <c r="BD101" i="1"/>
  <c r="AW101" i="1"/>
  <c r="AP101" i="1"/>
  <c r="AO101" i="1"/>
  <c r="H101" i="1" s="1"/>
  <c r="AL101" i="1"/>
  <c r="AJ101" i="1"/>
  <c r="AH101" i="1"/>
  <c r="AG101" i="1"/>
  <c r="AF101" i="1"/>
  <c r="AC101" i="1"/>
  <c r="AB101" i="1"/>
  <c r="Z101" i="1"/>
  <c r="J101" i="1"/>
  <c r="AK101" i="1" s="1"/>
  <c r="BJ100" i="1"/>
  <c r="BI100" i="1"/>
  <c r="AE100" i="1" s="1"/>
  <c r="BH100" i="1"/>
  <c r="AD100" i="1" s="1"/>
  <c r="BF100" i="1"/>
  <c r="BD100" i="1"/>
  <c r="AX100" i="1"/>
  <c r="AW100" i="1"/>
  <c r="BC100" i="1" s="1"/>
  <c r="AV100" i="1"/>
  <c r="AP100" i="1"/>
  <c r="AO100" i="1"/>
  <c r="AL100" i="1"/>
  <c r="AJ100" i="1"/>
  <c r="AH100" i="1"/>
  <c r="AG100" i="1"/>
  <c r="AF100" i="1"/>
  <c r="AC100" i="1"/>
  <c r="AB100" i="1"/>
  <c r="Z100" i="1"/>
  <c r="J100" i="1"/>
  <c r="AK100" i="1" s="1"/>
  <c r="I100" i="1"/>
  <c r="H100" i="1"/>
  <c r="BJ98" i="1"/>
  <c r="BI98" i="1"/>
  <c r="AE98" i="1" s="1"/>
  <c r="BH98" i="1"/>
  <c r="AD98" i="1" s="1"/>
  <c r="BF98" i="1"/>
  <c r="BD98" i="1"/>
  <c r="AX98" i="1"/>
  <c r="AP98" i="1"/>
  <c r="AO98" i="1"/>
  <c r="AW98" i="1" s="1"/>
  <c r="AL98" i="1"/>
  <c r="AJ98" i="1"/>
  <c r="AH98" i="1"/>
  <c r="AG98" i="1"/>
  <c r="AF98" i="1"/>
  <c r="AC98" i="1"/>
  <c r="AB98" i="1"/>
  <c r="Z98" i="1"/>
  <c r="J98" i="1"/>
  <c r="AK98" i="1" s="1"/>
  <c r="I98" i="1"/>
  <c r="H98" i="1"/>
  <c r="BJ96" i="1"/>
  <c r="BI96" i="1"/>
  <c r="BF96" i="1"/>
  <c r="BD96" i="1"/>
  <c r="AX96" i="1"/>
  <c r="AP96" i="1"/>
  <c r="AO96" i="1"/>
  <c r="AL96" i="1"/>
  <c r="AK96" i="1"/>
  <c r="AJ96" i="1"/>
  <c r="AH96" i="1"/>
  <c r="AG96" i="1"/>
  <c r="AF96" i="1"/>
  <c r="AE96" i="1"/>
  <c r="AC96" i="1"/>
  <c r="AB96" i="1"/>
  <c r="Z96" i="1"/>
  <c r="J96" i="1"/>
  <c r="I96" i="1"/>
  <c r="BJ94" i="1"/>
  <c r="BF94" i="1"/>
  <c r="BD94" i="1"/>
  <c r="AW94" i="1"/>
  <c r="AP94" i="1"/>
  <c r="AO94" i="1"/>
  <c r="AL94" i="1"/>
  <c r="AK94" i="1"/>
  <c r="AJ94" i="1"/>
  <c r="AH94" i="1"/>
  <c r="AG94" i="1"/>
  <c r="AF94" i="1"/>
  <c r="AC94" i="1"/>
  <c r="AB94" i="1"/>
  <c r="Z94" i="1"/>
  <c r="J94" i="1"/>
  <c r="BJ92" i="1"/>
  <c r="BH92" i="1"/>
  <c r="AD92" i="1" s="1"/>
  <c r="BF92" i="1"/>
  <c r="BD92" i="1"/>
  <c r="AX92" i="1"/>
  <c r="AW92" i="1"/>
  <c r="AV92" i="1" s="1"/>
  <c r="AP92" i="1"/>
  <c r="BI92" i="1" s="1"/>
  <c r="AE92" i="1" s="1"/>
  <c r="AO92" i="1"/>
  <c r="H92" i="1" s="1"/>
  <c r="AL92" i="1"/>
  <c r="AK92" i="1"/>
  <c r="AJ92" i="1"/>
  <c r="AH92" i="1"/>
  <c r="AG92" i="1"/>
  <c r="AF92" i="1"/>
  <c r="AC92" i="1"/>
  <c r="AB92" i="1"/>
  <c r="Z92" i="1"/>
  <c r="J92" i="1"/>
  <c r="I92" i="1"/>
  <c r="BJ90" i="1"/>
  <c r="BI90" i="1"/>
  <c r="AE90" i="1" s="1"/>
  <c r="BH90" i="1"/>
  <c r="AD90" i="1" s="1"/>
  <c r="BF90" i="1"/>
  <c r="BD90" i="1"/>
  <c r="BC90" i="1"/>
  <c r="AX90" i="1"/>
  <c r="AP90" i="1"/>
  <c r="AO90" i="1"/>
  <c r="AW90" i="1" s="1"/>
  <c r="AL90" i="1"/>
  <c r="AJ90" i="1"/>
  <c r="AH90" i="1"/>
  <c r="AG90" i="1"/>
  <c r="AF90" i="1"/>
  <c r="AC90" i="1"/>
  <c r="AB90" i="1"/>
  <c r="Z90" i="1"/>
  <c r="J90" i="1"/>
  <c r="AK90" i="1" s="1"/>
  <c r="I90" i="1"/>
  <c r="H90" i="1"/>
  <c r="BJ88" i="1"/>
  <c r="BI88" i="1"/>
  <c r="AE88" i="1" s="1"/>
  <c r="BH88" i="1"/>
  <c r="AD88" i="1" s="1"/>
  <c r="BF88" i="1"/>
  <c r="BD88" i="1"/>
  <c r="AX88" i="1"/>
  <c r="AW88" i="1"/>
  <c r="AV88" i="1" s="1"/>
  <c r="AP88" i="1"/>
  <c r="I88" i="1" s="1"/>
  <c r="AO88" i="1"/>
  <c r="H88" i="1" s="1"/>
  <c r="AL88" i="1"/>
  <c r="AJ88" i="1"/>
  <c r="AH88" i="1"/>
  <c r="AG88" i="1"/>
  <c r="AF88" i="1"/>
  <c r="AC88" i="1"/>
  <c r="AB88" i="1"/>
  <c r="Z88" i="1"/>
  <c r="J88" i="1"/>
  <c r="AK88" i="1" s="1"/>
  <c r="BJ86" i="1"/>
  <c r="BH86" i="1"/>
  <c r="AD86" i="1" s="1"/>
  <c r="BF86" i="1"/>
  <c r="BD86" i="1"/>
  <c r="BC86" i="1"/>
  <c r="AX86" i="1"/>
  <c r="AW86" i="1"/>
  <c r="AV86" i="1" s="1"/>
  <c r="AP86" i="1"/>
  <c r="AO86" i="1"/>
  <c r="H86" i="1" s="1"/>
  <c r="AL86" i="1"/>
  <c r="AJ86" i="1"/>
  <c r="AH86" i="1"/>
  <c r="AG86" i="1"/>
  <c r="AF86" i="1"/>
  <c r="AC86" i="1"/>
  <c r="AB86" i="1"/>
  <c r="Z86" i="1"/>
  <c r="J86" i="1"/>
  <c r="AK86" i="1" s="1"/>
  <c r="BJ84" i="1"/>
  <c r="BI84" i="1"/>
  <c r="AE84" i="1" s="1"/>
  <c r="BH84" i="1"/>
  <c r="AD84" i="1" s="1"/>
  <c r="BF84" i="1"/>
  <c r="BD84" i="1"/>
  <c r="BC84" i="1"/>
  <c r="AX84" i="1"/>
  <c r="AP84" i="1"/>
  <c r="AO84" i="1"/>
  <c r="AW84" i="1" s="1"/>
  <c r="AV84" i="1" s="1"/>
  <c r="AL84" i="1"/>
  <c r="AJ84" i="1"/>
  <c r="AH84" i="1"/>
  <c r="AG84" i="1"/>
  <c r="AF84" i="1"/>
  <c r="AC84" i="1"/>
  <c r="AB84" i="1"/>
  <c r="Z84" i="1"/>
  <c r="J84" i="1"/>
  <c r="AK84" i="1" s="1"/>
  <c r="I84" i="1"/>
  <c r="H84" i="1"/>
  <c r="BJ82" i="1"/>
  <c r="BI82" i="1"/>
  <c r="AE82" i="1" s="1"/>
  <c r="BF82" i="1"/>
  <c r="BD82" i="1"/>
  <c r="AX82" i="1"/>
  <c r="AW82" i="1"/>
  <c r="AP82" i="1"/>
  <c r="AO82" i="1"/>
  <c r="BH82" i="1" s="1"/>
  <c r="AL82" i="1"/>
  <c r="AJ82" i="1"/>
  <c r="AH82" i="1"/>
  <c r="AG82" i="1"/>
  <c r="AF82" i="1"/>
  <c r="AD82" i="1"/>
  <c r="AC82" i="1"/>
  <c r="AB82" i="1"/>
  <c r="Z82" i="1"/>
  <c r="J82" i="1"/>
  <c r="AK82" i="1" s="1"/>
  <c r="I82" i="1"/>
  <c r="BJ80" i="1"/>
  <c r="BI80" i="1"/>
  <c r="BF80" i="1"/>
  <c r="BD80" i="1"/>
  <c r="AX80" i="1"/>
  <c r="AW80" i="1"/>
  <c r="AP80" i="1"/>
  <c r="AO80" i="1"/>
  <c r="AL80" i="1"/>
  <c r="AK80" i="1"/>
  <c r="AJ80" i="1"/>
  <c r="AH80" i="1"/>
  <c r="AG80" i="1"/>
  <c r="AF80" i="1"/>
  <c r="AE80" i="1"/>
  <c r="AC80" i="1"/>
  <c r="AB80" i="1"/>
  <c r="Z80" i="1"/>
  <c r="J80" i="1"/>
  <c r="I80" i="1"/>
  <c r="BJ78" i="1"/>
  <c r="BF78" i="1"/>
  <c r="BD78" i="1"/>
  <c r="AP78" i="1"/>
  <c r="AO78" i="1"/>
  <c r="AW78" i="1" s="1"/>
  <c r="AL78" i="1"/>
  <c r="AJ78" i="1"/>
  <c r="AH78" i="1"/>
  <c r="AG78" i="1"/>
  <c r="AF78" i="1"/>
  <c r="AC78" i="1"/>
  <c r="AB78" i="1"/>
  <c r="Z78" i="1"/>
  <c r="J78" i="1"/>
  <c r="AK78" i="1" s="1"/>
  <c r="BJ76" i="1"/>
  <c r="BH76" i="1"/>
  <c r="AD76" i="1" s="1"/>
  <c r="BF76" i="1"/>
  <c r="BD76" i="1"/>
  <c r="AP76" i="1"/>
  <c r="BI76" i="1" s="1"/>
  <c r="AE76" i="1" s="1"/>
  <c r="AO76" i="1"/>
  <c r="AW76" i="1" s="1"/>
  <c r="AL76" i="1"/>
  <c r="AK76" i="1"/>
  <c r="AJ76" i="1"/>
  <c r="AH76" i="1"/>
  <c r="AG76" i="1"/>
  <c r="AF76" i="1"/>
  <c r="AC76" i="1"/>
  <c r="AB76" i="1"/>
  <c r="Z76" i="1"/>
  <c r="J76" i="1"/>
  <c r="I76" i="1"/>
  <c r="H76" i="1"/>
  <c r="BJ74" i="1"/>
  <c r="BI74" i="1"/>
  <c r="AE74" i="1" s="1"/>
  <c r="BF74" i="1"/>
  <c r="BD74" i="1"/>
  <c r="AX74" i="1"/>
  <c r="AP74" i="1"/>
  <c r="AO74" i="1"/>
  <c r="BH74" i="1" s="1"/>
  <c r="AD74" i="1" s="1"/>
  <c r="AL74" i="1"/>
  <c r="AJ74" i="1"/>
  <c r="AH74" i="1"/>
  <c r="AG74" i="1"/>
  <c r="AF74" i="1"/>
  <c r="AC74" i="1"/>
  <c r="AB74" i="1"/>
  <c r="Z74" i="1"/>
  <c r="J74" i="1"/>
  <c r="AK74" i="1" s="1"/>
  <c r="I74" i="1"/>
  <c r="H74" i="1"/>
  <c r="BJ72" i="1"/>
  <c r="BI72" i="1"/>
  <c r="BH72" i="1"/>
  <c r="BF72" i="1"/>
  <c r="BD72" i="1"/>
  <c r="AX72" i="1"/>
  <c r="AP72" i="1"/>
  <c r="AO72" i="1"/>
  <c r="H72" i="1" s="1"/>
  <c r="AL72" i="1"/>
  <c r="AK72" i="1"/>
  <c r="AJ72" i="1"/>
  <c r="AH72" i="1"/>
  <c r="AG72" i="1"/>
  <c r="AF72" i="1"/>
  <c r="AE72" i="1"/>
  <c r="AD72" i="1"/>
  <c r="AC72" i="1"/>
  <c r="AB72" i="1"/>
  <c r="Z72" i="1"/>
  <c r="J72" i="1"/>
  <c r="I72" i="1"/>
  <c r="BJ70" i="1"/>
  <c r="BH70" i="1"/>
  <c r="AD70" i="1" s="1"/>
  <c r="BF70" i="1"/>
  <c r="BD70" i="1"/>
  <c r="AW70" i="1"/>
  <c r="AP70" i="1"/>
  <c r="AO70" i="1"/>
  <c r="H70" i="1" s="1"/>
  <c r="AL70" i="1"/>
  <c r="AK70" i="1"/>
  <c r="AJ70" i="1"/>
  <c r="AH70" i="1"/>
  <c r="AG70" i="1"/>
  <c r="AF70" i="1"/>
  <c r="AC70" i="1"/>
  <c r="AB70" i="1"/>
  <c r="Z70" i="1"/>
  <c r="J70" i="1"/>
  <c r="BJ69" i="1"/>
  <c r="BI69" i="1"/>
  <c r="BF69" i="1"/>
  <c r="BD69" i="1"/>
  <c r="AX69" i="1"/>
  <c r="AP69" i="1"/>
  <c r="I69" i="1" s="1"/>
  <c r="AO69" i="1"/>
  <c r="AW69" i="1" s="1"/>
  <c r="AL69" i="1"/>
  <c r="AK69" i="1"/>
  <c r="AJ69" i="1"/>
  <c r="AH69" i="1"/>
  <c r="AG69" i="1"/>
  <c r="AF69" i="1"/>
  <c r="AE69" i="1"/>
  <c r="AC69" i="1"/>
  <c r="AB69" i="1"/>
  <c r="Z69" i="1"/>
  <c r="J69" i="1"/>
  <c r="BJ68" i="1"/>
  <c r="BI68" i="1"/>
  <c r="BF68" i="1"/>
  <c r="BD68" i="1"/>
  <c r="AX68" i="1"/>
  <c r="AP68" i="1"/>
  <c r="AO68" i="1"/>
  <c r="BH68" i="1" s="1"/>
  <c r="AL68" i="1"/>
  <c r="AK68" i="1"/>
  <c r="AJ68" i="1"/>
  <c r="AH68" i="1"/>
  <c r="AG68" i="1"/>
  <c r="AF68" i="1"/>
  <c r="AE68" i="1"/>
  <c r="AD68" i="1"/>
  <c r="AC68" i="1"/>
  <c r="AB68" i="1"/>
  <c r="Z68" i="1"/>
  <c r="J68" i="1"/>
  <c r="I68" i="1"/>
  <c r="H68" i="1"/>
  <c r="BJ67" i="1"/>
  <c r="BI67" i="1"/>
  <c r="AE67" i="1" s="1"/>
  <c r="BF67" i="1"/>
  <c r="BD67" i="1"/>
  <c r="AX67" i="1"/>
  <c r="AP67" i="1"/>
  <c r="AO67" i="1"/>
  <c r="AL67" i="1"/>
  <c r="AK67" i="1"/>
  <c r="AJ67" i="1"/>
  <c r="AH67" i="1"/>
  <c r="AG67" i="1"/>
  <c r="AF67" i="1"/>
  <c r="AC67" i="1"/>
  <c r="AB67" i="1"/>
  <c r="Z67" i="1"/>
  <c r="J67" i="1"/>
  <c r="I67" i="1"/>
  <c r="BJ66" i="1"/>
  <c r="BF66" i="1"/>
  <c r="BD66" i="1"/>
  <c r="AP66" i="1"/>
  <c r="AO66" i="1"/>
  <c r="AL66" i="1"/>
  <c r="AJ66" i="1"/>
  <c r="AH66" i="1"/>
  <c r="AG66" i="1"/>
  <c r="AF66" i="1"/>
  <c r="AC66" i="1"/>
  <c r="AB66" i="1"/>
  <c r="Z66" i="1"/>
  <c r="J66" i="1"/>
  <c r="AK66" i="1" s="1"/>
  <c r="BJ65" i="1"/>
  <c r="BH65" i="1"/>
  <c r="AD65" i="1" s="1"/>
  <c r="BF65" i="1"/>
  <c r="BD65" i="1"/>
  <c r="AW65" i="1"/>
  <c r="AP65" i="1"/>
  <c r="AO65" i="1"/>
  <c r="AL65" i="1"/>
  <c r="AJ65" i="1"/>
  <c r="AH65" i="1"/>
  <c r="AG65" i="1"/>
  <c r="AF65" i="1"/>
  <c r="AC65" i="1"/>
  <c r="AB65" i="1"/>
  <c r="Z65" i="1"/>
  <c r="J65" i="1"/>
  <c r="AK65" i="1" s="1"/>
  <c r="H65" i="1"/>
  <c r="BJ64" i="1"/>
  <c r="BI64" i="1"/>
  <c r="BH64" i="1"/>
  <c r="BF64" i="1"/>
  <c r="BD64" i="1"/>
  <c r="BC64" i="1"/>
  <c r="AX64" i="1"/>
  <c r="AP64" i="1"/>
  <c r="AO64" i="1"/>
  <c r="AW64" i="1" s="1"/>
  <c r="AV64" i="1" s="1"/>
  <c r="AL64" i="1"/>
  <c r="AK64" i="1"/>
  <c r="AJ64" i="1"/>
  <c r="AH64" i="1"/>
  <c r="AG64" i="1"/>
  <c r="AF64" i="1"/>
  <c r="AE64" i="1"/>
  <c r="AD64" i="1"/>
  <c r="AC64" i="1"/>
  <c r="AB64" i="1"/>
  <c r="Z64" i="1"/>
  <c r="J64" i="1"/>
  <c r="I64" i="1"/>
  <c r="H64" i="1"/>
  <c r="BJ63" i="1"/>
  <c r="BI63" i="1"/>
  <c r="AE63" i="1" s="1"/>
  <c r="BF63" i="1"/>
  <c r="BD63" i="1"/>
  <c r="AX63" i="1"/>
  <c r="AW63" i="1"/>
  <c r="AP63" i="1"/>
  <c r="AO63" i="1"/>
  <c r="H63" i="1" s="1"/>
  <c r="AL63" i="1"/>
  <c r="AK63" i="1"/>
  <c r="AJ63" i="1"/>
  <c r="AH63" i="1"/>
  <c r="AG63" i="1"/>
  <c r="AF63" i="1"/>
  <c r="AC63" i="1"/>
  <c r="AB63" i="1"/>
  <c r="Z63" i="1"/>
  <c r="J63" i="1"/>
  <c r="I63" i="1"/>
  <c r="BJ62" i="1"/>
  <c r="BF62" i="1"/>
  <c r="BD62" i="1"/>
  <c r="AP62" i="1"/>
  <c r="AO62" i="1"/>
  <c r="AL62" i="1"/>
  <c r="AK62" i="1"/>
  <c r="AJ62" i="1"/>
  <c r="AH62" i="1"/>
  <c r="AG62" i="1"/>
  <c r="AF62" i="1"/>
  <c r="AC62" i="1"/>
  <c r="AB62" i="1"/>
  <c r="Z62" i="1"/>
  <c r="J62" i="1"/>
  <c r="BJ61" i="1"/>
  <c r="BF61" i="1"/>
  <c r="BD61" i="1"/>
  <c r="AW61" i="1"/>
  <c r="AP61" i="1"/>
  <c r="AO61" i="1"/>
  <c r="AL61" i="1"/>
  <c r="AK61" i="1"/>
  <c r="AJ61" i="1"/>
  <c r="AH61" i="1"/>
  <c r="AG61" i="1"/>
  <c r="AF61" i="1"/>
  <c r="AC61" i="1"/>
  <c r="AB61" i="1"/>
  <c r="Z61" i="1"/>
  <c r="J61" i="1"/>
  <c r="BJ60" i="1"/>
  <c r="BI60" i="1"/>
  <c r="AE60" i="1" s="1"/>
  <c r="BF60" i="1"/>
  <c r="BD60" i="1"/>
  <c r="AX60" i="1"/>
  <c r="AW60" i="1"/>
  <c r="AV60" i="1" s="1"/>
  <c r="AP60" i="1"/>
  <c r="AO60" i="1"/>
  <c r="AL60" i="1"/>
  <c r="AK60" i="1"/>
  <c r="AJ60" i="1"/>
  <c r="AH60" i="1"/>
  <c r="AG60" i="1"/>
  <c r="AF60" i="1"/>
  <c r="AC60" i="1"/>
  <c r="AB60" i="1"/>
  <c r="Z60" i="1"/>
  <c r="J60" i="1"/>
  <c r="I60" i="1"/>
  <c r="BJ59" i="1"/>
  <c r="BI59" i="1"/>
  <c r="AE59" i="1" s="1"/>
  <c r="BH59" i="1"/>
  <c r="AD59" i="1" s="1"/>
  <c r="BF59" i="1"/>
  <c r="BD59" i="1"/>
  <c r="AX59" i="1"/>
  <c r="AW59" i="1"/>
  <c r="AV59" i="1" s="1"/>
  <c r="AP59" i="1"/>
  <c r="AO59" i="1"/>
  <c r="H59" i="1" s="1"/>
  <c r="AL59" i="1"/>
  <c r="AJ59" i="1"/>
  <c r="AH59" i="1"/>
  <c r="AG59" i="1"/>
  <c r="AF59" i="1"/>
  <c r="AC59" i="1"/>
  <c r="AB59" i="1"/>
  <c r="Z59" i="1"/>
  <c r="J59" i="1"/>
  <c r="AK59" i="1" s="1"/>
  <c r="I59" i="1"/>
  <c r="BJ58" i="1"/>
  <c r="BH58" i="1"/>
  <c r="AD58" i="1" s="1"/>
  <c r="BF58" i="1"/>
  <c r="BD58" i="1"/>
  <c r="AX58" i="1"/>
  <c r="AW58" i="1"/>
  <c r="AV58" i="1" s="1"/>
  <c r="AP58" i="1"/>
  <c r="AO58" i="1"/>
  <c r="H58" i="1" s="1"/>
  <c r="AL58" i="1"/>
  <c r="AJ58" i="1"/>
  <c r="AH58" i="1"/>
  <c r="AG58" i="1"/>
  <c r="AF58" i="1"/>
  <c r="AC58" i="1"/>
  <c r="AB58" i="1"/>
  <c r="Z58" i="1"/>
  <c r="J58" i="1"/>
  <c r="AK58" i="1" s="1"/>
  <c r="BJ57" i="1"/>
  <c r="BI57" i="1"/>
  <c r="BH57" i="1"/>
  <c r="AD57" i="1" s="1"/>
  <c r="BF57" i="1"/>
  <c r="BD57" i="1"/>
  <c r="AP57" i="1"/>
  <c r="AX57" i="1" s="1"/>
  <c r="AO57" i="1"/>
  <c r="AW57" i="1" s="1"/>
  <c r="AV57" i="1" s="1"/>
  <c r="AL57" i="1"/>
  <c r="AJ57" i="1"/>
  <c r="AH57" i="1"/>
  <c r="AG57" i="1"/>
  <c r="AF57" i="1"/>
  <c r="AE57" i="1"/>
  <c r="AC57" i="1"/>
  <c r="AB57" i="1"/>
  <c r="Z57" i="1"/>
  <c r="J57" i="1"/>
  <c r="AK57" i="1" s="1"/>
  <c r="I57" i="1"/>
  <c r="H57" i="1"/>
  <c r="BJ56" i="1"/>
  <c r="BI56" i="1"/>
  <c r="AE56" i="1" s="1"/>
  <c r="BF56" i="1"/>
  <c r="BD56" i="1"/>
  <c r="AX56" i="1"/>
  <c r="AW56" i="1"/>
  <c r="AP56" i="1"/>
  <c r="AO56" i="1"/>
  <c r="BH56" i="1" s="1"/>
  <c r="AD56" i="1" s="1"/>
  <c r="AL56" i="1"/>
  <c r="AK56" i="1"/>
  <c r="AJ56" i="1"/>
  <c r="AH56" i="1"/>
  <c r="AG56" i="1"/>
  <c r="AF56" i="1"/>
  <c r="AC56" i="1"/>
  <c r="AB56" i="1"/>
  <c r="Z56" i="1"/>
  <c r="J56" i="1"/>
  <c r="I56" i="1"/>
  <c r="BJ55" i="1"/>
  <c r="BI55" i="1"/>
  <c r="BF55" i="1"/>
  <c r="BD55" i="1"/>
  <c r="AX55" i="1"/>
  <c r="AP55" i="1"/>
  <c r="I55" i="1" s="1"/>
  <c r="AO55" i="1"/>
  <c r="AL55" i="1"/>
  <c r="AK55" i="1"/>
  <c r="AJ55" i="1"/>
  <c r="AH55" i="1"/>
  <c r="AG55" i="1"/>
  <c r="AF55" i="1"/>
  <c r="AE55" i="1"/>
  <c r="AC55" i="1"/>
  <c r="AB55" i="1"/>
  <c r="Z55" i="1"/>
  <c r="J55" i="1"/>
  <c r="BJ54" i="1"/>
  <c r="BF54" i="1"/>
  <c r="BD54" i="1"/>
  <c r="AP54" i="1"/>
  <c r="AO54" i="1"/>
  <c r="H54" i="1" s="1"/>
  <c r="AL54" i="1"/>
  <c r="AK54" i="1"/>
  <c r="AJ54" i="1"/>
  <c r="AH54" i="1"/>
  <c r="AG54" i="1"/>
  <c r="AF54" i="1"/>
  <c r="AC54" i="1"/>
  <c r="AB54" i="1"/>
  <c r="Z54" i="1"/>
  <c r="J54" i="1"/>
  <c r="BJ53" i="1"/>
  <c r="BF53" i="1"/>
  <c r="BD53" i="1"/>
  <c r="AP53" i="1"/>
  <c r="BI53" i="1" s="1"/>
  <c r="AE53" i="1" s="1"/>
  <c r="AO53" i="1"/>
  <c r="BH53" i="1" s="1"/>
  <c r="AD53" i="1" s="1"/>
  <c r="AL53" i="1"/>
  <c r="AK53" i="1"/>
  <c r="AJ53" i="1"/>
  <c r="AH53" i="1"/>
  <c r="AG53" i="1"/>
  <c r="AF53" i="1"/>
  <c r="AC53" i="1"/>
  <c r="AB53" i="1"/>
  <c r="Z53" i="1"/>
  <c r="J53" i="1"/>
  <c r="BJ52" i="1"/>
  <c r="BH52" i="1"/>
  <c r="AD52" i="1" s="1"/>
  <c r="BF52" i="1"/>
  <c r="BD52" i="1"/>
  <c r="AW52" i="1"/>
  <c r="AP52" i="1"/>
  <c r="BI52" i="1" s="1"/>
  <c r="AE52" i="1" s="1"/>
  <c r="AO52" i="1"/>
  <c r="AL52" i="1"/>
  <c r="AJ52" i="1"/>
  <c r="AH52" i="1"/>
  <c r="AG52" i="1"/>
  <c r="AF52" i="1"/>
  <c r="AC52" i="1"/>
  <c r="AB52" i="1"/>
  <c r="Z52" i="1"/>
  <c r="J52" i="1"/>
  <c r="AK52" i="1" s="1"/>
  <c r="H52" i="1"/>
  <c r="BJ51" i="1"/>
  <c r="BI51" i="1"/>
  <c r="AE51" i="1" s="1"/>
  <c r="BF51" i="1"/>
  <c r="BD51" i="1"/>
  <c r="AP51" i="1"/>
  <c r="AX51" i="1" s="1"/>
  <c r="AO51" i="1"/>
  <c r="AW51" i="1" s="1"/>
  <c r="AL51" i="1"/>
  <c r="AJ51" i="1"/>
  <c r="AH51" i="1"/>
  <c r="AG51" i="1"/>
  <c r="AF51" i="1"/>
  <c r="AC51" i="1"/>
  <c r="AB51" i="1"/>
  <c r="Z51" i="1"/>
  <c r="J51" i="1"/>
  <c r="AK51" i="1" s="1"/>
  <c r="I51" i="1"/>
  <c r="BJ50" i="1"/>
  <c r="BF50" i="1"/>
  <c r="BD50" i="1"/>
  <c r="AP50" i="1"/>
  <c r="AO50" i="1"/>
  <c r="AL50" i="1"/>
  <c r="AU43" i="1" s="1"/>
  <c r="AK50" i="1"/>
  <c r="AJ50" i="1"/>
  <c r="AH50" i="1"/>
  <c r="AG50" i="1"/>
  <c r="AF50" i="1"/>
  <c r="AC50" i="1"/>
  <c r="AB50" i="1"/>
  <c r="Z50" i="1"/>
  <c r="J50" i="1"/>
  <c r="BJ49" i="1"/>
  <c r="BF49" i="1"/>
  <c r="BD49" i="1"/>
  <c r="AP49" i="1"/>
  <c r="BI49" i="1" s="1"/>
  <c r="AE49" i="1" s="1"/>
  <c r="AO49" i="1"/>
  <c r="BH49" i="1" s="1"/>
  <c r="AD49" i="1" s="1"/>
  <c r="AL49" i="1"/>
  <c r="AK49" i="1"/>
  <c r="AJ49" i="1"/>
  <c r="AH49" i="1"/>
  <c r="AG49" i="1"/>
  <c r="AF49" i="1"/>
  <c r="AC49" i="1"/>
  <c r="AB49" i="1"/>
  <c r="Z49" i="1"/>
  <c r="J49" i="1"/>
  <c r="BJ48" i="1"/>
  <c r="BI48" i="1"/>
  <c r="AE48" i="1" s="1"/>
  <c r="BH48" i="1"/>
  <c r="AD48" i="1" s="1"/>
  <c r="BF48" i="1"/>
  <c r="BD48" i="1"/>
  <c r="AX48" i="1"/>
  <c r="AW48" i="1"/>
  <c r="AV48" i="1" s="1"/>
  <c r="AP48" i="1"/>
  <c r="AO48" i="1"/>
  <c r="AL48" i="1"/>
  <c r="AJ48" i="1"/>
  <c r="AH48" i="1"/>
  <c r="AG48" i="1"/>
  <c r="AF48" i="1"/>
  <c r="AC48" i="1"/>
  <c r="AB48" i="1"/>
  <c r="Z48" i="1"/>
  <c r="J48" i="1"/>
  <c r="AK48" i="1" s="1"/>
  <c r="I48" i="1"/>
  <c r="H48" i="1"/>
  <c r="BJ47" i="1"/>
  <c r="BI47" i="1"/>
  <c r="AE47" i="1" s="1"/>
  <c r="BH47" i="1"/>
  <c r="AD47" i="1" s="1"/>
  <c r="BF47" i="1"/>
  <c r="BD47" i="1"/>
  <c r="AP47" i="1"/>
  <c r="AX47" i="1" s="1"/>
  <c r="AO47" i="1"/>
  <c r="AW47" i="1" s="1"/>
  <c r="AL47" i="1"/>
  <c r="AJ47" i="1"/>
  <c r="AH47" i="1"/>
  <c r="AG47" i="1"/>
  <c r="AF47" i="1"/>
  <c r="AC47" i="1"/>
  <c r="AB47" i="1"/>
  <c r="Z47" i="1"/>
  <c r="J47" i="1"/>
  <c r="AK47" i="1" s="1"/>
  <c r="I47" i="1"/>
  <c r="H47" i="1"/>
  <c r="BJ46" i="1"/>
  <c r="BF46" i="1"/>
  <c r="BD46" i="1"/>
  <c r="AP46" i="1"/>
  <c r="AO46" i="1"/>
  <c r="AL46" i="1"/>
  <c r="AK46" i="1"/>
  <c r="AJ46" i="1"/>
  <c r="AH46" i="1"/>
  <c r="AG46" i="1"/>
  <c r="AF46" i="1"/>
  <c r="AC46" i="1"/>
  <c r="AB46" i="1"/>
  <c r="Z46" i="1"/>
  <c r="J46" i="1"/>
  <c r="BJ45" i="1"/>
  <c r="BF45" i="1"/>
  <c r="BD45" i="1"/>
  <c r="AX45" i="1"/>
  <c r="AW45" i="1"/>
  <c r="AV45" i="1" s="1"/>
  <c r="AP45" i="1"/>
  <c r="BI45" i="1" s="1"/>
  <c r="AE45" i="1" s="1"/>
  <c r="AO45" i="1"/>
  <c r="BH45" i="1" s="1"/>
  <c r="AD45" i="1" s="1"/>
  <c r="AL45" i="1"/>
  <c r="AK45" i="1"/>
  <c r="AJ45" i="1"/>
  <c r="AH45" i="1"/>
  <c r="AG45" i="1"/>
  <c r="AF45" i="1"/>
  <c r="AC45" i="1"/>
  <c r="AB45" i="1"/>
  <c r="Z45" i="1"/>
  <c r="J45" i="1"/>
  <c r="I45" i="1"/>
  <c r="H45" i="1"/>
  <c r="BJ44" i="1"/>
  <c r="BI44" i="1"/>
  <c r="AE44" i="1" s="1"/>
  <c r="BH44" i="1"/>
  <c r="AD44" i="1" s="1"/>
  <c r="BF44" i="1"/>
  <c r="BD44" i="1"/>
  <c r="AW44" i="1"/>
  <c r="AP44" i="1"/>
  <c r="AX44" i="1" s="1"/>
  <c r="AO44" i="1"/>
  <c r="AL44" i="1"/>
  <c r="AJ44" i="1"/>
  <c r="AH44" i="1"/>
  <c r="AG44" i="1"/>
  <c r="AF44" i="1"/>
  <c r="AC44" i="1"/>
  <c r="AB44" i="1"/>
  <c r="Z44" i="1"/>
  <c r="J44" i="1"/>
  <c r="I44" i="1"/>
  <c r="H44" i="1"/>
  <c r="BJ42" i="1"/>
  <c r="BF42" i="1"/>
  <c r="BD42" i="1"/>
  <c r="AP42" i="1"/>
  <c r="AO42" i="1"/>
  <c r="AL42" i="1"/>
  <c r="AK42" i="1"/>
  <c r="AJ42" i="1"/>
  <c r="AH42" i="1"/>
  <c r="AG42" i="1"/>
  <c r="AF42" i="1"/>
  <c r="AE42" i="1"/>
  <c r="AD42" i="1"/>
  <c r="AC42" i="1"/>
  <c r="AB42" i="1"/>
  <c r="Z42" i="1"/>
  <c r="J42" i="1"/>
  <c r="BJ41" i="1"/>
  <c r="BF41" i="1"/>
  <c r="BD41" i="1"/>
  <c r="AP41" i="1"/>
  <c r="AO41" i="1"/>
  <c r="AW41" i="1" s="1"/>
  <c r="AL41" i="1"/>
  <c r="AK41" i="1"/>
  <c r="AJ41" i="1"/>
  <c r="AH41" i="1"/>
  <c r="AG41" i="1"/>
  <c r="AF41" i="1"/>
  <c r="AC41" i="1"/>
  <c r="AB41" i="1"/>
  <c r="Z41" i="1"/>
  <c r="J41" i="1"/>
  <c r="BJ40" i="1"/>
  <c r="BI40" i="1"/>
  <c r="AE40" i="1" s="1"/>
  <c r="BH40" i="1"/>
  <c r="AD40" i="1" s="1"/>
  <c r="BF40" i="1"/>
  <c r="BD40" i="1"/>
  <c r="AX40" i="1"/>
  <c r="AW40" i="1"/>
  <c r="BC40" i="1" s="1"/>
  <c r="AV40" i="1"/>
  <c r="AP40" i="1"/>
  <c r="AO40" i="1"/>
  <c r="AL40" i="1"/>
  <c r="AJ40" i="1"/>
  <c r="AH40" i="1"/>
  <c r="AG40" i="1"/>
  <c r="AF40" i="1"/>
  <c r="AC40" i="1"/>
  <c r="AB40" i="1"/>
  <c r="Z40" i="1"/>
  <c r="J40" i="1"/>
  <c r="AK40" i="1" s="1"/>
  <c r="I40" i="1"/>
  <c r="H40" i="1"/>
  <c r="BJ39" i="1"/>
  <c r="BH39" i="1"/>
  <c r="AD39" i="1" s="1"/>
  <c r="BF39" i="1"/>
  <c r="BD39" i="1"/>
  <c r="AW39" i="1"/>
  <c r="AP39" i="1"/>
  <c r="AX39" i="1" s="1"/>
  <c r="AV39" i="1" s="1"/>
  <c r="AO39" i="1"/>
  <c r="AL39" i="1"/>
  <c r="AK39" i="1"/>
  <c r="AJ39" i="1"/>
  <c r="AH39" i="1"/>
  <c r="AG39" i="1"/>
  <c r="AF39" i="1"/>
  <c r="AC39" i="1"/>
  <c r="AB39" i="1"/>
  <c r="Z39" i="1"/>
  <c r="J39" i="1"/>
  <c r="H39" i="1"/>
  <c r="BJ38" i="1"/>
  <c r="BF38" i="1"/>
  <c r="BD38" i="1"/>
  <c r="AP38" i="1"/>
  <c r="AO38" i="1"/>
  <c r="BH38" i="1" s="1"/>
  <c r="AD38" i="1" s="1"/>
  <c r="AL38" i="1"/>
  <c r="AK38" i="1"/>
  <c r="AJ38" i="1"/>
  <c r="AH38" i="1"/>
  <c r="AG38" i="1"/>
  <c r="AF38" i="1"/>
  <c r="AC38" i="1"/>
  <c r="AB38" i="1"/>
  <c r="Z38" i="1"/>
  <c r="J38" i="1"/>
  <c r="BJ37" i="1"/>
  <c r="BH37" i="1"/>
  <c r="AD37" i="1" s="1"/>
  <c r="BF37" i="1"/>
  <c r="BD37" i="1"/>
  <c r="AW37" i="1"/>
  <c r="AP37" i="1"/>
  <c r="BI37" i="1" s="1"/>
  <c r="AE37" i="1" s="1"/>
  <c r="AO37" i="1"/>
  <c r="AL37" i="1"/>
  <c r="AJ37" i="1"/>
  <c r="AH37" i="1"/>
  <c r="AG37" i="1"/>
  <c r="AF37" i="1"/>
  <c r="AC37" i="1"/>
  <c r="AB37" i="1"/>
  <c r="Z37" i="1"/>
  <c r="J37" i="1"/>
  <c r="AK37" i="1" s="1"/>
  <c r="H37" i="1"/>
  <c r="BJ36" i="1"/>
  <c r="BI36" i="1"/>
  <c r="AE36" i="1" s="1"/>
  <c r="BH36" i="1"/>
  <c r="AD36" i="1" s="1"/>
  <c r="BF36" i="1"/>
  <c r="BD36" i="1"/>
  <c r="AX36" i="1"/>
  <c r="AV36" i="1" s="1"/>
  <c r="AW36" i="1"/>
  <c r="AP36" i="1"/>
  <c r="AO36" i="1"/>
  <c r="AL36" i="1"/>
  <c r="AJ36" i="1"/>
  <c r="AH36" i="1"/>
  <c r="AG36" i="1"/>
  <c r="AF36" i="1"/>
  <c r="AC36" i="1"/>
  <c r="AB36" i="1"/>
  <c r="Z36" i="1"/>
  <c r="J36" i="1"/>
  <c r="AK36" i="1" s="1"/>
  <c r="I36" i="1"/>
  <c r="H36" i="1"/>
  <c r="BJ35" i="1"/>
  <c r="BI35" i="1"/>
  <c r="AE35" i="1" s="1"/>
  <c r="BH35" i="1"/>
  <c r="AD35" i="1" s="1"/>
  <c r="BF35" i="1"/>
  <c r="BD35" i="1"/>
  <c r="AW35" i="1"/>
  <c r="BC35" i="1" s="1"/>
  <c r="AP35" i="1"/>
  <c r="AX35" i="1" s="1"/>
  <c r="AV35" i="1" s="1"/>
  <c r="AO35" i="1"/>
  <c r="AL35" i="1"/>
  <c r="AJ35" i="1"/>
  <c r="AH35" i="1"/>
  <c r="AG35" i="1"/>
  <c r="AF35" i="1"/>
  <c r="AC35" i="1"/>
  <c r="AB35" i="1"/>
  <c r="Z35" i="1"/>
  <c r="J35" i="1"/>
  <c r="AK35" i="1" s="1"/>
  <c r="I35" i="1"/>
  <c r="H35" i="1"/>
  <c r="BJ34" i="1"/>
  <c r="BF34" i="1"/>
  <c r="BD34" i="1"/>
  <c r="AP34" i="1"/>
  <c r="AO34" i="1"/>
  <c r="BH34" i="1" s="1"/>
  <c r="AL34" i="1"/>
  <c r="AK34" i="1"/>
  <c r="AJ34" i="1"/>
  <c r="AH34" i="1"/>
  <c r="AG34" i="1"/>
  <c r="AF34" i="1"/>
  <c r="AD34" i="1"/>
  <c r="AC34" i="1"/>
  <c r="AB34" i="1"/>
  <c r="Z34" i="1"/>
  <c r="J34" i="1"/>
  <c r="H34" i="1"/>
  <c r="BJ33" i="1"/>
  <c r="BF33" i="1"/>
  <c r="BD33" i="1"/>
  <c r="AP33" i="1"/>
  <c r="AO33" i="1"/>
  <c r="AL33" i="1"/>
  <c r="AK33" i="1"/>
  <c r="AJ33" i="1"/>
  <c r="AH33" i="1"/>
  <c r="AG33" i="1"/>
  <c r="AF33" i="1"/>
  <c r="AC33" i="1"/>
  <c r="AB33" i="1"/>
  <c r="Z33" i="1"/>
  <c r="J33" i="1"/>
  <c r="BJ32" i="1"/>
  <c r="BI32" i="1"/>
  <c r="BH32" i="1"/>
  <c r="BF32" i="1"/>
  <c r="BD32" i="1"/>
  <c r="AX32" i="1"/>
  <c r="AW32" i="1"/>
  <c r="BC32" i="1" s="1"/>
  <c r="AV32" i="1"/>
  <c r="AP32" i="1"/>
  <c r="AO32" i="1"/>
  <c r="AL32" i="1"/>
  <c r="AJ32" i="1"/>
  <c r="AH32" i="1"/>
  <c r="AG32" i="1"/>
  <c r="AF32" i="1"/>
  <c r="AE32" i="1"/>
  <c r="AD32" i="1"/>
  <c r="AC32" i="1"/>
  <c r="AB32" i="1"/>
  <c r="Z32" i="1"/>
  <c r="J32" i="1"/>
  <c r="AK32" i="1" s="1"/>
  <c r="I32" i="1"/>
  <c r="H32" i="1"/>
  <c r="BJ31" i="1"/>
  <c r="BH31" i="1"/>
  <c r="AD31" i="1" s="1"/>
  <c r="BF31" i="1"/>
  <c r="BD31" i="1"/>
  <c r="AW31" i="1"/>
  <c r="AP31" i="1"/>
  <c r="AO31" i="1"/>
  <c r="AL31" i="1"/>
  <c r="AK31" i="1"/>
  <c r="AJ31" i="1"/>
  <c r="AH31" i="1"/>
  <c r="AG31" i="1"/>
  <c r="AF31" i="1"/>
  <c r="AC31" i="1"/>
  <c r="AB31" i="1"/>
  <c r="Z31" i="1"/>
  <c r="J31" i="1"/>
  <c r="H31" i="1"/>
  <c r="BJ30" i="1"/>
  <c r="BF30" i="1"/>
  <c r="BD30" i="1"/>
  <c r="AP30" i="1"/>
  <c r="AO30" i="1"/>
  <c r="AL30" i="1"/>
  <c r="AK30" i="1"/>
  <c r="AJ30" i="1"/>
  <c r="AH30" i="1"/>
  <c r="AG30" i="1"/>
  <c r="AF30" i="1"/>
  <c r="AC30" i="1"/>
  <c r="AB30" i="1"/>
  <c r="Z30" i="1"/>
  <c r="J30" i="1"/>
  <c r="BJ29" i="1"/>
  <c r="BF29" i="1"/>
  <c r="BD29" i="1"/>
  <c r="AP29" i="1"/>
  <c r="BI29" i="1" s="1"/>
  <c r="AE29" i="1" s="1"/>
  <c r="AO29" i="1"/>
  <c r="BH29" i="1" s="1"/>
  <c r="AD29" i="1" s="1"/>
  <c r="AL29" i="1"/>
  <c r="AK29" i="1"/>
  <c r="AJ29" i="1"/>
  <c r="AS25" i="1" s="1"/>
  <c r="AH29" i="1"/>
  <c r="AG29" i="1"/>
  <c r="AF29" i="1"/>
  <c r="AC29" i="1"/>
  <c r="AB29" i="1"/>
  <c r="Z29" i="1"/>
  <c r="J29" i="1"/>
  <c r="BJ28" i="1"/>
  <c r="BI28" i="1"/>
  <c r="AE28" i="1" s="1"/>
  <c r="BH28" i="1"/>
  <c r="AD28" i="1" s="1"/>
  <c r="BF28" i="1"/>
  <c r="BD28" i="1"/>
  <c r="AX28" i="1"/>
  <c r="AW28" i="1"/>
  <c r="BC28" i="1" s="1"/>
  <c r="AV28" i="1"/>
  <c r="AP28" i="1"/>
  <c r="AO28" i="1"/>
  <c r="AL28" i="1"/>
  <c r="AJ28" i="1"/>
  <c r="AH28" i="1"/>
  <c r="AG28" i="1"/>
  <c r="AF28" i="1"/>
  <c r="AC28" i="1"/>
  <c r="AB28" i="1"/>
  <c r="Z28" i="1"/>
  <c r="J28" i="1"/>
  <c r="AK28" i="1" s="1"/>
  <c r="I28" i="1"/>
  <c r="H28" i="1"/>
  <c r="BJ27" i="1"/>
  <c r="BH27" i="1"/>
  <c r="AD27" i="1" s="1"/>
  <c r="BF27" i="1"/>
  <c r="BD27" i="1"/>
  <c r="AW27" i="1"/>
  <c r="AP27" i="1"/>
  <c r="AX27" i="1" s="1"/>
  <c r="AV27" i="1" s="1"/>
  <c r="AO27" i="1"/>
  <c r="AL27" i="1"/>
  <c r="AJ27" i="1"/>
  <c r="AH27" i="1"/>
  <c r="AG27" i="1"/>
  <c r="AF27" i="1"/>
  <c r="AC27" i="1"/>
  <c r="AB27" i="1"/>
  <c r="Z27" i="1"/>
  <c r="J27" i="1"/>
  <c r="AK27" i="1" s="1"/>
  <c r="H27" i="1"/>
  <c r="BJ26" i="1"/>
  <c r="BF26" i="1"/>
  <c r="BD26" i="1"/>
  <c r="AW26" i="1"/>
  <c r="AP26" i="1"/>
  <c r="AO26" i="1"/>
  <c r="BH26" i="1" s="1"/>
  <c r="AL26" i="1"/>
  <c r="AK26" i="1"/>
  <c r="AJ26" i="1"/>
  <c r="AH26" i="1"/>
  <c r="AG26" i="1"/>
  <c r="AF26" i="1"/>
  <c r="AD26" i="1"/>
  <c r="AC26" i="1"/>
  <c r="AB26" i="1"/>
  <c r="Z26" i="1"/>
  <c r="J26" i="1"/>
  <c r="H26" i="1"/>
  <c r="J25" i="1"/>
  <c r="G15" i="2" s="1"/>
  <c r="I15" i="2" s="1"/>
  <c r="BJ24" i="1"/>
  <c r="Z24" i="1" s="1"/>
  <c r="BH24" i="1"/>
  <c r="BF24" i="1"/>
  <c r="BD24" i="1"/>
  <c r="AP24" i="1"/>
  <c r="AX24" i="1" s="1"/>
  <c r="AO24" i="1"/>
  <c r="AW24" i="1" s="1"/>
  <c r="AL24" i="1"/>
  <c r="AJ24" i="1"/>
  <c r="AH24" i="1"/>
  <c r="AG24" i="1"/>
  <c r="AF24" i="1"/>
  <c r="AE24" i="1"/>
  <c r="AD24" i="1"/>
  <c r="AC24" i="1"/>
  <c r="AB24" i="1"/>
  <c r="J24" i="1"/>
  <c r="AK24" i="1" s="1"/>
  <c r="H24" i="1"/>
  <c r="BJ23" i="1"/>
  <c r="BH23" i="1"/>
  <c r="AD23" i="1" s="1"/>
  <c r="BF23" i="1"/>
  <c r="BD23" i="1"/>
  <c r="AP23" i="1"/>
  <c r="AX23" i="1" s="1"/>
  <c r="AO23" i="1"/>
  <c r="H23" i="1" s="1"/>
  <c r="AL23" i="1"/>
  <c r="AJ23" i="1"/>
  <c r="AH23" i="1"/>
  <c r="AG23" i="1"/>
  <c r="AF23" i="1"/>
  <c r="AC23" i="1"/>
  <c r="AB23" i="1"/>
  <c r="Z23" i="1"/>
  <c r="J23" i="1"/>
  <c r="AK23" i="1" s="1"/>
  <c r="BJ22" i="1"/>
  <c r="BF22" i="1"/>
  <c r="BD22" i="1"/>
  <c r="AP22" i="1"/>
  <c r="AO22" i="1"/>
  <c r="AW22" i="1" s="1"/>
  <c r="AL22" i="1"/>
  <c r="AJ22" i="1"/>
  <c r="AH22" i="1"/>
  <c r="AG22" i="1"/>
  <c r="AF22" i="1"/>
  <c r="AC22" i="1"/>
  <c r="AB22" i="1"/>
  <c r="Z22" i="1"/>
  <c r="J22" i="1"/>
  <c r="AK22" i="1" s="1"/>
  <c r="BJ20" i="1"/>
  <c r="BF20" i="1"/>
  <c r="BD20" i="1"/>
  <c r="AP20" i="1"/>
  <c r="AX20" i="1" s="1"/>
  <c r="AO20" i="1"/>
  <c r="AW20" i="1" s="1"/>
  <c r="AL20" i="1"/>
  <c r="AJ20" i="1"/>
  <c r="AH20" i="1"/>
  <c r="AG20" i="1"/>
  <c r="AF20" i="1"/>
  <c r="AE20" i="1"/>
  <c r="AD20" i="1"/>
  <c r="Z20" i="1"/>
  <c r="J20" i="1"/>
  <c r="AK20" i="1" s="1"/>
  <c r="BJ19" i="1"/>
  <c r="BF19" i="1"/>
  <c r="BD19" i="1"/>
  <c r="AP19" i="1"/>
  <c r="I19" i="1" s="1"/>
  <c r="AO19" i="1"/>
  <c r="AW19" i="1" s="1"/>
  <c r="AL19" i="1"/>
  <c r="AJ19" i="1"/>
  <c r="AH19" i="1"/>
  <c r="AG19" i="1"/>
  <c r="AF19" i="1"/>
  <c r="AE19" i="1"/>
  <c r="AD19" i="1"/>
  <c r="Z19" i="1"/>
  <c r="J19" i="1"/>
  <c r="AS18" i="1"/>
  <c r="BJ17" i="1"/>
  <c r="BF17" i="1"/>
  <c r="BD17" i="1"/>
  <c r="AP17" i="1"/>
  <c r="AX17" i="1" s="1"/>
  <c r="AO17" i="1"/>
  <c r="AW17" i="1" s="1"/>
  <c r="AL17" i="1"/>
  <c r="AJ17" i="1"/>
  <c r="AH17" i="1"/>
  <c r="AG17" i="1"/>
  <c r="AF17" i="1"/>
  <c r="AE17" i="1"/>
  <c r="AD17" i="1"/>
  <c r="Z17" i="1"/>
  <c r="J17" i="1"/>
  <c r="I17" i="1"/>
  <c r="I16" i="1" s="1"/>
  <c r="F12" i="2" s="1"/>
  <c r="H17" i="1"/>
  <c r="H16" i="1" s="1"/>
  <c r="E12" i="2" s="1"/>
  <c r="AU16" i="1"/>
  <c r="AS16" i="1"/>
  <c r="BJ15" i="1"/>
  <c r="BF15" i="1"/>
  <c r="BD15" i="1"/>
  <c r="AP15" i="1"/>
  <c r="AO15" i="1"/>
  <c r="AL15" i="1"/>
  <c r="AJ15" i="1"/>
  <c r="AH15" i="1"/>
  <c r="AG15" i="1"/>
  <c r="AF15" i="1"/>
  <c r="AE15" i="1"/>
  <c r="AD15" i="1"/>
  <c r="Z15" i="1"/>
  <c r="J15" i="1"/>
  <c r="AK15" i="1" s="1"/>
  <c r="BJ14" i="1"/>
  <c r="BF14" i="1"/>
  <c r="BD14" i="1"/>
  <c r="AP14" i="1"/>
  <c r="AO14" i="1"/>
  <c r="BH14" i="1" s="1"/>
  <c r="AB14" i="1" s="1"/>
  <c r="AL14" i="1"/>
  <c r="AJ14" i="1"/>
  <c r="AH14" i="1"/>
  <c r="AG14" i="1"/>
  <c r="AF14" i="1"/>
  <c r="AE14" i="1"/>
  <c r="AD14" i="1"/>
  <c r="Z14" i="1"/>
  <c r="J14" i="1"/>
  <c r="AK14" i="1" s="1"/>
  <c r="BJ13" i="1"/>
  <c r="BF13" i="1"/>
  <c r="BD13" i="1"/>
  <c r="AP13" i="1"/>
  <c r="BI13" i="1" s="1"/>
  <c r="AC13" i="1" s="1"/>
  <c r="AO13" i="1"/>
  <c r="BH13" i="1" s="1"/>
  <c r="AB13" i="1" s="1"/>
  <c r="AL13" i="1"/>
  <c r="AJ13" i="1"/>
  <c r="AH13" i="1"/>
  <c r="AG13" i="1"/>
  <c r="AF13" i="1"/>
  <c r="AE13" i="1"/>
  <c r="AD13" i="1"/>
  <c r="Z13" i="1"/>
  <c r="J13" i="1"/>
  <c r="AK13" i="1" s="1"/>
  <c r="AU1" i="1"/>
  <c r="AT1" i="1"/>
  <c r="AS1" i="1"/>
  <c r="BI24" i="1" l="1"/>
  <c r="I24" i="1"/>
  <c r="BI23" i="1"/>
  <c r="AE23" i="1" s="1"/>
  <c r="I23" i="1"/>
  <c r="H20" i="1"/>
  <c r="BH20" i="1"/>
  <c r="AB20" i="1" s="1"/>
  <c r="BI20" i="1"/>
  <c r="AC20" i="1" s="1"/>
  <c r="I20" i="1"/>
  <c r="BI19" i="1"/>
  <c r="AC19" i="1" s="1"/>
  <c r="AV24" i="1"/>
  <c r="AS21" i="1"/>
  <c r="AU21" i="1"/>
  <c r="AW23" i="1"/>
  <c r="J21" i="1"/>
  <c r="G14" i="2" s="1"/>
  <c r="I14" i="2" s="1"/>
  <c r="J18" i="1"/>
  <c r="G13" i="2" s="1"/>
  <c r="I13" i="2" s="1"/>
  <c r="AV20" i="1"/>
  <c r="AU18" i="1"/>
  <c r="I18" i="1"/>
  <c r="F13" i="2" s="1"/>
  <c r="AX19" i="1"/>
  <c r="BC19" i="1" s="1"/>
  <c r="AK19" i="1"/>
  <c r="AT18" i="1" s="1"/>
  <c r="BH17" i="1"/>
  <c r="AB17" i="1" s="1"/>
  <c r="BI17" i="1"/>
  <c r="AC17" i="1" s="1"/>
  <c r="J12" i="1"/>
  <c r="H13" i="1"/>
  <c r="AW13" i="1"/>
  <c r="AT12" i="1"/>
  <c r="BC101" i="1"/>
  <c r="BC37" i="1"/>
  <c r="BI179" i="1"/>
  <c r="I179" i="1"/>
  <c r="BC78" i="1"/>
  <c r="AV78" i="1"/>
  <c r="BC150" i="1"/>
  <c r="AV150" i="1"/>
  <c r="I173" i="1"/>
  <c r="AX173" i="1"/>
  <c r="BC51" i="1"/>
  <c r="AV51" i="1"/>
  <c r="BC92" i="1"/>
  <c r="BC177" i="1"/>
  <c r="BC185" i="1"/>
  <c r="BI54" i="1"/>
  <c r="AE54" i="1" s="1"/>
  <c r="I54" i="1"/>
  <c r="BI41" i="1"/>
  <c r="AE41" i="1" s="1"/>
  <c r="I41" i="1"/>
  <c r="H50" i="1"/>
  <c r="BH50" i="1"/>
  <c r="AD50" i="1" s="1"/>
  <c r="AW50" i="1"/>
  <c r="AV56" i="1"/>
  <c r="BC56" i="1"/>
  <c r="H118" i="1"/>
  <c r="BH118" i="1"/>
  <c r="AD118" i="1" s="1"/>
  <c r="AW118" i="1"/>
  <c r="AX31" i="1"/>
  <c r="AV31" i="1" s="1"/>
  <c r="BI31" i="1"/>
  <c r="AE31" i="1" s="1"/>
  <c r="I31" i="1"/>
  <c r="BC39" i="1"/>
  <c r="BI42" i="1"/>
  <c r="I42" i="1"/>
  <c r="AX42" i="1"/>
  <c r="BI50" i="1"/>
  <c r="AE50" i="1" s="1"/>
  <c r="I50" i="1"/>
  <c r="AX50" i="1"/>
  <c r="AW53" i="1"/>
  <c r="H141" i="1"/>
  <c r="BH141" i="1"/>
  <c r="AD141" i="1" s="1"/>
  <c r="BH161" i="1"/>
  <c r="AD161" i="1" s="1"/>
  <c r="I61" i="1"/>
  <c r="BI61" i="1"/>
  <c r="AE61" i="1" s="1"/>
  <c r="AK145" i="1"/>
  <c r="AT144" i="1" s="1"/>
  <c r="J144" i="1"/>
  <c r="G18" i="2" s="1"/>
  <c r="I18" i="2" s="1"/>
  <c r="BH173" i="1"/>
  <c r="AD173" i="1" s="1"/>
  <c r="AW173" i="1"/>
  <c r="AS43" i="1"/>
  <c r="BC161" i="1"/>
  <c r="AV161" i="1"/>
  <c r="BC59" i="1"/>
  <c r="BC61" i="1"/>
  <c r="H55" i="1"/>
  <c r="BH55" i="1"/>
  <c r="AD55" i="1" s="1"/>
  <c r="BC58" i="1"/>
  <c r="BC60" i="1"/>
  <c r="AX61" i="1"/>
  <c r="AV61" i="1" s="1"/>
  <c r="H121" i="1"/>
  <c r="BH121" i="1"/>
  <c r="AD121" i="1" s="1"/>
  <c r="AW121" i="1"/>
  <c r="AW171" i="1"/>
  <c r="BH42" i="1"/>
  <c r="AW42" i="1"/>
  <c r="H42" i="1"/>
  <c r="BC57" i="1"/>
  <c r="AV119" i="1"/>
  <c r="BC119" i="1"/>
  <c r="BI121" i="1"/>
  <c r="AE121" i="1" s="1"/>
  <c r="I121" i="1"/>
  <c r="AX121" i="1"/>
  <c r="BH142" i="1"/>
  <c r="AD142" i="1" s="1"/>
  <c r="H142" i="1"/>
  <c r="C29" i="4"/>
  <c r="F29" i="4" s="1"/>
  <c r="BC27" i="1"/>
  <c r="BH30" i="1"/>
  <c r="AD30" i="1" s="1"/>
  <c r="H30" i="1"/>
  <c r="BH33" i="1"/>
  <c r="AD33" i="1" s="1"/>
  <c r="H33" i="1"/>
  <c r="AW33" i="1"/>
  <c r="I38" i="1"/>
  <c r="BI38" i="1"/>
  <c r="AE38" i="1" s="1"/>
  <c r="AX38" i="1"/>
  <c r="AW54" i="1"/>
  <c r="H117" i="1"/>
  <c r="BH117" i="1"/>
  <c r="AD117" i="1" s="1"/>
  <c r="AW117" i="1"/>
  <c r="BI142" i="1"/>
  <c r="AE142" i="1" s="1"/>
  <c r="I142" i="1"/>
  <c r="I138" i="1" s="1"/>
  <c r="F17" i="2" s="1"/>
  <c r="BI15" i="1"/>
  <c r="AC15" i="1" s="1"/>
  <c r="I15" i="1"/>
  <c r="AX15" i="1"/>
  <c r="I30" i="1"/>
  <c r="BI30" i="1"/>
  <c r="AE30" i="1" s="1"/>
  <c r="AX30" i="1"/>
  <c r="BI33" i="1"/>
  <c r="AE33" i="1" s="1"/>
  <c r="AX33" i="1"/>
  <c r="BC44" i="1"/>
  <c r="BH51" i="1"/>
  <c r="AD51" i="1" s="1"/>
  <c r="AX53" i="1"/>
  <c r="AX54" i="1"/>
  <c r="BI117" i="1"/>
  <c r="AE117" i="1" s="1"/>
  <c r="I117" i="1"/>
  <c r="AX117" i="1"/>
  <c r="BI14" i="1"/>
  <c r="AC14" i="1" s="1"/>
  <c r="I14" i="1"/>
  <c r="BC17" i="1"/>
  <c r="AV17" i="1"/>
  <c r="AX37" i="1"/>
  <c r="AV37" i="1" s="1"/>
  <c r="AW38" i="1"/>
  <c r="BC48" i="1"/>
  <c r="AX13" i="1"/>
  <c r="AW29" i="1"/>
  <c r="BC45" i="1"/>
  <c r="AW49" i="1"/>
  <c r="BH115" i="1"/>
  <c r="AD115" i="1" s="1"/>
  <c r="H115" i="1"/>
  <c r="BC136" i="1"/>
  <c r="AW14" i="1"/>
  <c r="BI27" i="1"/>
  <c r="AE27" i="1" s="1"/>
  <c r="BI39" i="1"/>
  <c r="AE39" i="1" s="1"/>
  <c r="AX14" i="1"/>
  <c r="I52" i="1"/>
  <c r="BH54" i="1"/>
  <c r="AD54" i="1" s="1"/>
  <c r="BC69" i="1"/>
  <c r="AV69" i="1"/>
  <c r="H109" i="1"/>
  <c r="BH109" i="1"/>
  <c r="AD109" i="1" s="1"/>
  <c r="AU12" i="1"/>
  <c r="H51" i="1"/>
  <c r="I53" i="1"/>
  <c r="H67" i="1"/>
  <c r="AW67" i="1"/>
  <c r="BH67" i="1"/>
  <c r="AD67" i="1" s="1"/>
  <c r="BI108" i="1"/>
  <c r="AE108" i="1" s="1"/>
  <c r="I108" i="1"/>
  <c r="BI109" i="1"/>
  <c r="AE109" i="1" s="1"/>
  <c r="I109" i="1"/>
  <c r="H110" i="1"/>
  <c r="BH110" i="1"/>
  <c r="AD110" i="1" s="1"/>
  <c r="AW112" i="1"/>
  <c r="H112" i="1"/>
  <c r="BC114" i="1"/>
  <c r="AT191" i="1"/>
  <c r="BI205" i="1"/>
  <c r="I205" i="1"/>
  <c r="AX205" i="1"/>
  <c r="F14" i="4"/>
  <c r="F22" i="4" s="1"/>
  <c r="I18" i="5"/>
  <c r="I39" i="1"/>
  <c r="I159" i="1"/>
  <c r="I13" i="1"/>
  <c r="BC20" i="1"/>
  <c r="BH22" i="1"/>
  <c r="AD22" i="1" s="1"/>
  <c r="C16" i="4" s="1"/>
  <c r="H22" i="1"/>
  <c r="H21" i="1" s="1"/>
  <c r="E14" i="2" s="1"/>
  <c r="H29" i="1"/>
  <c r="I37" i="1"/>
  <c r="H38" i="1"/>
  <c r="H49" i="1"/>
  <c r="BC107" i="1"/>
  <c r="AW108" i="1"/>
  <c r="AW109" i="1"/>
  <c r="AW110" i="1"/>
  <c r="BH111" i="1"/>
  <c r="AD111" i="1" s="1"/>
  <c r="H111" i="1"/>
  <c r="AW111" i="1"/>
  <c r="I156" i="1"/>
  <c r="I153" i="1" s="1"/>
  <c r="F19" i="2" s="1"/>
  <c r="BH156" i="1"/>
  <c r="BC200" i="1"/>
  <c r="AV200" i="1"/>
  <c r="BI141" i="1"/>
  <c r="AE141" i="1" s="1"/>
  <c r="I141" i="1"/>
  <c r="AX142" i="1"/>
  <c r="BC148" i="1"/>
  <c r="H53" i="1"/>
  <c r="AW115" i="1"/>
  <c r="BC140" i="1"/>
  <c r="BH205" i="1"/>
  <c r="H205" i="1"/>
  <c r="AW205" i="1"/>
  <c r="I137" i="1"/>
  <c r="H14" i="1"/>
  <c r="BI101" i="1"/>
  <c r="AE101" i="1" s="1"/>
  <c r="I101" i="1"/>
  <c r="AW102" i="1"/>
  <c r="BH104" i="1"/>
  <c r="AD104" i="1" s="1"/>
  <c r="H104" i="1"/>
  <c r="AW104" i="1"/>
  <c r="J138" i="1"/>
  <c r="G17" i="2" s="1"/>
  <c r="I17" i="2" s="1"/>
  <c r="AK139" i="1"/>
  <c r="AT138" i="1" s="1"/>
  <c r="J157" i="1"/>
  <c r="G20" i="2" s="1"/>
  <c r="I20" i="2" s="1"/>
  <c r="BC182" i="1"/>
  <c r="AV182" i="1"/>
  <c r="AS196" i="1"/>
  <c r="BI198" i="1"/>
  <c r="AC198" i="1" s="1"/>
  <c r="AX198" i="1"/>
  <c r="I198" i="1"/>
  <c r="AX52" i="1"/>
  <c r="BC52" i="1" s="1"/>
  <c r="AW55" i="1"/>
  <c r="BH154" i="1"/>
  <c r="AD154" i="1" s="1"/>
  <c r="H154" i="1"/>
  <c r="H153" i="1" s="1"/>
  <c r="E19" i="2" s="1"/>
  <c r="AW154" i="1"/>
  <c r="BC36" i="1"/>
  <c r="H116" i="1"/>
  <c r="BH116" i="1"/>
  <c r="AD116" i="1" s="1"/>
  <c r="AW142" i="1"/>
  <c r="I158" i="1"/>
  <c r="BI158" i="1"/>
  <c r="AE158" i="1" s="1"/>
  <c r="AX158" i="1"/>
  <c r="BI206" i="1"/>
  <c r="AX206" i="1"/>
  <c r="I206" i="1"/>
  <c r="AW30" i="1"/>
  <c r="BI116" i="1"/>
  <c r="AE116" i="1" s="1"/>
  <c r="I116" i="1"/>
  <c r="AX116" i="1"/>
  <c r="AV116" i="1" s="1"/>
  <c r="BC137" i="1"/>
  <c r="AX141" i="1"/>
  <c r="AX156" i="1"/>
  <c r="H171" i="1"/>
  <c r="AT21" i="1"/>
  <c r="I27" i="1"/>
  <c r="BI22" i="1"/>
  <c r="AE22" i="1" s="1"/>
  <c r="C17" i="4" s="1"/>
  <c r="I22" i="1"/>
  <c r="I21" i="1" s="1"/>
  <c r="F14" i="2" s="1"/>
  <c r="I33" i="1"/>
  <c r="AX109" i="1"/>
  <c r="BC128" i="1"/>
  <c r="AV128" i="1"/>
  <c r="AX22" i="1"/>
  <c r="AV22" i="1" s="1"/>
  <c r="H62" i="1"/>
  <c r="BH62" i="1"/>
  <c r="AD62" i="1" s="1"/>
  <c r="AW62" i="1"/>
  <c r="AV63" i="1"/>
  <c r="BC63" i="1"/>
  <c r="I65" i="1"/>
  <c r="AX65" i="1"/>
  <c r="AV65" i="1" s="1"/>
  <c r="BI65" i="1"/>
  <c r="AE65" i="1" s="1"/>
  <c r="AV90" i="1"/>
  <c r="BI104" i="1"/>
  <c r="AE104" i="1" s="1"/>
  <c r="I104" i="1"/>
  <c r="BH187" i="1"/>
  <c r="AD187" i="1" s="1"/>
  <c r="H187" i="1"/>
  <c r="H184" i="1" s="1"/>
  <c r="E22" i="2" s="1"/>
  <c r="AW187" i="1"/>
  <c r="BI171" i="1"/>
  <c r="AE171" i="1" s="1"/>
  <c r="I171" i="1"/>
  <c r="AX179" i="1"/>
  <c r="AV179" i="1" s="1"/>
  <c r="BI173" i="1"/>
  <c r="AE173" i="1" s="1"/>
  <c r="BH15" i="1"/>
  <c r="AB15" i="1" s="1"/>
  <c r="AW15" i="1"/>
  <c r="H15" i="1"/>
  <c r="BI154" i="1"/>
  <c r="AE154" i="1" s="1"/>
  <c r="AX154" i="1"/>
  <c r="J180" i="1"/>
  <c r="G21" i="2" s="1"/>
  <c r="I21" i="2" s="1"/>
  <c r="AK181" i="1"/>
  <c r="AT180" i="1" s="1"/>
  <c r="AX49" i="1"/>
  <c r="H173" i="1"/>
  <c r="H66" i="1"/>
  <c r="BH66" i="1"/>
  <c r="AD66" i="1" s="1"/>
  <c r="AW66" i="1"/>
  <c r="C21" i="4"/>
  <c r="BI66" i="1"/>
  <c r="AE66" i="1" s="1"/>
  <c r="I66" i="1"/>
  <c r="AX66" i="1"/>
  <c r="BH112" i="1"/>
  <c r="AD112" i="1" s="1"/>
  <c r="H157" i="1"/>
  <c r="E20" i="2" s="1"/>
  <c r="BH198" i="1"/>
  <c r="AB198" i="1" s="1"/>
  <c r="H198" i="1"/>
  <c r="AW198" i="1"/>
  <c r="BI62" i="1"/>
  <c r="AE62" i="1" s="1"/>
  <c r="I62" i="1"/>
  <c r="I43" i="1" s="1"/>
  <c r="F16" i="2" s="1"/>
  <c r="AX62" i="1"/>
  <c r="BI94" i="1"/>
  <c r="AE94" i="1" s="1"/>
  <c r="I94" i="1"/>
  <c r="AX94" i="1"/>
  <c r="AV94" i="1" s="1"/>
  <c r="AX101" i="1"/>
  <c r="AV101" i="1" s="1"/>
  <c r="AW103" i="1"/>
  <c r="BH108" i="1"/>
  <c r="AD108" i="1" s="1"/>
  <c r="BI177" i="1"/>
  <c r="AE177" i="1" s="1"/>
  <c r="I177" i="1"/>
  <c r="BH186" i="1"/>
  <c r="AD186" i="1" s="1"/>
  <c r="H186" i="1"/>
  <c r="I187" i="1"/>
  <c r="BI187" i="1"/>
  <c r="AE187" i="1" s="1"/>
  <c r="AX187" i="1"/>
  <c r="H122" i="1"/>
  <c r="AW122" i="1"/>
  <c r="BH122" i="1"/>
  <c r="AD122" i="1" s="1"/>
  <c r="C20" i="4"/>
  <c r="C27" i="4"/>
  <c r="BH41" i="1"/>
  <c r="AD41" i="1" s="1"/>
  <c r="H41" i="1"/>
  <c r="BH206" i="1"/>
  <c r="H206" i="1"/>
  <c r="AW206" i="1"/>
  <c r="AX41" i="1"/>
  <c r="BC41" i="1" s="1"/>
  <c r="AW141" i="1"/>
  <c r="AW156" i="1"/>
  <c r="BI159" i="1"/>
  <c r="AE159" i="1" s="1"/>
  <c r="AS12" i="1"/>
  <c r="AX29" i="1"/>
  <c r="AX137" i="1"/>
  <c r="AV137" i="1" s="1"/>
  <c r="H161" i="1"/>
  <c r="I29" i="1"/>
  <c r="AK44" i="1"/>
  <c r="AT43" i="1" s="1"/>
  <c r="J43" i="1"/>
  <c r="G16" i="2" s="1"/>
  <c r="I16" i="2" s="1"/>
  <c r="I49" i="1"/>
  <c r="AX108" i="1"/>
  <c r="H138" i="1"/>
  <c r="E17" i="2" s="1"/>
  <c r="AK17" i="1"/>
  <c r="AT16" i="1" s="1"/>
  <c r="J16" i="1"/>
  <c r="G12" i="2" s="1"/>
  <c r="I12" i="2" s="1"/>
  <c r="H60" i="1"/>
  <c r="BH60" i="1"/>
  <c r="AD60" i="1" s="1"/>
  <c r="BH61" i="1"/>
  <c r="AD61" i="1" s="1"/>
  <c r="H61" i="1"/>
  <c r="AV175" i="1"/>
  <c r="BH179" i="1"/>
  <c r="H179" i="1"/>
  <c r="AV181" i="1"/>
  <c r="BC181" i="1"/>
  <c r="BI186" i="1"/>
  <c r="AE186" i="1" s="1"/>
  <c r="I186" i="1"/>
  <c r="I184" i="1" s="1"/>
  <c r="F22" i="2" s="1"/>
  <c r="G11" i="2"/>
  <c r="I11" i="2" s="1"/>
  <c r="BC24" i="1"/>
  <c r="I34" i="1"/>
  <c r="BI34" i="1"/>
  <c r="AE34" i="1" s="1"/>
  <c r="AX34" i="1"/>
  <c r="BI78" i="1"/>
  <c r="AE78" i="1" s="1"/>
  <c r="I78" i="1"/>
  <c r="BC127" i="1"/>
  <c r="BI129" i="1"/>
  <c r="AE129" i="1" s="1"/>
  <c r="I129" i="1"/>
  <c r="H149" i="1"/>
  <c r="H144" i="1" s="1"/>
  <c r="E18" i="2" s="1"/>
  <c r="BH149" i="1"/>
  <c r="AD149" i="1" s="1"/>
  <c r="AX151" i="1"/>
  <c r="BI151" i="1"/>
  <c r="AE151" i="1" s="1"/>
  <c r="BC192" i="1"/>
  <c r="BH197" i="1"/>
  <c r="AB197" i="1" s="1"/>
  <c r="H197" i="1"/>
  <c r="BI197" i="1"/>
  <c r="AC197" i="1" s="1"/>
  <c r="I197" i="1"/>
  <c r="AX197" i="1"/>
  <c r="BC197" i="1" s="1"/>
  <c r="AT25" i="1"/>
  <c r="AV44" i="1"/>
  <c r="AW68" i="1"/>
  <c r="H80" i="1"/>
  <c r="BH80" i="1"/>
  <c r="AD80" i="1" s="1"/>
  <c r="AV145" i="1"/>
  <c r="AW146" i="1"/>
  <c r="BC147" i="1"/>
  <c r="AV147" i="1"/>
  <c r="BI149" i="1"/>
  <c r="AE149" i="1" s="1"/>
  <c r="I149" i="1"/>
  <c r="AX149" i="1"/>
  <c r="AK200" i="1"/>
  <c r="AT196" i="1" s="1"/>
  <c r="J196" i="1"/>
  <c r="G24" i="2" s="1"/>
  <c r="I24" i="2" s="1"/>
  <c r="BC194" i="1"/>
  <c r="AV194" i="1"/>
  <c r="H129" i="1"/>
  <c r="BH129" i="1"/>
  <c r="AD129" i="1" s="1"/>
  <c r="BI146" i="1"/>
  <c r="AE146" i="1" s="1"/>
  <c r="I146" i="1"/>
  <c r="I144" i="1" s="1"/>
  <c r="F18" i="2" s="1"/>
  <c r="AX146" i="1"/>
  <c r="C19" i="4"/>
  <c r="AU25" i="1"/>
  <c r="AW34" i="1"/>
  <c r="AW129" i="1"/>
  <c r="AW130" i="1"/>
  <c r="BC133" i="1"/>
  <c r="AV133" i="1"/>
  <c r="AV134" i="1"/>
  <c r="AS153" i="1"/>
  <c r="BI192" i="1"/>
  <c r="AC192" i="1" s="1"/>
  <c r="I192" i="1"/>
  <c r="I191" i="1" s="1"/>
  <c r="F23" i="2" s="1"/>
  <c r="AX192" i="1"/>
  <c r="AV192" i="1" s="1"/>
  <c r="H78" i="1"/>
  <c r="BH78" i="1"/>
  <c r="AD78" i="1" s="1"/>
  <c r="BH46" i="1"/>
  <c r="AD46" i="1" s="1"/>
  <c r="H46" i="1"/>
  <c r="H43" i="1" s="1"/>
  <c r="E16" i="2" s="1"/>
  <c r="AW46" i="1"/>
  <c r="AV80" i="1"/>
  <c r="BC80" i="1"/>
  <c r="AX129" i="1"/>
  <c r="BH132" i="1"/>
  <c r="AD132" i="1" s="1"/>
  <c r="H132" i="1"/>
  <c r="AW132" i="1"/>
  <c r="AS138" i="1"/>
  <c r="AX148" i="1"/>
  <c r="AV148" i="1" s="1"/>
  <c r="AW149" i="1"/>
  <c r="BH69" i="1"/>
  <c r="AD69" i="1" s="1"/>
  <c r="H69" i="1"/>
  <c r="BI70" i="1"/>
  <c r="AE70" i="1" s="1"/>
  <c r="I70" i="1"/>
  <c r="AX70" i="1"/>
  <c r="AV70" i="1" s="1"/>
  <c r="BH124" i="1"/>
  <c r="AD124" i="1" s="1"/>
  <c r="H124" i="1"/>
  <c r="AW124" i="1"/>
  <c r="BC70" i="1"/>
  <c r="AW74" i="1"/>
  <c r="AW123" i="1"/>
  <c r="BI124" i="1"/>
  <c r="AE124" i="1" s="1"/>
  <c r="I124" i="1"/>
  <c r="H150" i="1"/>
  <c r="BH150" i="1"/>
  <c r="AD150" i="1" s="1"/>
  <c r="BC47" i="1"/>
  <c r="AV47" i="1"/>
  <c r="AX76" i="1"/>
  <c r="AV76" i="1" s="1"/>
  <c r="AX78" i="1"/>
  <c r="BH19" i="1"/>
  <c r="AB19" i="1" s="1"/>
  <c r="H19" i="1"/>
  <c r="H18" i="1" s="1"/>
  <c r="E13" i="2" s="1"/>
  <c r="I26" i="1"/>
  <c r="BI26" i="1"/>
  <c r="AE26" i="1" s="1"/>
  <c r="AX26" i="1"/>
  <c r="AV26" i="1" s="1"/>
  <c r="BI46" i="1"/>
  <c r="AE46" i="1" s="1"/>
  <c r="I46" i="1"/>
  <c r="AX46" i="1"/>
  <c r="AV82" i="1"/>
  <c r="BC82" i="1"/>
  <c r="BC88" i="1"/>
  <c r="H94" i="1"/>
  <c r="BH94" i="1"/>
  <c r="AD94" i="1" s="1"/>
  <c r="H96" i="1"/>
  <c r="BH96" i="1"/>
  <c r="AD96" i="1" s="1"/>
  <c r="AW96" i="1"/>
  <c r="AV98" i="1"/>
  <c r="BC98" i="1"/>
  <c r="BH123" i="1"/>
  <c r="AD123" i="1" s="1"/>
  <c r="BC135" i="1"/>
  <c r="BH137" i="1"/>
  <c r="H137" i="1"/>
  <c r="BI150" i="1"/>
  <c r="AE150" i="1" s="1"/>
  <c r="I150" i="1"/>
  <c r="AX150" i="1"/>
  <c r="AU157" i="1"/>
  <c r="C18" i="4"/>
  <c r="BI105" i="1"/>
  <c r="AE105" i="1" s="1"/>
  <c r="I105" i="1"/>
  <c r="BI125" i="1"/>
  <c r="AE125" i="1" s="1"/>
  <c r="I125" i="1"/>
  <c r="AU138" i="1"/>
  <c r="BH158" i="1"/>
  <c r="AD158" i="1" s="1"/>
  <c r="AW158" i="1"/>
  <c r="BC189" i="1"/>
  <c r="AV159" i="1"/>
  <c r="BH183" i="1"/>
  <c r="H183" i="1"/>
  <c r="BH202" i="1"/>
  <c r="H202" i="1"/>
  <c r="AW202" i="1"/>
  <c r="AW106" i="1"/>
  <c r="BI113" i="1"/>
  <c r="AE113" i="1" s="1"/>
  <c r="I113" i="1"/>
  <c r="AW126" i="1"/>
  <c r="BI134" i="1"/>
  <c r="AE134" i="1" s="1"/>
  <c r="I134" i="1"/>
  <c r="BI163" i="1"/>
  <c r="AE163" i="1" s="1"/>
  <c r="I163" i="1"/>
  <c r="BI183" i="1"/>
  <c r="I183" i="1"/>
  <c r="I180" i="1" s="1"/>
  <c r="F21" i="2" s="1"/>
  <c r="BI202" i="1"/>
  <c r="AX202" i="1"/>
  <c r="AV203" i="1"/>
  <c r="BC151" i="1"/>
  <c r="AV151" i="1"/>
  <c r="H56" i="1"/>
  <c r="BI58" i="1"/>
  <c r="AE58" i="1" s="1"/>
  <c r="I58" i="1"/>
  <c r="AW72" i="1"/>
  <c r="H82" i="1"/>
  <c r="BI86" i="1"/>
  <c r="AE86" i="1" s="1"/>
  <c r="I86" i="1"/>
  <c r="BH165" i="1"/>
  <c r="AD165" i="1" s="1"/>
  <c r="AW165" i="1"/>
  <c r="H200" i="1"/>
  <c r="AW201" i="1"/>
  <c r="BH63" i="1"/>
  <c r="AD63" i="1" s="1"/>
  <c r="I165" i="1"/>
  <c r="AX165" i="1"/>
  <c r="AV167" i="1"/>
  <c r="H181" i="1"/>
  <c r="AV19" i="1" l="1"/>
  <c r="AV13" i="1"/>
  <c r="BC23" i="1"/>
  <c r="AV23" i="1"/>
  <c r="C14" i="4"/>
  <c r="C15" i="4"/>
  <c r="H12" i="1"/>
  <c r="E11" i="2" s="1"/>
  <c r="BC109" i="1"/>
  <c r="AV109" i="1"/>
  <c r="AV52" i="1"/>
  <c r="AV205" i="1"/>
  <c r="BC205" i="1"/>
  <c r="BC108" i="1"/>
  <c r="AV108" i="1"/>
  <c r="BC31" i="1"/>
  <c r="BC117" i="1"/>
  <c r="AV117" i="1"/>
  <c r="G25" i="2"/>
  <c r="AV197" i="1"/>
  <c r="BC46" i="1"/>
  <c r="AV46" i="1"/>
  <c r="BC129" i="1"/>
  <c r="AV129" i="1"/>
  <c r="AV110" i="1"/>
  <c r="BC110" i="1"/>
  <c r="AV132" i="1"/>
  <c r="BC132" i="1"/>
  <c r="AV96" i="1"/>
  <c r="BC96" i="1"/>
  <c r="AV115" i="1"/>
  <c r="BC115" i="1"/>
  <c r="BC76" i="1"/>
  <c r="I157" i="1"/>
  <c r="F20" i="2" s="1"/>
  <c r="AV33" i="1"/>
  <c r="BC33" i="1"/>
  <c r="BC142" i="1"/>
  <c r="AV142" i="1"/>
  <c r="I12" i="1"/>
  <c r="F11" i="2" s="1"/>
  <c r="BC53" i="1"/>
  <c r="AV53" i="1"/>
  <c r="AV41" i="1"/>
  <c r="AV55" i="1"/>
  <c r="BC55" i="1"/>
  <c r="BC94" i="1"/>
  <c r="AV118" i="1"/>
  <c r="BC118" i="1"/>
  <c r="BC158" i="1"/>
  <c r="AV158" i="1"/>
  <c r="J207" i="1"/>
  <c r="BC112" i="1"/>
  <c r="AV112" i="1"/>
  <c r="H180" i="1"/>
  <c r="E21" i="2" s="1"/>
  <c r="I196" i="1"/>
  <c r="F24" i="2" s="1"/>
  <c r="BC198" i="1"/>
  <c r="AV198" i="1"/>
  <c r="BC15" i="1"/>
  <c r="AV15" i="1"/>
  <c r="AV123" i="1"/>
  <c r="BC123" i="1"/>
  <c r="BC54" i="1"/>
  <c r="AV54" i="1"/>
  <c r="H25" i="1"/>
  <c r="E15" i="2" s="1"/>
  <c r="AV14" i="1"/>
  <c r="BC14" i="1"/>
  <c r="BC171" i="1"/>
  <c r="AV171" i="1"/>
  <c r="BC116" i="1"/>
  <c r="BC124" i="1"/>
  <c r="AV124" i="1"/>
  <c r="BC179" i="1"/>
  <c r="BC121" i="1"/>
  <c r="AV121" i="1"/>
  <c r="AV201" i="1"/>
  <c r="BC201" i="1"/>
  <c r="BC165" i="1"/>
  <c r="AV165" i="1"/>
  <c r="AV126" i="1"/>
  <c r="BC126" i="1"/>
  <c r="BC104" i="1"/>
  <c r="AV104" i="1"/>
  <c r="AV67" i="1"/>
  <c r="BC67" i="1"/>
  <c r="AV49" i="1"/>
  <c r="BC49" i="1"/>
  <c r="AV68" i="1"/>
  <c r="BC68" i="1"/>
  <c r="H196" i="1"/>
  <c r="E24" i="2" s="1"/>
  <c r="BC29" i="1"/>
  <c r="AV29" i="1"/>
  <c r="AV106" i="1"/>
  <c r="BC106" i="1"/>
  <c r="I25" i="1"/>
  <c r="F15" i="2" s="1"/>
  <c r="AV156" i="1"/>
  <c r="BC156" i="1"/>
  <c r="AV102" i="1"/>
  <c r="BC102" i="1"/>
  <c r="BC173" i="1"/>
  <c r="AV173" i="1"/>
  <c r="AV122" i="1"/>
  <c r="BC122" i="1"/>
  <c r="BC141" i="1"/>
  <c r="AV141" i="1"/>
  <c r="BC22" i="1"/>
  <c r="BC13" i="1"/>
  <c r="BC30" i="1"/>
  <c r="AV30" i="1"/>
  <c r="AV62" i="1"/>
  <c r="BC62" i="1"/>
  <c r="AV74" i="1"/>
  <c r="BC74" i="1"/>
  <c r="BC187" i="1"/>
  <c r="AV187" i="1"/>
  <c r="BC66" i="1"/>
  <c r="AV66" i="1"/>
  <c r="BC202" i="1"/>
  <c r="AV202" i="1"/>
  <c r="BC65" i="1"/>
  <c r="AV72" i="1"/>
  <c r="BC72" i="1"/>
  <c r="BC149" i="1"/>
  <c r="AV149" i="1"/>
  <c r="BC146" i="1"/>
  <c r="AV146" i="1"/>
  <c r="AV103" i="1"/>
  <c r="BC103" i="1"/>
  <c r="BC38" i="1"/>
  <c r="AV38" i="1"/>
  <c r="BC26" i="1"/>
  <c r="BC34" i="1"/>
  <c r="AV34" i="1"/>
  <c r="BC42" i="1"/>
  <c r="AV42" i="1"/>
  <c r="AV50" i="1"/>
  <c r="BC50" i="1"/>
  <c r="AV154" i="1"/>
  <c r="BC154" i="1"/>
  <c r="AV111" i="1"/>
  <c r="BC111" i="1"/>
  <c r="AV130" i="1"/>
  <c r="BC130" i="1"/>
  <c r="BC206" i="1"/>
  <c r="AV206" i="1"/>
  <c r="C22" i="4" l="1"/>
  <c r="H21" i="5" s="1"/>
  <c r="I21" i="5" s="1"/>
  <c r="I27" i="5" s="1"/>
  <c r="F29" i="5" s="1"/>
  <c r="I14" i="4" l="1"/>
  <c r="I22" i="4" s="1"/>
  <c r="C28" i="4" s="1"/>
  <c r="F28" i="4" s="1"/>
  <c r="I28" i="4" l="1"/>
  <c r="I29" i="4" s="1"/>
</calcChain>
</file>

<file path=xl/sharedStrings.xml><?xml version="1.0" encoding="utf-8"?>
<sst xmlns="http://schemas.openxmlformats.org/spreadsheetml/2006/main" count="3576" uniqueCount="757">
  <si>
    <t>Slepý stavební rozpočet</t>
  </si>
  <si>
    <t>Název stavby:</t>
  </si>
  <si>
    <t>Rekonstrukce rozvodů vody, odpadního potrubí splaškové a dešťové kanalizace</t>
  </si>
  <si>
    <t>Doba výstavby:</t>
  </si>
  <si>
    <t xml:space="preserve"> </t>
  </si>
  <si>
    <t>Objednatel:</t>
  </si>
  <si>
    <t>Město Bohumín, Masarykova 158, Bohumín</t>
  </si>
  <si>
    <t>Druh stavby:</t>
  </si>
  <si>
    <t>Začátek výstavby:</t>
  </si>
  <si>
    <t>26.11.2024</t>
  </si>
  <si>
    <t>Projektant:</t>
  </si>
  <si>
    <t>ENERGETING.CZ, s.r.o.</t>
  </si>
  <si>
    <t>Lokalita:</t>
  </si>
  <si>
    <t>Bytový dům Svat. Čecha 1093, Bohumín</t>
  </si>
  <si>
    <t>Konec výstavby:</t>
  </si>
  <si>
    <t>Zhotovitel:</t>
  </si>
  <si>
    <t> </t>
  </si>
  <si>
    <t>JKSO:</t>
  </si>
  <si>
    <t>8032732</t>
  </si>
  <si>
    <t>Zpracováno dne:</t>
  </si>
  <si>
    <t>Zpracoval:</t>
  </si>
  <si>
    <t>Č</t>
  </si>
  <si>
    <t>Kód</t>
  </si>
  <si>
    <t>Zkrácený popis / Varianta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</si>
  <si>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</si>
  <si>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</si>
  <si>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</si>
  <si>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</si>
  <si>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</si>
  <si>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</si>
  <si>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</si>
  <si>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</si>
  <si>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</si>
  <si>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</si>
  <si>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</si>
  <si>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</si>
  <si>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</si>
  <si>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</si>
  <si>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</si>
  <si>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</si>
  <si>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</si>
  <si>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</si>
  <si>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</si>
  <si>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</si>
  <si>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</si>
  <si>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</si>
  <si>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</si>
  <si>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</si>
  <si>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</si>
  <si>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</si>
  <si>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</si>
  <si>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34</t>
  </si>
  <si>
    <t>Stěny a příčky</t>
  </si>
  <si>
    <t>1</t>
  </si>
  <si>
    <t>or. cena</t>
  </si>
  <si>
    <t>Kryt odpadního potrubí SDK W628A DF RED 2x25</t>
  </si>
  <si>
    <t>m2</t>
  </si>
  <si>
    <t>2024</t>
  </si>
  <si>
    <t>01</t>
  </si>
  <si>
    <t>34_</t>
  </si>
  <si>
    <t>3_</t>
  </si>
  <si>
    <t>01_</t>
  </si>
  <si>
    <t>2</t>
  </si>
  <si>
    <t>342254511R00</t>
  </si>
  <si>
    <t>Příčky z desek pórobetonových tl. 75 mm</t>
  </si>
  <si>
    <t>RTS II / 2024</t>
  </si>
  <si>
    <t>3</t>
  </si>
  <si>
    <t>342941111R00</t>
  </si>
  <si>
    <t>Připojení příček ke stáv.konstr. kotvou na hmožd.</t>
  </si>
  <si>
    <t>m</t>
  </si>
  <si>
    <t>RTS I / 2024</t>
  </si>
  <si>
    <t>41</t>
  </si>
  <si>
    <t>Stropy a stropní konstrukce (pro pozemní stavby)</t>
  </si>
  <si>
    <t>4</t>
  </si>
  <si>
    <t>411200021RA0</t>
  </si>
  <si>
    <t>Zabetonování otvorů ve stropu do 1 m2</t>
  </si>
  <si>
    <t>41_</t>
  </si>
  <si>
    <t>4_</t>
  </si>
  <si>
    <t>60</t>
  </si>
  <si>
    <t>Omítky ze suchých směsí</t>
  </si>
  <si>
    <t>5</t>
  </si>
  <si>
    <t>602011112R00</t>
  </si>
  <si>
    <t>Omítka na stěnách jádrová vápenocementová, ručně</t>
  </si>
  <si>
    <t>60_</t>
  </si>
  <si>
    <t>6_</t>
  </si>
  <si>
    <t>6</t>
  </si>
  <si>
    <t>602011141R00</t>
  </si>
  <si>
    <t>Omítka na stěnách štuková vápenná vnitřní, ručně</t>
  </si>
  <si>
    <t>713</t>
  </si>
  <si>
    <t>Izolace tepelné</t>
  </si>
  <si>
    <t>7</t>
  </si>
  <si>
    <t>713551312R00</t>
  </si>
  <si>
    <t>Protipožární přepážka pěnová, požární odolnost EI 90, průřez do 0,02 m2</t>
  </si>
  <si>
    <t>kus</t>
  </si>
  <si>
    <t>713_</t>
  </si>
  <si>
    <t>71_</t>
  </si>
  <si>
    <t>8</t>
  </si>
  <si>
    <t>713571115R00</t>
  </si>
  <si>
    <t>Požárně ochranná manžeta hl. 60 mm, požární odolnost EI 90, D 110 mm</t>
  </si>
  <si>
    <t>9</t>
  </si>
  <si>
    <t>998713104R00</t>
  </si>
  <si>
    <t>Přesun hmot pro izolace tepelné, výšky do 36 m</t>
  </si>
  <si>
    <t>t</t>
  </si>
  <si>
    <t>721</t>
  </si>
  <si>
    <t>Vnitřní kanalizace</t>
  </si>
  <si>
    <t>10</t>
  </si>
  <si>
    <t>721170965R00</t>
  </si>
  <si>
    <t>Provedení opravy vnitřní kanalizace, potrubí plastové, propojení dosavadního potrubí, D 110 mm</t>
  </si>
  <si>
    <t>721_</t>
  </si>
  <si>
    <t>72_</t>
  </si>
  <si>
    <t>11</t>
  </si>
  <si>
    <t>721170975R00</t>
  </si>
  <si>
    <t>Provedení opravy vnitřní kanalizace, potrubí plastové, krácení trub, D 110 mm</t>
  </si>
  <si>
    <t>12</t>
  </si>
  <si>
    <t>721171803R00</t>
  </si>
  <si>
    <t>Demontáž potrubí z PVC do D 75 mm</t>
  </si>
  <si>
    <t>13</t>
  </si>
  <si>
    <t>721171808R00</t>
  </si>
  <si>
    <t>Demontáž potrubí z PVC do D 114 mm</t>
  </si>
  <si>
    <t>14</t>
  </si>
  <si>
    <t>15</t>
  </si>
  <si>
    <t>721176102R00</t>
  </si>
  <si>
    <t>Potrubí HT připojovací, D 40 x 1,8 mm</t>
  </si>
  <si>
    <t>16</t>
  </si>
  <si>
    <t>721176103R00</t>
  </si>
  <si>
    <t>Potrubí HT připojovací, D 50 x 1,8 mm</t>
  </si>
  <si>
    <t>17</t>
  </si>
  <si>
    <t>721176105R00</t>
  </si>
  <si>
    <t>Potrubí HT připojovací, D 110 x 2,7 mm</t>
  </si>
  <si>
    <t>18</t>
  </si>
  <si>
    <t>Flexi napojení k WC</t>
  </si>
  <si>
    <t>19</t>
  </si>
  <si>
    <t>721176115R00</t>
  </si>
  <si>
    <t>Potrubí HT odpadní svislé, D 110 x 2,7 mm</t>
  </si>
  <si>
    <t>20</t>
  </si>
  <si>
    <t>721176145R00</t>
  </si>
  <si>
    <t>Potrubí HT dešťové (svislé), D 110 x 2,7 mm</t>
  </si>
  <si>
    <t>21</t>
  </si>
  <si>
    <t>721194104R00</t>
  </si>
  <si>
    <t>Vyvedení odpadních výpustek, D 40 x 1,8 mm</t>
  </si>
  <si>
    <t>22</t>
  </si>
  <si>
    <t>721194105R00</t>
  </si>
  <si>
    <t>Vyvedení odpadních výpustek, D 50 x 1,8 mm</t>
  </si>
  <si>
    <t>23</t>
  </si>
  <si>
    <t>721194109R00</t>
  </si>
  <si>
    <t>Vyvedení odpadních výpustek, D 110 x 2,3 mm</t>
  </si>
  <si>
    <t>24</t>
  </si>
  <si>
    <t>721290123R00</t>
  </si>
  <si>
    <t>Zkouška těsnosti kanalizace kouřem DN 300 mm</t>
  </si>
  <si>
    <t>25</t>
  </si>
  <si>
    <t>721290824R00</t>
  </si>
  <si>
    <t>Přesun vybouraných hmot, vnitřní kanalizace, v objektech výšky přes 24 - 36 m</t>
  </si>
  <si>
    <t>26</t>
  </si>
  <si>
    <t>998721104R00</t>
  </si>
  <si>
    <t>Přesun hmot pro vnitřní kanalizaci, výšky do 36 m</t>
  </si>
  <si>
    <t>722</t>
  </si>
  <si>
    <t>Vnitřní vodovod</t>
  </si>
  <si>
    <t>27</t>
  </si>
  <si>
    <t>722130803R00</t>
  </si>
  <si>
    <t>Demontáž potrubí ocelových závitových, DN 50 mm</t>
  </si>
  <si>
    <t>722_</t>
  </si>
  <si>
    <t>28</t>
  </si>
  <si>
    <t>722170801R00</t>
  </si>
  <si>
    <t>Demontáž rozvodů vody z plastů do D 32 mm</t>
  </si>
  <si>
    <t>29</t>
  </si>
  <si>
    <t>30</t>
  </si>
  <si>
    <t>722170804R00</t>
  </si>
  <si>
    <t>Demontáž rozvodů vody z plastů do D 63 mm</t>
  </si>
  <si>
    <t>31</t>
  </si>
  <si>
    <t>722171912R00</t>
  </si>
  <si>
    <t>Odříznutí plastové trubky D 20 mm</t>
  </si>
  <si>
    <t>32</t>
  </si>
  <si>
    <t>722171915R00</t>
  </si>
  <si>
    <t>Odříznutí plastové trubky D 40 mm</t>
  </si>
  <si>
    <t>33</t>
  </si>
  <si>
    <t>722171917R00</t>
  </si>
  <si>
    <t>Odříznutí plastové trubky D 63 mm</t>
  </si>
  <si>
    <t>722172361R00</t>
  </si>
  <si>
    <t>Smyčka kompenzační z PP-R, D 20 x 3,4 mm, PN 20</t>
  </si>
  <si>
    <t>35</t>
  </si>
  <si>
    <t>722172364R00</t>
  </si>
  <si>
    <t>Smyčka kompenzační z PP-R, D 40 x 6,7 mm, PN 20</t>
  </si>
  <si>
    <t>36</t>
  </si>
  <si>
    <t>722172611R00</t>
  </si>
  <si>
    <t>Potrubí plastové PP-R, bez zednických výpomocí, D 20 x 2,8 mm, PN 16</t>
  </si>
  <si>
    <t>37</t>
  </si>
  <si>
    <t>722172612R00</t>
  </si>
  <si>
    <t>Potrubí plastové PP-R, bez zednických výpomocí, D 25 x 3,5 mm, PN 16</t>
  </si>
  <si>
    <t>38</t>
  </si>
  <si>
    <t>722172613R00</t>
  </si>
  <si>
    <t>Potrubí plastové PP-R, bez zednických výpomocí, D 32 x 4,4 mm, PN 16</t>
  </si>
  <si>
    <t>39</t>
  </si>
  <si>
    <t>722172614R00</t>
  </si>
  <si>
    <t>Potrubí plastové PP-R, bez zednických výpomocí, D 40 x 5,5 mm, PN 16</t>
  </si>
  <si>
    <t>40</t>
  </si>
  <si>
    <t>722172615R00</t>
  </si>
  <si>
    <t>Potrubí plastové PP-R, bez zednických výpomocí, D 50 x 6,9 mm, PN 16</t>
  </si>
  <si>
    <t>722172616R00</t>
  </si>
  <si>
    <t>Potrubí plastové PP-R, bez zednických výpomocí, D 63 x 8,6 mm, PN 16</t>
  </si>
  <si>
    <t>42</t>
  </si>
  <si>
    <t>722172617R00</t>
  </si>
  <si>
    <t>Potrubí plastové PP-R, bez zednických výpomocí, D 75 x 10,3 mm, PN 16</t>
  </si>
  <si>
    <t>43</t>
  </si>
  <si>
    <t>722172912R00</t>
  </si>
  <si>
    <t>Provedení propojení plastového vodovodního potrubí polyfuzí, D 20 mm</t>
  </si>
  <si>
    <t>44</t>
  </si>
  <si>
    <t>722172916R00</t>
  </si>
  <si>
    <t>Provedení propojení plastového vodovodního potrubí polyfuzí, D 50 mm</t>
  </si>
  <si>
    <t>45</t>
  </si>
  <si>
    <t>722172918R00</t>
  </si>
  <si>
    <t>Provedení propojení plastového vodovodního potrubí polyfuzí, D 75 mm</t>
  </si>
  <si>
    <t>46</t>
  </si>
  <si>
    <t>722178711R00</t>
  </si>
  <si>
    <t>Potrubí vícevrstvé vodovodní, PP-RCT s čedičovým vláknem, polyfuzně svařené, D 20 x 2,8 mm</t>
  </si>
  <si>
    <t>47</t>
  </si>
  <si>
    <t>48</t>
  </si>
  <si>
    <t>722178712R00</t>
  </si>
  <si>
    <t>Potrubí vícevrstvé vodovodní, PP-RCT s čedičovým vláknem, polyfuzně svařené, D 25 x 3,5 mm</t>
  </si>
  <si>
    <t>49</t>
  </si>
  <si>
    <t>722178713R00</t>
  </si>
  <si>
    <t>Potrubí vícevrstvé vodovodní, PP-RCT s čedičovým vláknem, polyfuzně svařené, D 32 x 4,4 mm</t>
  </si>
  <si>
    <t>50</t>
  </si>
  <si>
    <t>722178714R00</t>
  </si>
  <si>
    <t>Potrubí vícevrstvé vodovodní, PP-RCT s čedičovým vláknem, polyfuzně svařené, D 40 x 5,5 mm</t>
  </si>
  <si>
    <t>51</t>
  </si>
  <si>
    <t>722178715R00</t>
  </si>
  <si>
    <t>Potrubí vícevrstvé vodovodní, PP-RCT s čedičovým vláknem, polyfuzně svařené, D 50 x 6,9 mm</t>
  </si>
  <si>
    <t>52</t>
  </si>
  <si>
    <t>722178716R00</t>
  </si>
  <si>
    <t>Potrubí vícevrstvé vodovodní, PP-RCT s čedičovým vláknem, polyfuzně svařené, D 63 x 8,6 mm</t>
  </si>
  <si>
    <t>53</t>
  </si>
  <si>
    <t>722181212RT7</t>
  </si>
  <si>
    <t>Izolace návleková PE PRO tl. stěny 9 mm</t>
  </si>
  <si>
    <t>Varianta:</t>
  </si>
  <si>
    <t>vnitřní průměr 22 mm</t>
  </si>
  <si>
    <t>54</t>
  </si>
  <si>
    <t>722181212RY3</t>
  </si>
  <si>
    <t>vnitřní průměr 63 mm</t>
  </si>
  <si>
    <t>55</t>
  </si>
  <si>
    <t>722181212RY5</t>
  </si>
  <si>
    <t>vnitřní průměr 76 mm</t>
  </si>
  <si>
    <t>56</t>
  </si>
  <si>
    <t>722181213RT8</t>
  </si>
  <si>
    <t>Izolace návleková PE PRO tl. stěny 13 mm</t>
  </si>
  <si>
    <t>vnitřní průměr 25 mm</t>
  </si>
  <si>
    <t>57</t>
  </si>
  <si>
    <t>722181213RU1</t>
  </si>
  <si>
    <t>vnitřní průměr 32 mm</t>
  </si>
  <si>
    <t>58</t>
  </si>
  <si>
    <t>722181213RV9</t>
  </si>
  <si>
    <t>vnitřní průměr 40 mm</t>
  </si>
  <si>
    <t>59</t>
  </si>
  <si>
    <t>722181213RW6</t>
  </si>
  <si>
    <t>vnitřní průměr 50 mm</t>
  </si>
  <si>
    <t>722181213RY3</t>
  </si>
  <si>
    <t>61</t>
  </si>
  <si>
    <t>722181214RT7</t>
  </si>
  <si>
    <t>Izolace návleková PE PRO tl. stěny 20 mm</t>
  </si>
  <si>
    <t>62</t>
  </si>
  <si>
    <t>63</t>
  </si>
  <si>
    <t>722181214RT8</t>
  </si>
  <si>
    <t>64</t>
  </si>
  <si>
    <t>722181214RU1</t>
  </si>
  <si>
    <t>65</t>
  </si>
  <si>
    <t>722181214RV9</t>
  </si>
  <si>
    <t>66</t>
  </si>
  <si>
    <t>722181214RW6</t>
  </si>
  <si>
    <t>67</t>
  </si>
  <si>
    <t>722181214RZ2</t>
  </si>
  <si>
    <t>vnitřní průměr 110 mm</t>
  </si>
  <si>
    <t>68</t>
  </si>
  <si>
    <t>722182001R00</t>
  </si>
  <si>
    <t>Montáž tepelné izolace skruží na potrubí přímé, DN 25 mm, samolepicí spoj</t>
  </si>
  <si>
    <t>69</t>
  </si>
  <si>
    <t>631547213</t>
  </si>
  <si>
    <t>Pouzdro potrubní izolační MW ALS - 22/40 mm</t>
  </si>
  <si>
    <t>70</t>
  </si>
  <si>
    <t>631547013</t>
  </si>
  <si>
    <t>Pouzdro potrubní izolační MW ALS - 22/20 mm</t>
  </si>
  <si>
    <t>71</t>
  </si>
  <si>
    <t>631547014</t>
  </si>
  <si>
    <t>Pouzdro potrubní izolační MW ALS - 28/20 mm</t>
  </si>
  <si>
    <t>72</t>
  </si>
  <si>
    <t>722182004R00</t>
  </si>
  <si>
    <t>Montáž tepelné izolace skruží na potrubí přímé, DN 40 mm, samolepicí spoj</t>
  </si>
  <si>
    <t>73</t>
  </si>
  <si>
    <t>631547015</t>
  </si>
  <si>
    <t>Pouzdro potrubní izolační MW ALS - 35/20 mm</t>
  </si>
  <si>
    <t>74</t>
  </si>
  <si>
    <t>631547016</t>
  </si>
  <si>
    <t>Pouzdro potrubní izolační MW ALS - 42/20 mm</t>
  </si>
  <si>
    <t>75</t>
  </si>
  <si>
    <t>722182006R00</t>
  </si>
  <si>
    <t>Montáž tepelné izolace skruží na potrubí přímé, DN 80 mm, samolepicí spoj</t>
  </si>
  <si>
    <t>76</t>
  </si>
  <si>
    <t>631547218</t>
  </si>
  <si>
    <t>Pouzdro potrubní izolační MW ALS - 54/40 mm</t>
  </si>
  <si>
    <t>77</t>
  </si>
  <si>
    <t>631547220</t>
  </si>
  <si>
    <t>Pouzdro potrubní izolační MW ALS - 64/40 mm</t>
  </si>
  <si>
    <t>78</t>
  </si>
  <si>
    <t>631547018</t>
  </si>
  <si>
    <t>Pouzdro potrubní izolační MW ALS - 54/20 mm</t>
  </si>
  <si>
    <t>79</t>
  </si>
  <si>
    <t>722182091R00</t>
  </si>
  <si>
    <t>Příplatek za montáž izolačních tvarovek DN 25 mm</t>
  </si>
  <si>
    <t>80</t>
  </si>
  <si>
    <t>722182096R00</t>
  </si>
  <si>
    <t>Příplatek za montáž izolačních tvarovek DN 80 mm</t>
  </si>
  <si>
    <t>81</t>
  </si>
  <si>
    <t>722182200R00</t>
  </si>
  <si>
    <t>Výroba izolační tvarovky do DN 40 mm</t>
  </si>
  <si>
    <t>82</t>
  </si>
  <si>
    <t>722182201R00</t>
  </si>
  <si>
    <t>Výroba izolační tvarovky přes DN 40 mm do DN 80 mm</t>
  </si>
  <si>
    <t>83</t>
  </si>
  <si>
    <t>722190401R00</t>
  </si>
  <si>
    <t>Vyvedení a upevnění výpustek DN 15 mm</t>
  </si>
  <si>
    <t>84</t>
  </si>
  <si>
    <t>722190901R00</t>
  </si>
  <si>
    <t>Uzavření/otevření vodovodního potrubí při opravě</t>
  </si>
  <si>
    <t>85</t>
  </si>
  <si>
    <t>722191112R00</t>
  </si>
  <si>
    <t>Hadice flexibilní k baterii M 10, DN 15 mm, délka 500 mm</t>
  </si>
  <si>
    <t>soubor</t>
  </si>
  <si>
    <t>86</t>
  </si>
  <si>
    <t>722191133R00</t>
  </si>
  <si>
    <t>Hadice sanitární flexibilní, DN 15 mm, délka 500 mm</t>
  </si>
  <si>
    <t>87</t>
  </si>
  <si>
    <t>722202213R00</t>
  </si>
  <si>
    <t>Nástěnka MZD PP-R, D 20 mm x R 1/2"</t>
  </si>
  <si>
    <t>88</t>
  </si>
  <si>
    <t>722202221R00</t>
  </si>
  <si>
    <t>Komplet nástěnný MZD PP-R, D 20 mm x R 1/2"</t>
  </si>
  <si>
    <t>89</t>
  </si>
  <si>
    <t>722220851R00</t>
  </si>
  <si>
    <t>Demontáž armatur s jedním závitem G 3/4"</t>
  </si>
  <si>
    <t>90</t>
  </si>
  <si>
    <t>722223131R00</t>
  </si>
  <si>
    <t>Kohout vodovodní, kulový, vypouštěcí, komplet, R608, DN 15 mm</t>
  </si>
  <si>
    <t>91</t>
  </si>
  <si>
    <t>722237326R00</t>
  </si>
  <si>
    <t>Kohout kulový, 2x vnitřní závit, R250W, DN 40 mm</t>
  </si>
  <si>
    <t>92</t>
  </si>
  <si>
    <t>722237327R00</t>
  </si>
  <si>
    <t>Kohout kulový, 2x vnitřní závit, R250W, DN 50 mm</t>
  </si>
  <si>
    <t>93</t>
  </si>
  <si>
    <t>722239101R00</t>
  </si>
  <si>
    <t>Montáž vodovodních armatur 2závity, G 1/2"</t>
  </si>
  <si>
    <t>94</t>
  </si>
  <si>
    <t>52 751-610</t>
  </si>
  <si>
    <t>Ventil vyvažovací DN 10, kvs 1,33</t>
  </si>
  <si>
    <t>95</t>
  </si>
  <si>
    <t>722239106R00</t>
  </si>
  <si>
    <t>Montáž vodovodních armatur 2závity, G 2"</t>
  </si>
  <si>
    <t>96</t>
  </si>
  <si>
    <t>CIM33CREA050</t>
  </si>
  <si>
    <t>Kontrolovatelný zpětný ventil CIM 33 CREA 2" FF</t>
  </si>
  <si>
    <t>97</t>
  </si>
  <si>
    <t>722260812R00</t>
  </si>
  <si>
    <t>Demontáž vodoměrů závitových G 3/4"</t>
  </si>
  <si>
    <t>98</t>
  </si>
  <si>
    <t>722269112R00</t>
  </si>
  <si>
    <t>Montáž vodoměru závitového jdnovt. suchob. G3/4"</t>
  </si>
  <si>
    <t>použity stávající vodoměry s dálkovým odečtem</t>
  </si>
  <si>
    <t>99</t>
  </si>
  <si>
    <t>Zpětná klapka k vodoměru plastová membránová DN15 - bílá</t>
  </si>
  <si>
    <t>100</t>
  </si>
  <si>
    <t>722280106R00</t>
  </si>
  <si>
    <t>Tlaková zkouška vodovodního potrubí DN 32 mm</t>
  </si>
  <si>
    <t>101</t>
  </si>
  <si>
    <t>722290234R00</t>
  </si>
  <si>
    <t>Proplach a dezinfekce vodovodního potrubí DN 80 mm</t>
  </si>
  <si>
    <t>102</t>
  </si>
  <si>
    <t>722290824R00</t>
  </si>
  <si>
    <t>Přesun vybouraných hmot - vodovody, H 24 - 36 m</t>
  </si>
  <si>
    <t>103</t>
  </si>
  <si>
    <t>Rozbor pitné vody dle Vyhlášky MZd č. 252/2004 Sb. - krácený rozsah</t>
  </si>
  <si>
    <t>104</t>
  </si>
  <si>
    <t>998722104R00</t>
  </si>
  <si>
    <t>Přesun hmot pro vnitřní vodovod, výšky do 36 m</t>
  </si>
  <si>
    <t>725</t>
  </si>
  <si>
    <t>Zařizovací předměty</t>
  </si>
  <si>
    <t>105</t>
  </si>
  <si>
    <t>725110811R00</t>
  </si>
  <si>
    <t>Demontáž klozetů splachovacích</t>
  </si>
  <si>
    <t>725_</t>
  </si>
  <si>
    <t>106</t>
  </si>
  <si>
    <t>725114912R00</t>
  </si>
  <si>
    <t>Zpětná montáž klozetové mísy a sedátka</t>
  </si>
  <si>
    <t>107</t>
  </si>
  <si>
    <t>725814101R00</t>
  </si>
  <si>
    <t>Ventil rohový s filtrem DN 15 x DN 10</t>
  </si>
  <si>
    <t>108</t>
  </si>
  <si>
    <t>725814122R00</t>
  </si>
  <si>
    <t>Ventil pračkový se zpětnou klapkou 08101 DN 15 mm x DN 20 mm</t>
  </si>
  <si>
    <t>109</t>
  </si>
  <si>
    <t>998725104R00</t>
  </si>
  <si>
    <t>Přesun hmot pro zařizovací předměty, výšky do 36 m</t>
  </si>
  <si>
    <t>726</t>
  </si>
  <si>
    <t>Instalační prefabrikáty</t>
  </si>
  <si>
    <t>110</t>
  </si>
  <si>
    <t>726190903R00</t>
  </si>
  <si>
    <t>Odmontování krycí desky vany</t>
  </si>
  <si>
    <t>726_</t>
  </si>
  <si>
    <t>111</t>
  </si>
  <si>
    <t>726190905R00</t>
  </si>
  <si>
    <t>Odmontování krycích dvířek a desky WC</t>
  </si>
  <si>
    <t>112</t>
  </si>
  <si>
    <t>726190906R00</t>
  </si>
  <si>
    <t>Odmontování kuchyňské linky s armaturou</t>
  </si>
  <si>
    <t>113</t>
  </si>
  <si>
    <t>726190913R00</t>
  </si>
  <si>
    <t>Zpětná montáž krycí desky vany</t>
  </si>
  <si>
    <t>114</t>
  </si>
  <si>
    <t>Montáž krytu šachty bytového jádra</t>
  </si>
  <si>
    <t>115</t>
  </si>
  <si>
    <t>Kryt šachty BJ 0,85x2,4m, z desek MDF oboustranně laminovaných, tl. 18 mm, bílá, nosné latě hoblované SM 40x60, dvoukřídlá dvířka 0,85x0,96</t>
  </si>
  <si>
    <t>116</t>
  </si>
  <si>
    <t>Zpětná montáž kuchyňské linky s armaturou</t>
  </si>
  <si>
    <t>117</t>
  </si>
  <si>
    <t>998726124R00</t>
  </si>
  <si>
    <t>Přesun hmot pro předstěnové systémy, výšky do 36 m</t>
  </si>
  <si>
    <t>728</t>
  </si>
  <si>
    <t>Vzduchotechnika</t>
  </si>
  <si>
    <t>118</t>
  </si>
  <si>
    <t>728614611R00</t>
  </si>
  <si>
    <t>Montáž ventilátoru axiálního nízkotlakového nástěnného do d 100 mm</t>
  </si>
  <si>
    <t>728_</t>
  </si>
  <si>
    <t>119</t>
  </si>
  <si>
    <t>728614860R00</t>
  </si>
  <si>
    <t>Demontáž ventilátoru axiálního nízkotlakového nástěného do d 200 mm</t>
  </si>
  <si>
    <t>120</t>
  </si>
  <si>
    <t>998728104R00</t>
  </si>
  <si>
    <t>Přesun hmot pro vzduchotechniku, výšky do 36 m</t>
  </si>
  <si>
    <t>767</t>
  </si>
  <si>
    <t>Konstrukce doplňkové stavební (zámečnické)</t>
  </si>
  <si>
    <t>121</t>
  </si>
  <si>
    <t>767134802R00</t>
  </si>
  <si>
    <t>Demontáž oplechování stěn plechy šroubovanými</t>
  </si>
  <si>
    <t>767_</t>
  </si>
  <si>
    <t>76_</t>
  </si>
  <si>
    <t>122</t>
  </si>
  <si>
    <t>767883121RT2</t>
  </si>
  <si>
    <t>Objímka jednošroubová, upínací sestava, MP-HI</t>
  </si>
  <si>
    <t>ks</t>
  </si>
  <si>
    <t>pro potrubí průměru 15 - 19 mm</t>
  </si>
  <si>
    <t>123</t>
  </si>
  <si>
    <t>767883121RT4</t>
  </si>
  <si>
    <t>pro potrubí průměru 25 - 30 mm</t>
  </si>
  <si>
    <t>124</t>
  </si>
  <si>
    <t>767883121RT5</t>
  </si>
  <si>
    <t>pro potrubí průměru 32 - 37 mm</t>
  </si>
  <si>
    <t>125</t>
  </si>
  <si>
    <t>767883121RT6</t>
  </si>
  <si>
    <t>pro potrubí průměru 40 - 45 mm</t>
  </si>
  <si>
    <t>126</t>
  </si>
  <si>
    <t>767883121RT7</t>
  </si>
  <si>
    <t>pro potrubí průměru 48 - 53 mm</t>
  </si>
  <si>
    <t>127</t>
  </si>
  <si>
    <t>767883122RT3</t>
  </si>
  <si>
    <t>Objímka jednošroubová, upínací sestava, kluzná, MP-U-G</t>
  </si>
  <si>
    <t>pro potrubí průměru 20 - 23 mm</t>
  </si>
  <si>
    <t>128</t>
  </si>
  <si>
    <t>767883122RT4</t>
  </si>
  <si>
    <t>129</t>
  </si>
  <si>
    <t>767883122RT5</t>
  </si>
  <si>
    <t>pro potrubí průměru 31 - 38 mm</t>
  </si>
  <si>
    <t>130</t>
  </si>
  <si>
    <t>767883122RT6</t>
  </si>
  <si>
    <t>pro potrubí průměru 40 - 46 mm</t>
  </si>
  <si>
    <t>131</t>
  </si>
  <si>
    <t>767883122RT7</t>
  </si>
  <si>
    <t>132</t>
  </si>
  <si>
    <t>998767104R00</t>
  </si>
  <si>
    <t>Přesun hmot pro zámečnické konstr., výšky do 36 m</t>
  </si>
  <si>
    <t>781</t>
  </si>
  <si>
    <t>Obklady (keramické)</t>
  </si>
  <si>
    <t>133</t>
  </si>
  <si>
    <t>781475116R00</t>
  </si>
  <si>
    <t>Provedení keramického obkladu vnitřních stěn do tmele, do 300 x 300 mm</t>
  </si>
  <si>
    <t>781_</t>
  </si>
  <si>
    <t>78_</t>
  </si>
  <si>
    <t>134</t>
  </si>
  <si>
    <t>Dlažba 300 x 300 x 9 mm, dle původního typu</t>
  </si>
  <si>
    <t>135</t>
  </si>
  <si>
    <t>998781101R00</t>
  </si>
  <si>
    <t>Přesun hmot pro obklady keramické, výšky do 6 m</t>
  </si>
  <si>
    <t>784</t>
  </si>
  <si>
    <t>Malby</t>
  </si>
  <si>
    <t>136</t>
  </si>
  <si>
    <t>784011111R00</t>
  </si>
  <si>
    <t>Oprášení/ometení podkladu</t>
  </si>
  <si>
    <t>784_</t>
  </si>
  <si>
    <t>137</t>
  </si>
  <si>
    <t>784011121R00</t>
  </si>
  <si>
    <t>Broušení štuků a nových omítek</t>
  </si>
  <si>
    <t>138</t>
  </si>
  <si>
    <t>784011222RT2</t>
  </si>
  <si>
    <t>Zakrytí podlah, včetně odstranění</t>
  </si>
  <si>
    <t>včetně papírové lepenky</t>
  </si>
  <si>
    <t>139</t>
  </si>
  <si>
    <t>784121101R00</t>
  </si>
  <si>
    <t>Penetrace podkladu nátěrem 1 x</t>
  </si>
  <si>
    <t>140</t>
  </si>
  <si>
    <t>784125212R00</t>
  </si>
  <si>
    <t>Malba Classic, bílá, bez penetrace,2x</t>
  </si>
  <si>
    <t>Hodinové zúčtovací sazby (HZS)</t>
  </si>
  <si>
    <t>141</t>
  </si>
  <si>
    <t>900      R01</t>
  </si>
  <si>
    <t>HZS - úprava krytu šachty na místě</t>
  </si>
  <si>
    <t>h</t>
  </si>
  <si>
    <t>90_</t>
  </si>
  <si>
    <t>9_</t>
  </si>
  <si>
    <t>stavební dělník v tarifní třídě 4</t>
  </si>
  <si>
    <t>142</t>
  </si>
  <si>
    <t>900      R23</t>
  </si>
  <si>
    <t>ZS - odpojení a zapojení ventilátoru</t>
  </si>
  <si>
    <t>elektromontér v tarifní třídě 6</t>
  </si>
  <si>
    <t>Prorážení otvorů a ostatní bourací práce</t>
  </si>
  <si>
    <t>143</t>
  </si>
  <si>
    <t>971033521R00</t>
  </si>
  <si>
    <t>Vybourání otv. zeď cihel. pl.1 m2, tl.10 cm, MVC</t>
  </si>
  <si>
    <t>97_</t>
  </si>
  <si>
    <t>144</t>
  </si>
  <si>
    <t>978059511R00</t>
  </si>
  <si>
    <t>Odsekání vnitřních obkladů stěn do 1 m2</t>
  </si>
  <si>
    <t>145</t>
  </si>
  <si>
    <t>979081111R00</t>
  </si>
  <si>
    <t>Odvoz suti a vybour. hmot na skládku do 1 km</t>
  </si>
  <si>
    <t>146</t>
  </si>
  <si>
    <t>979081121R00</t>
  </si>
  <si>
    <t>Příplatek k odvozu za každý další 1 km</t>
  </si>
  <si>
    <t>147</t>
  </si>
  <si>
    <t>979082111R00</t>
  </si>
  <si>
    <t>Vnitrostaveništní doprava suti do 10 m</t>
  </si>
  <si>
    <t>148</t>
  </si>
  <si>
    <t>979095311R00</t>
  </si>
  <si>
    <t>Naložení a složení vybouraných hmot/konstrukcí</t>
  </si>
  <si>
    <t>149</t>
  </si>
  <si>
    <t>979097011R00</t>
  </si>
  <si>
    <t>Pronájem kontejneru 4 t</t>
  </si>
  <si>
    <t>den</t>
  </si>
  <si>
    <t>150</t>
  </si>
  <si>
    <t>979990107R00</t>
  </si>
  <si>
    <t>Poplatek za uložení suti - směs betonu, cihel, dřeva, skupina odpadu 170904</t>
  </si>
  <si>
    <t>151</t>
  </si>
  <si>
    <t>979990191R00</t>
  </si>
  <si>
    <t>Poplatek za uložení suti - plastové výrobky, skupina odpadu 170203</t>
  </si>
  <si>
    <t>152</t>
  </si>
  <si>
    <t>999281112R00</t>
  </si>
  <si>
    <t>Přesun hmot pro opravy a údržbu do výšky 36 m</t>
  </si>
  <si>
    <t>Celkem:</t>
  </si>
  <si>
    <t>Poznámka:</t>
  </si>
  <si>
    <t>Slepý stavební rozpočet - rekapitulace</t>
  </si>
  <si>
    <t>Objekt</t>
  </si>
  <si>
    <t>Zkrácený popis</t>
  </si>
  <si>
    <t>Náklady (Kč) - dodávka</t>
  </si>
  <si>
    <t>Náklady (Kč) - Montáž</t>
  </si>
  <si>
    <t>Náklady (Kč) - celkem</t>
  </si>
  <si>
    <t>T</t>
  </si>
  <si>
    <t>Výkaz výměr</t>
  </si>
  <si>
    <t>Potřebné množství</t>
  </si>
  <si>
    <t>12*2*(0,6*2,6)</t>
  </si>
  <si>
    <t>kryt odpadního potrubí d1, d2</t>
  </si>
  <si>
    <t>2*(0,7*2,6)</t>
  </si>
  <si>
    <t>montážní otvor 1.NP</t>
  </si>
  <si>
    <t>2*2*2,6</t>
  </si>
  <si>
    <t>(3,14*((0,15*0,15/4)-(0,11*0,11/4)))*(4*12+2*13)</t>
  </si>
  <si>
    <t>dobetonování prostupů k1 - k6</t>
  </si>
  <si>
    <t>2*(0,75*1,1)</t>
  </si>
  <si>
    <t>4*12+2*13</t>
  </si>
  <si>
    <t>prostup voda</t>
  </si>
  <si>
    <t>k1 - k6</t>
  </si>
  <si>
    <t>2+6</t>
  </si>
  <si>
    <t>d1, d2, k1 - k6</t>
  </si>
  <si>
    <t>48*(2,5+1,0+1,0)</t>
  </si>
  <si>
    <t>BJ 1+1, 2+1, 3+1, připojovací potrubí</t>
  </si>
  <si>
    <t>24*(1,0+1,0+1,0)</t>
  </si>
  <si>
    <t>BJ 0+1 připojovací potrubí</t>
  </si>
  <si>
    <t>48*0,5</t>
  </si>
  <si>
    <t>24*0,5</t>
  </si>
  <si>
    <t>2*35,0</t>
  </si>
  <si>
    <t>d1, d2</t>
  </si>
  <si>
    <t>4*35,2</t>
  </si>
  <si>
    <t>k1, k2, k5, k6</t>
  </si>
  <si>
    <t>2*38,0</t>
  </si>
  <si>
    <t>k3, k4</t>
  </si>
  <si>
    <t>48*1,0</t>
  </si>
  <si>
    <t>24*1,0</t>
  </si>
  <si>
    <t>48*(2,5+1,0)</t>
  </si>
  <si>
    <t>24*(1,0+1,0)</t>
  </si>
  <si>
    <t>48+24</t>
  </si>
  <si>
    <t>U</t>
  </si>
  <si>
    <t>DJ</t>
  </si>
  <si>
    <t>VA</t>
  </si>
  <si>
    <t>SM</t>
  </si>
  <si>
    <t>WC</t>
  </si>
  <si>
    <t>72,0+216,0+36,0</t>
  </si>
  <si>
    <t>připojovací</t>
  </si>
  <si>
    <t>216,8</t>
  </si>
  <si>
    <t>odpadní</t>
  </si>
  <si>
    <t>70,0</t>
  </si>
  <si>
    <t>dešťové odpadní</t>
  </si>
  <si>
    <t>0,6048+0,0713+0,5679</t>
  </si>
  <si>
    <t>4,5</t>
  </si>
  <si>
    <t>hl. ležatý SV, napojení</t>
  </si>
  <si>
    <t>48*(5,6+4,8)</t>
  </si>
  <si>
    <t>24*(4,5+3,6)</t>
  </si>
  <si>
    <t>4*2*(32,9+24,5+16,1+7,7)</t>
  </si>
  <si>
    <t>st. SV, TV, 1, 2, 5, 6</t>
  </si>
  <si>
    <t>4*32,9</t>
  </si>
  <si>
    <t>st. TV-C, 1, 2, 5, 6</t>
  </si>
  <si>
    <t>2*(3*35,7)</t>
  </si>
  <si>
    <t>st. SV, TV, TV-C, 3, 4</t>
  </si>
  <si>
    <t>4*2*(1,0+1,0+1,0+1,0)</t>
  </si>
  <si>
    <t>paty stoupaček SV, TV, 1, 2, 5, 6</t>
  </si>
  <si>
    <t>25,0+3,0+2,0+5,0+8,0+3,0+2,0</t>
  </si>
  <si>
    <t>hl. ležatý TV-C</t>
  </si>
  <si>
    <t>19,5+3,0+3,0+2,5+3,0+8,0+5,0+2,5+3,0</t>
  </si>
  <si>
    <t>hl. ležatý SV</t>
  </si>
  <si>
    <t>26,0+2,0+2,0+5,0+8,0+2,0+2,0</t>
  </si>
  <si>
    <t>hl. ležatý TV</t>
  </si>
  <si>
    <t>1+6</t>
  </si>
  <si>
    <t>napojení TV-C, st. TV-C 1, 2, 3, 4, 5, 6</t>
  </si>
  <si>
    <t>72*2</t>
  </si>
  <si>
    <t>BJ</t>
  </si>
  <si>
    <t>2*6</t>
  </si>
  <si>
    <t>st. SV, TV, 1, 2, 3, 4, 5, 6</t>
  </si>
  <si>
    <t>napojení TV</t>
  </si>
  <si>
    <t>48*5,6</t>
  </si>
  <si>
    <t>24*4,5</t>
  </si>
  <si>
    <t>48*4,8</t>
  </si>
  <si>
    <t>24*3,6</t>
  </si>
  <si>
    <t>4,2</t>
  </si>
  <si>
    <t>požární</t>
  </si>
  <si>
    <t>49,3</t>
  </si>
  <si>
    <t>22/40 mm</t>
  </si>
  <si>
    <t>4*12*1,2+2*13*1,2</t>
  </si>
  <si>
    <t>22/20 mm</t>
  </si>
  <si>
    <t>4*2*1,2+2*2*1,2</t>
  </si>
  <si>
    <t>28/20 mm</t>
  </si>
  <si>
    <t>4*4*1,2+2*4*1,2</t>
  </si>
  <si>
    <t>35/20 mm</t>
  </si>
  <si>
    <t>42/20 mm</t>
  </si>
  <si>
    <t>;ztratné 10%; 2,88</t>
  </si>
  <si>
    <t>30,2</t>
  </si>
  <si>
    <t>54/40 mm</t>
  </si>
  <si>
    <t>17,9</t>
  </si>
  <si>
    <t>64/40 mm</t>
  </si>
  <si>
    <t>4*14*1,2+2*16*1,2</t>
  </si>
  <si>
    <t>54/20 mm</t>
  </si>
  <si>
    <t>;ztratné 10%; 10,56</t>
  </si>
  <si>
    <t>30+5</t>
  </si>
  <si>
    <t>d20 koleno, T-kus</t>
  </si>
  <si>
    <t>(22+23)+1</t>
  </si>
  <si>
    <t>d50 koleno, T-kus</t>
  </si>
  <si>
    <t>(6+7)+(5+4)</t>
  </si>
  <si>
    <t>d63 koleno, T-kus</t>
  </si>
  <si>
    <t>3+1</t>
  </si>
  <si>
    <t>d75 koleno, T-kus</t>
  </si>
  <si>
    <t>48*9</t>
  </si>
  <si>
    <t>BJ 1+1, 2+1, 3+1</t>
  </si>
  <si>
    <t>24*8</t>
  </si>
  <si>
    <t>BJ 0+1</t>
  </si>
  <si>
    <t>6*3+1+2</t>
  </si>
  <si>
    <t>48*4</t>
  </si>
  <si>
    <t>24*4</t>
  </si>
  <si>
    <t>48*1</t>
  </si>
  <si>
    <t>24*1</t>
  </si>
  <si>
    <t>BJ 1+1, 2+1, 3+1, MN</t>
  </si>
  <si>
    <t>24*0</t>
  </si>
  <si>
    <t>BJ 0+1, MN</t>
  </si>
  <si>
    <t>BJ 1+1, 2+1, 3+1, DJ</t>
  </si>
  <si>
    <t>BJ 0+1, DJ</t>
  </si>
  <si>
    <t>48*5</t>
  </si>
  <si>
    <t>BJ 1+1, 2+1, 3+1, U, DJ, WC</t>
  </si>
  <si>
    <t>24*5</t>
  </si>
  <si>
    <t>BJ 0+1, U, DJ, WC</t>
  </si>
  <si>
    <t>48*2</t>
  </si>
  <si>
    <t>BJ 1+1, 2+1, 3+1, AP, MN</t>
  </si>
  <si>
    <t>BJ 0+1, AP, MN</t>
  </si>
  <si>
    <t>6*3+1</t>
  </si>
  <si>
    <t>6*2</t>
  </si>
  <si>
    <t>24*2</t>
  </si>
  <si>
    <t>30,12+33,6+33,6+144,7+17,2+11,4</t>
  </si>
  <si>
    <t>249,3+30,12+33,6+33,6+146,2+17,9</t>
  </si>
  <si>
    <t>0,0302+0,1942+0,3011+0,028+0,3312</t>
  </si>
  <si>
    <t>BJ 1+1, 2+1, 3+1, VA</t>
  </si>
  <si>
    <t>BJ 0+1, SM</t>
  </si>
  <si>
    <t>36+36</t>
  </si>
  <si>
    <t>L+P</t>
  </si>
  <si>
    <t>2*(0,75*1,5)</t>
  </si>
  <si>
    <t>;ztratné 10%; 0,225</t>
  </si>
  <si>
    <t>2*(1,5*2,0)</t>
  </si>
  <si>
    <t>12*2*(0,8*2,0)</t>
  </si>
  <si>
    <t>1,0*72</t>
  </si>
  <si>
    <t>0,5*72</t>
  </si>
  <si>
    <t>0,83969*10</t>
  </si>
  <si>
    <t>Krycí list slepého rozpočtu</t>
  </si>
  <si>
    <t>IČO/DIČ:</t>
  </si>
  <si>
    <t>002 97 569/CZ00297569</t>
  </si>
  <si>
    <t>25871862/CZ25871862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</si>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</sst>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  <font>
      <i/>
      <sz val="9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CCFFFF"/>
        <bgColor rgb="FFCCFFFF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87">
    <xf numFmtId="0" fontId="0" fillId="0" borderId="0" xfId="0"/>
    <xf numFmtId="4" fontId="2" fillId="2" borderId="0" xfId="0" applyNumberFormat="1" applyFont="1" applyFill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2" fillId="0" borderId="18" xfId="0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2" fillId="3" borderId="23" xfId="0" applyFont="1" applyFill="1" applyBorder="1" applyAlignment="1" applyProtection="1">
      <alignment horizontal="center" vertical="center"/>
      <protection locked="0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2" borderId="28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left" vertical="center"/>
    </xf>
    <xf numFmtId="0" fontId="3" fillId="4" borderId="29" xfId="0" applyFont="1" applyFill="1" applyBorder="1" applyAlignment="1" applyProtection="1">
      <alignment horizontal="left" vertical="center"/>
      <protection locked="0"/>
    </xf>
    <xf numFmtId="4" fontId="2" fillId="2" borderId="29" xfId="0" applyNumberFormat="1" applyFont="1" applyFill="1" applyBorder="1" applyAlignment="1">
      <alignment horizontal="right" vertical="center"/>
    </xf>
    <xf numFmtId="0" fontId="2" fillId="2" borderId="30" xfId="0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3" fillId="3" borderId="0" xfId="0" applyNumberFormat="1" applyFont="1" applyFill="1" applyAlignment="1" applyProtection="1">
      <alignment horizontal="right" vertical="center"/>
      <protection locked="0"/>
    </xf>
    <xf numFmtId="0" fontId="3" fillId="0" borderId="6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1" fontId="2" fillId="2" borderId="0" xfId="0" applyNumberFormat="1" applyFont="1" applyFill="1" applyAlignment="1">
      <alignment horizontal="right" vertical="center"/>
    </xf>
    <xf numFmtId="0" fontId="3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4" borderId="0" xfId="0" applyFont="1" applyFill="1" applyAlignment="1" applyProtection="1">
      <alignment horizontal="left" vertical="center"/>
      <protection locked="0"/>
    </xf>
    <xf numFmtId="0" fontId="2" fillId="2" borderId="6" xfId="0" applyFont="1" applyFill="1" applyBorder="1" applyAlignment="1">
      <alignment horizontal="right" vertical="center"/>
    </xf>
    <xf numFmtId="0" fontId="0" fillId="0" borderId="5" xfId="0" applyBorder="1"/>
    <xf numFmtId="0" fontId="4" fillId="0" borderId="0" xfId="0" applyFont="1" applyAlignment="1">
      <alignment horizontal="right" vertical="center"/>
    </xf>
    <xf numFmtId="0" fontId="3" fillId="0" borderId="31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4" fontId="3" fillId="0" borderId="32" xfId="0" applyNumberFormat="1" applyFont="1" applyBorder="1" applyAlignment="1">
      <alignment horizontal="right" vertical="center"/>
    </xf>
    <xf numFmtId="4" fontId="3" fillId="3" borderId="32" xfId="0" applyNumberFormat="1" applyFont="1" applyFill="1" applyBorder="1" applyAlignment="1" applyProtection="1">
      <alignment horizontal="right" vertical="center"/>
      <protection locked="0"/>
    </xf>
    <xf numFmtId="0" fontId="3" fillId="0" borderId="33" xfId="0" applyFont="1" applyBorder="1" applyAlignment="1">
      <alignment horizontal="right" vertical="center"/>
    </xf>
    <xf numFmtId="4" fontId="2" fillId="0" borderId="34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4" fontId="3" fillId="0" borderId="29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2" fillId="0" borderId="39" xfId="0" applyFont="1" applyBorder="1" applyAlignment="1">
      <alignment horizontal="left" vertical="center"/>
    </xf>
    <xf numFmtId="0" fontId="2" fillId="0" borderId="42" xfId="0" applyFont="1" applyBorder="1" applyAlignment="1">
      <alignment horizontal="right" vertical="center"/>
    </xf>
    <xf numFmtId="0" fontId="2" fillId="0" borderId="43" xfId="0" applyFont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right" vertical="center"/>
    </xf>
    <xf numFmtId="4" fontId="3" fillId="0" borderId="6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>
      <alignment horizontal="right" vertical="center"/>
    </xf>
    <xf numFmtId="0" fontId="0" fillId="0" borderId="6" xfId="0" applyBorder="1"/>
    <xf numFmtId="0" fontId="2" fillId="2" borderId="5" xfId="0" applyFont="1" applyFill="1" applyBorder="1" applyAlignment="1">
      <alignment horizontal="left" vertical="center"/>
    </xf>
    <xf numFmtId="4" fontId="3" fillId="0" borderId="33" xfId="0" applyNumberFormat="1" applyFont="1" applyBorder="1" applyAlignment="1">
      <alignment horizontal="right" vertical="center"/>
    </xf>
    <xf numFmtId="0" fontId="8" fillId="2" borderId="45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10" fillId="0" borderId="49" xfId="0" applyFont="1" applyBorder="1" applyAlignment="1">
      <alignment horizontal="left" vertical="center"/>
    </xf>
    <xf numFmtId="0" fontId="11" fillId="0" borderId="50" xfId="0" applyFont="1" applyBorder="1" applyAlignment="1">
      <alignment horizontal="left" vertical="center"/>
    </xf>
    <xf numFmtId="4" fontId="11" fillId="0" borderId="50" xfId="0" applyNumberFormat="1" applyFont="1" applyBorder="1" applyAlignment="1">
      <alignment horizontal="right" vertical="center"/>
    </xf>
    <xf numFmtId="0" fontId="11" fillId="0" borderId="50" xfId="0" applyFont="1" applyBorder="1" applyAlignment="1">
      <alignment horizontal="right" vertical="center"/>
    </xf>
    <xf numFmtId="0" fontId="10" fillId="0" borderId="53" xfId="0" applyFont="1" applyBorder="1" applyAlignment="1">
      <alignment horizontal="left" vertical="center"/>
    </xf>
    <xf numFmtId="4" fontId="11" fillId="0" borderId="57" xfId="0" applyNumberFormat="1" applyFont="1" applyBorder="1" applyAlignment="1">
      <alignment horizontal="right" vertical="center"/>
    </xf>
    <xf numFmtId="0" fontId="11" fillId="0" borderId="57" xfId="0" applyFont="1" applyBorder="1" applyAlignment="1">
      <alignment horizontal="right" vertical="center"/>
    </xf>
    <xf numFmtId="4" fontId="11" fillId="0" borderId="48" xfId="0" applyNumberFormat="1" applyFont="1" applyBorder="1" applyAlignment="1">
      <alignment horizontal="right" vertical="center"/>
    </xf>
    <xf numFmtId="4" fontId="11" fillId="0" borderId="25" xfId="0" applyNumberFormat="1" applyFont="1" applyBorder="1" applyAlignment="1">
      <alignment horizontal="right" vertical="center"/>
    </xf>
    <xf numFmtId="4" fontId="10" fillId="2" borderId="47" xfId="0" applyNumberFormat="1" applyFont="1" applyFill="1" applyBorder="1" applyAlignment="1">
      <alignment horizontal="right" vertical="center"/>
    </xf>
    <xf numFmtId="4" fontId="10" fillId="2" borderId="52" xfId="0" applyNumberFormat="1" applyFont="1" applyFill="1" applyBorder="1" applyAlignment="1">
      <alignment horizontal="right" vertical="center"/>
    </xf>
    <xf numFmtId="0" fontId="5" fillId="0" borderId="29" xfId="0" applyFont="1" applyBorder="1" applyAlignment="1">
      <alignment horizontal="left" vertical="center"/>
    </xf>
    <xf numFmtId="0" fontId="2" fillId="0" borderId="73" xfId="0" applyFont="1" applyBorder="1" applyAlignment="1">
      <alignment horizontal="right" vertical="center"/>
    </xf>
    <xf numFmtId="4" fontId="3" fillId="0" borderId="50" xfId="0" applyNumberFormat="1" applyFont="1" applyBorder="1" applyAlignment="1">
      <alignment horizontal="right" vertical="center"/>
    </xf>
    <xf numFmtId="0" fontId="3" fillId="0" borderId="50" xfId="0" applyFont="1" applyBorder="1" applyAlignment="1">
      <alignment horizontal="left" vertical="center"/>
    </xf>
    <xf numFmtId="4" fontId="3" fillId="0" borderId="77" xfId="0" applyNumberFormat="1" applyFont="1" applyBorder="1" applyAlignment="1">
      <alignment horizontal="right" vertical="center"/>
    </xf>
    <xf numFmtId="0" fontId="3" fillId="0" borderId="77" xfId="0" applyFont="1" applyBorder="1" applyAlignment="1">
      <alignment horizontal="left" vertical="center"/>
    </xf>
    <xf numFmtId="0" fontId="2" fillId="0" borderId="81" xfId="0" applyFont="1" applyBorder="1" applyAlignment="1">
      <alignment horizontal="left" vertical="center"/>
    </xf>
    <xf numFmtId="0" fontId="2" fillId="0" borderId="81" xfId="0" applyFont="1" applyBorder="1" applyAlignment="1">
      <alignment horizontal="right" vertical="center"/>
    </xf>
    <xf numFmtId="4" fontId="2" fillId="0" borderId="8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3" borderId="3" xfId="0" applyFont="1" applyFill="1" applyBorder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3" borderId="8" xfId="0" applyFont="1" applyFill="1" applyBorder="1" applyAlignment="1" applyProtection="1">
      <alignment horizontal="left" vertical="center"/>
      <protection locked="0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3" borderId="6" xfId="0" applyFont="1" applyFill="1" applyBorder="1" applyAlignment="1" applyProtection="1">
      <alignment horizontal="left" vertical="center"/>
      <protection locked="0"/>
    </xf>
    <xf numFmtId="0" fontId="3" fillId="3" borderId="9" xfId="0" applyFont="1" applyFill="1" applyBorder="1" applyAlignment="1" applyProtection="1">
      <alignment horizontal="left" vertical="center"/>
      <protection locked="0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3" borderId="0" xfId="0" applyFont="1" applyFill="1" applyAlignment="1" applyProtection="1">
      <alignment horizontal="left" vertical="center"/>
      <protection locked="0"/>
    </xf>
    <xf numFmtId="0" fontId="4" fillId="0" borderId="6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2" fillId="0" borderId="40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left" vertical="center"/>
    </xf>
    <xf numFmtId="1" fontId="3" fillId="0" borderId="6" xfId="0" applyNumberFormat="1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7" fillId="0" borderId="44" xfId="0" applyFont="1" applyBorder="1" applyAlignment="1">
      <alignment horizontal="center" vertical="center"/>
    </xf>
    <xf numFmtId="0" fontId="9" fillId="0" borderId="46" xfId="0" applyFont="1" applyBorder="1" applyAlignment="1">
      <alignment horizontal="left" vertical="center"/>
    </xf>
    <xf numFmtId="0" fontId="9" fillId="0" borderId="47" xfId="0" applyFont="1" applyBorder="1" applyAlignment="1">
      <alignment horizontal="left" vertical="center"/>
    </xf>
    <xf numFmtId="0" fontId="10" fillId="0" borderId="54" xfId="0" applyFont="1" applyBorder="1" applyAlignment="1">
      <alignment horizontal="left" vertical="center"/>
    </xf>
    <xf numFmtId="0" fontId="10" fillId="0" borderId="52" xfId="0" applyFont="1" applyBorder="1" applyAlignment="1">
      <alignment horizontal="left" vertical="center"/>
    </xf>
    <xf numFmtId="0" fontId="10" fillId="0" borderId="55" xfId="0" applyFont="1" applyBorder="1" applyAlignment="1">
      <alignment horizontal="left" vertical="center"/>
    </xf>
    <xf numFmtId="0" fontId="10" fillId="0" borderId="56" xfId="0" applyFont="1" applyBorder="1" applyAlignment="1">
      <alignment horizontal="left" vertical="center"/>
    </xf>
    <xf numFmtId="0" fontId="10" fillId="0" borderId="59" xfId="0" applyFont="1" applyBorder="1" applyAlignment="1">
      <alignment horizontal="left" vertical="center"/>
    </xf>
    <xf numFmtId="0" fontId="10" fillId="0" borderId="47" xfId="0" applyFont="1" applyBorder="1" applyAlignment="1">
      <alignment horizontal="left" vertical="center"/>
    </xf>
    <xf numFmtId="0" fontId="11" fillId="0" borderId="51" xfId="0" applyFont="1" applyBorder="1" applyAlignment="1">
      <alignment horizontal="left" vertical="center"/>
    </xf>
    <xf numFmtId="0" fontId="11" fillId="0" borderId="52" xfId="0" applyFont="1" applyBorder="1" applyAlignment="1">
      <alignment horizontal="left" vertical="center"/>
    </xf>
    <xf numFmtId="0" fontId="11" fillId="0" borderId="58" xfId="0" applyFont="1" applyBorder="1" applyAlignment="1">
      <alignment horizontal="left" vertical="center"/>
    </xf>
    <xf numFmtId="0" fontId="11" fillId="0" borderId="56" xfId="0" applyFont="1" applyBorder="1" applyAlignment="1">
      <alignment horizontal="left" vertical="center"/>
    </xf>
    <xf numFmtId="0" fontId="10" fillId="0" borderId="46" xfId="0" applyFont="1" applyBorder="1" applyAlignment="1">
      <alignment horizontal="left" vertical="center"/>
    </xf>
    <xf numFmtId="0" fontId="10" fillId="0" borderId="51" xfId="0" applyFont="1" applyBorder="1" applyAlignment="1">
      <alignment horizontal="left" vertical="center"/>
    </xf>
    <xf numFmtId="0" fontId="10" fillId="2" borderId="59" xfId="0" applyFont="1" applyFill="1" applyBorder="1" applyAlignment="1">
      <alignment horizontal="left" vertical="center"/>
    </xf>
    <xf numFmtId="0" fontId="10" fillId="2" borderId="60" xfId="0" applyFont="1" applyFill="1" applyBorder="1" applyAlignment="1">
      <alignment horizontal="left" vertical="center"/>
    </xf>
    <xf numFmtId="0" fontId="10" fillId="2" borderId="54" xfId="0" applyFont="1" applyFill="1" applyBorder="1" applyAlignment="1">
      <alignment horizontal="left" vertical="center"/>
    </xf>
    <xf numFmtId="0" fontId="10" fillId="2" borderId="61" xfId="0" applyFont="1" applyFill="1" applyBorder="1" applyAlignment="1">
      <alignment horizontal="left" vertical="center"/>
    </xf>
    <xf numFmtId="0" fontId="10" fillId="2" borderId="46" xfId="0" applyFont="1" applyFill="1" applyBorder="1" applyAlignment="1">
      <alignment horizontal="left" vertical="center"/>
    </xf>
    <xf numFmtId="0" fontId="10" fillId="2" borderId="51" xfId="0" applyFont="1" applyFill="1" applyBorder="1" applyAlignment="1">
      <alignment horizontal="left" vertical="center"/>
    </xf>
    <xf numFmtId="0" fontId="11" fillId="0" borderId="62" xfId="0" applyFont="1" applyBorder="1" applyAlignment="1">
      <alignment horizontal="left" vertical="center"/>
    </xf>
    <xf numFmtId="0" fontId="11" fillId="0" borderId="63" xfId="0" applyFont="1" applyBorder="1" applyAlignment="1">
      <alignment horizontal="left" vertical="center"/>
    </xf>
    <xf numFmtId="0" fontId="11" fillId="0" borderId="64" xfId="0" applyFont="1" applyBorder="1" applyAlignment="1">
      <alignment horizontal="left" vertical="center"/>
    </xf>
    <xf numFmtId="0" fontId="11" fillId="0" borderId="66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67" xfId="0" applyFont="1" applyBorder="1" applyAlignment="1">
      <alignment horizontal="left" vertical="center"/>
    </xf>
    <xf numFmtId="0" fontId="11" fillId="0" borderId="69" xfId="0" applyFont="1" applyBorder="1" applyAlignment="1">
      <alignment horizontal="left" vertical="center"/>
    </xf>
    <xf numFmtId="0" fontId="11" fillId="0" borderId="70" xfId="0" applyFont="1" applyBorder="1" applyAlignment="1">
      <alignment horizontal="left" vertical="center"/>
    </xf>
    <xf numFmtId="0" fontId="11" fillId="0" borderId="71" xfId="0" applyFont="1" applyBorder="1" applyAlignment="1">
      <alignment horizontal="left" vertical="center"/>
    </xf>
    <xf numFmtId="0" fontId="11" fillId="0" borderId="65" xfId="0" applyFont="1" applyBorder="1" applyAlignment="1">
      <alignment horizontal="left" vertical="center"/>
    </xf>
    <xf numFmtId="0" fontId="11" fillId="0" borderId="68" xfId="0" applyFont="1" applyBorder="1" applyAlignment="1">
      <alignment horizontal="left" vertical="center"/>
    </xf>
    <xf numFmtId="0" fontId="11" fillId="0" borderId="72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74" xfId="0" applyFont="1" applyBorder="1" applyAlignment="1">
      <alignment horizontal="left" vertical="center"/>
    </xf>
    <xf numFmtId="0" fontId="3" fillId="0" borderId="75" xfId="0" applyFont="1" applyBorder="1" applyAlignment="1">
      <alignment horizontal="left" vertical="center"/>
    </xf>
    <xf numFmtId="0" fontId="3" fillId="0" borderId="76" xfId="0" applyFont="1" applyBorder="1" applyAlignment="1">
      <alignment horizontal="left" vertical="center"/>
    </xf>
    <xf numFmtId="0" fontId="2" fillId="0" borderId="78" xfId="0" applyFont="1" applyBorder="1" applyAlignment="1">
      <alignment horizontal="left" vertical="center"/>
    </xf>
    <xf numFmtId="0" fontId="2" fillId="0" borderId="79" xfId="0" applyFont="1" applyBorder="1" applyAlignment="1">
      <alignment horizontal="left" vertical="center"/>
    </xf>
    <xf numFmtId="0" fontId="2" fillId="0" borderId="80" xfId="0" applyFont="1" applyBorder="1" applyAlignment="1">
      <alignment horizontal="left" vertical="center"/>
    </xf>
    <xf numFmtId="0" fontId="10" fillId="0" borderId="78" xfId="0" applyFont="1" applyBorder="1" applyAlignment="1">
      <alignment horizontal="left" vertical="center"/>
    </xf>
    <xf numFmtId="0" fontId="10" fillId="0" borderId="79" xfId="0" applyFont="1" applyBorder="1" applyAlignment="1">
      <alignment horizontal="left" vertical="center"/>
    </xf>
    <xf numFmtId="0" fontId="10" fillId="0" borderId="80" xfId="0" applyFont="1" applyBorder="1" applyAlignment="1">
      <alignment horizontal="left" vertical="center"/>
    </xf>
    <xf numFmtId="4" fontId="10" fillId="0" borderId="82" xfId="0" applyNumberFormat="1" applyFont="1" applyBorder="1" applyAlignment="1">
      <alignment horizontal="right" vertical="center"/>
    </xf>
    <xf numFmtId="0" fontId="10" fillId="0" borderId="79" xfId="0" applyFont="1" applyBorder="1" applyAlignment="1">
      <alignment horizontal="right" vertical="center"/>
    </xf>
    <xf numFmtId="0" fontId="10" fillId="0" borderId="80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209"/>
  <sheetViews>
    <sheetView tabSelected="1" workbookViewId="0">
      <pane ySplit="11" topLeftCell="A12" activePane="bottomLeft" state="frozen"/>
      <selection pane="bottomLeft" sqref="A1:K1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42.85546875" customWidth="1"/>
    <col min="4" max="4" width="35.7109375" customWidth="1"/>
    <col min="5" max="5" width="6.4257812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88" t="s">
        <v>1</v>
      </c>
      <c r="B2" s="89"/>
      <c r="C2" s="97" t="s">
        <v>2</v>
      </c>
      <c r="D2" s="98"/>
      <c r="E2" s="89" t="s">
        <v>3</v>
      </c>
      <c r="F2" s="89"/>
      <c r="G2" s="100" t="s">
        <v>4</v>
      </c>
      <c r="H2" s="95" t="s">
        <v>5</v>
      </c>
      <c r="I2" s="95" t="s">
        <v>6</v>
      </c>
      <c r="J2" s="89"/>
      <c r="K2" s="103"/>
    </row>
    <row r="3" spans="1:76" x14ac:dyDescent="0.25">
      <c r="A3" s="90"/>
      <c r="B3" s="91"/>
      <c r="C3" s="99"/>
      <c r="D3" s="99"/>
      <c r="E3" s="91"/>
      <c r="F3" s="91"/>
      <c r="G3" s="101"/>
      <c r="H3" s="91"/>
      <c r="I3" s="91"/>
      <c r="J3" s="91"/>
      <c r="K3" s="104"/>
    </row>
    <row r="4" spans="1:76" x14ac:dyDescent="0.25">
      <c r="A4" s="92" t="s">
        <v>7</v>
      </c>
      <c r="B4" s="91"/>
      <c r="C4" s="96" t="s">
        <v>4</v>
      </c>
      <c r="D4" s="91"/>
      <c r="E4" s="91" t="s">
        <v>8</v>
      </c>
      <c r="F4" s="91"/>
      <c r="G4" s="101" t="s">
        <v>9</v>
      </c>
      <c r="H4" s="96" t="s">
        <v>10</v>
      </c>
      <c r="I4" s="96" t="s">
        <v>11</v>
      </c>
      <c r="J4" s="91"/>
      <c r="K4" s="104"/>
    </row>
    <row r="5" spans="1:76" x14ac:dyDescent="0.25">
      <c r="A5" s="90"/>
      <c r="B5" s="91"/>
      <c r="C5" s="91"/>
      <c r="D5" s="91"/>
      <c r="E5" s="91"/>
      <c r="F5" s="91"/>
      <c r="G5" s="101"/>
      <c r="H5" s="91"/>
      <c r="I5" s="91"/>
      <c r="J5" s="91"/>
      <c r="K5" s="104"/>
    </row>
    <row r="6" spans="1:76" x14ac:dyDescent="0.25">
      <c r="A6" s="92" t="s">
        <v>12</v>
      </c>
      <c r="B6" s="91"/>
      <c r="C6" s="96" t="s">
        <v>13</v>
      </c>
      <c r="D6" s="91"/>
      <c r="E6" s="91" t="s">
        <v>14</v>
      </c>
      <c r="F6" s="91"/>
      <c r="G6" s="101" t="s">
        <v>4</v>
      </c>
      <c r="H6" s="96" t="s">
        <v>15</v>
      </c>
      <c r="I6" s="101" t="s">
        <v>16</v>
      </c>
      <c r="J6" s="101"/>
      <c r="K6" s="105"/>
    </row>
    <row r="7" spans="1:76" x14ac:dyDescent="0.25">
      <c r="A7" s="90"/>
      <c r="B7" s="91"/>
      <c r="C7" s="91"/>
      <c r="D7" s="91"/>
      <c r="E7" s="91"/>
      <c r="F7" s="91"/>
      <c r="G7" s="101"/>
      <c r="H7" s="91"/>
      <c r="I7" s="101"/>
      <c r="J7" s="101"/>
      <c r="K7" s="105"/>
    </row>
    <row r="8" spans="1:76" x14ac:dyDescent="0.25">
      <c r="A8" s="92" t="s">
        <v>17</v>
      </c>
      <c r="B8" s="91"/>
      <c r="C8" s="96" t="s">
        <v>18</v>
      </c>
      <c r="D8" s="91"/>
      <c r="E8" s="91" t="s">
        <v>19</v>
      </c>
      <c r="F8" s="91"/>
      <c r="G8" s="101" t="s">
        <v>9</v>
      </c>
      <c r="H8" s="96" t="s">
        <v>20</v>
      </c>
      <c r="I8" s="101" t="s">
        <v>16</v>
      </c>
      <c r="J8" s="101"/>
      <c r="K8" s="105"/>
    </row>
    <row r="9" spans="1:76" x14ac:dyDescent="0.25">
      <c r="A9" s="93"/>
      <c r="B9" s="94"/>
      <c r="C9" s="94"/>
      <c r="D9" s="94"/>
      <c r="E9" s="94"/>
      <c r="F9" s="94"/>
      <c r="G9" s="102"/>
      <c r="H9" s="94"/>
      <c r="I9" s="102"/>
      <c r="J9" s="102"/>
      <c r="K9" s="106"/>
    </row>
    <row r="10" spans="1:76" x14ac:dyDescent="0.25">
      <c r="A10" s="6" t="s">
        <v>21</v>
      </c>
      <c r="B10" s="7" t="s">
        <v>22</v>
      </c>
      <c r="C10" s="107" t="s">
        <v>23</v>
      </c>
      <c r="D10" s="108"/>
      <c r="E10" s="7" t="s">
        <v>24</v>
      </c>
      <c r="F10" s="8" t="s">
        <v>25</v>
      </c>
      <c r="G10" s="9" t="s">
        <v>26</v>
      </c>
      <c r="H10" s="111" t="s">
        <v>27</v>
      </c>
      <c r="I10" s="112"/>
      <c r="J10" s="113"/>
      <c r="K10" s="10" t="s">
        <v>28</v>
      </c>
      <c r="BK10" s="11" t="s">
        <v>29</v>
      </c>
      <c r="BL10" s="12" t="s">
        <v>30</v>
      </c>
      <c r="BW10" s="12" t="s">
        <v>31</v>
      </c>
    </row>
    <row r="11" spans="1:76" x14ac:dyDescent="0.25">
      <c r="A11" s="13" t="s">
        <v>4</v>
      </c>
      <c r="B11" s="14" t="s">
        <v>4</v>
      </c>
      <c r="C11" s="109" t="s">
        <v>32</v>
      </c>
      <c r="D11" s="110"/>
      <c r="E11" s="14" t="s">
        <v>4</v>
      </c>
      <c r="F11" s="14" t="s">
        <v>4</v>
      </c>
      <c r="G11" s="15" t="s">
        <v>33</v>
      </c>
      <c r="H11" s="16" t="s">
        <v>34</v>
      </c>
      <c r="I11" s="17" t="s">
        <v>35</v>
      </c>
      <c r="J11" s="18" t="s">
        <v>36</v>
      </c>
      <c r="K11" s="19" t="s">
        <v>37</v>
      </c>
      <c r="Z11" s="11" t="s">
        <v>38</v>
      </c>
      <c r="AA11" s="11" t="s">
        <v>39</v>
      </c>
      <c r="AB11" s="11" t="s">
        <v>40</v>
      </c>
      <c r="AC11" s="11" t="s">
        <v>41</v>
      </c>
      <c r="AD11" s="11" t="s">
        <v>42</v>
      </c>
      <c r="AE11" s="11" t="s">
        <v>43</v>
      </c>
      <c r="AF11" s="11" t="s">
        <v>44</v>
      </c>
      <c r="AG11" s="11" t="s">
        <v>45</v>
      </c>
      <c r="AH11" s="11" t="s">
        <v>46</v>
      </c>
      <c r="BH11" s="11" t="s">
        <v>47</v>
      </c>
      <c r="BI11" s="11" t="s">
        <v>48</v>
      </c>
      <c r="BJ11" s="11" t="s">
        <v>49</v>
      </c>
    </row>
    <row r="12" spans="1:76" x14ac:dyDescent="0.25">
      <c r="A12" s="20" t="s">
        <v>50</v>
      </c>
      <c r="B12" s="21" t="s">
        <v>51</v>
      </c>
      <c r="C12" s="114" t="s">
        <v>52</v>
      </c>
      <c r="D12" s="115"/>
      <c r="E12" s="22" t="s">
        <v>4</v>
      </c>
      <c r="F12" s="22" t="s">
        <v>4</v>
      </c>
      <c r="G12" s="23" t="s">
        <v>4</v>
      </c>
      <c r="H12" s="24">
        <f>SUM(H13:H15)</f>
        <v>0</v>
      </c>
      <c r="I12" s="24">
        <f>SUM(I13:I15)</f>
        <v>0</v>
      </c>
      <c r="J12" s="24">
        <f>SUM(J13:J15)</f>
        <v>0</v>
      </c>
      <c r="K12" s="25" t="s">
        <v>50</v>
      </c>
      <c r="AI12" s="11" t="s">
        <v>50</v>
      </c>
      <c r="AS12" s="1">
        <f>SUM(AJ13:AJ15)</f>
        <v>0</v>
      </c>
      <c r="AT12" s="1">
        <f>SUM(AK13:AK15)</f>
        <v>0</v>
      </c>
      <c r="AU12" s="1">
        <f>SUM(AL13:AL15)</f>
        <v>0</v>
      </c>
    </row>
    <row r="13" spans="1:76" x14ac:dyDescent="0.25">
      <c r="A13" s="2" t="s">
        <v>53</v>
      </c>
      <c r="B13" s="3" t="s">
        <v>54</v>
      </c>
      <c r="C13" s="96" t="s">
        <v>55</v>
      </c>
      <c r="D13" s="91"/>
      <c r="E13" s="3" t="s">
        <v>56</v>
      </c>
      <c r="F13" s="26">
        <v>37.44</v>
      </c>
      <c r="G13" s="27">
        <v>0</v>
      </c>
      <c r="H13" s="26">
        <f>F13*AO13</f>
        <v>0</v>
      </c>
      <c r="I13" s="26">
        <f>F13*AP13</f>
        <v>0</v>
      </c>
      <c r="J13" s="26">
        <f>F13*G13</f>
        <v>0</v>
      </c>
      <c r="K13" s="28" t="s">
        <v>57</v>
      </c>
      <c r="Z13" s="26">
        <f>IF(AQ13="5",BJ13,0)</f>
        <v>0</v>
      </c>
      <c r="AB13" s="26">
        <f>IF(AQ13="1",BH13,0)</f>
        <v>0</v>
      </c>
      <c r="AC13" s="26">
        <f>IF(AQ13="1",BI13,0)</f>
        <v>0</v>
      </c>
      <c r="AD13" s="26">
        <f>IF(AQ13="7",BH13,0)</f>
        <v>0</v>
      </c>
      <c r="AE13" s="26">
        <f>IF(AQ13="7",BI13,0)</f>
        <v>0</v>
      </c>
      <c r="AF13" s="26">
        <f>IF(AQ13="2",BH13,0)</f>
        <v>0</v>
      </c>
      <c r="AG13" s="26">
        <f>IF(AQ13="2",BI13,0)</f>
        <v>0</v>
      </c>
      <c r="AH13" s="26">
        <f>IF(AQ13="0",BJ13,0)</f>
        <v>0</v>
      </c>
      <c r="AI13" s="11" t="s">
        <v>58</v>
      </c>
      <c r="AJ13" s="26">
        <f>IF(AN13=0,J13,0)</f>
        <v>0</v>
      </c>
      <c r="AK13" s="26">
        <f>IF(AN13=12,J13,0)</f>
        <v>0</v>
      </c>
      <c r="AL13" s="26">
        <f>IF(AN13=21,J13,0)</f>
        <v>0</v>
      </c>
      <c r="AN13" s="26">
        <v>12</v>
      </c>
      <c r="AO13" s="26">
        <f>G13*0.60845058</f>
        <v>0</v>
      </c>
      <c r="AP13" s="26">
        <f>G13*(1-0.60845058)</f>
        <v>0</v>
      </c>
      <c r="AQ13" s="29" t="s">
        <v>53</v>
      </c>
      <c r="AV13" s="26">
        <f>AW13+AX13</f>
        <v>0</v>
      </c>
      <c r="AW13" s="26">
        <f>F13*AO13</f>
        <v>0</v>
      </c>
      <c r="AX13" s="26">
        <f>F13*AP13</f>
        <v>0</v>
      </c>
      <c r="AY13" s="29" t="s">
        <v>59</v>
      </c>
      <c r="AZ13" s="29" t="s">
        <v>60</v>
      </c>
      <c r="BA13" s="11" t="s">
        <v>61</v>
      </c>
      <c r="BB13" s="30">
        <v>100014</v>
      </c>
      <c r="BC13" s="26">
        <f>AW13+AX13</f>
        <v>0</v>
      </c>
      <c r="BD13" s="26">
        <f>G13/(100-BE13)*100</f>
        <v>0</v>
      </c>
      <c r="BE13" s="26">
        <v>0</v>
      </c>
      <c r="BF13" s="26">
        <f>13</f>
        <v>13</v>
      </c>
      <c r="BH13" s="26">
        <f>F13*AO13</f>
        <v>0</v>
      </c>
      <c r="BI13" s="26">
        <f>F13*AP13</f>
        <v>0</v>
      </c>
      <c r="BJ13" s="26">
        <f>F13*G13</f>
        <v>0</v>
      </c>
      <c r="BK13" s="26"/>
      <c r="BL13" s="26">
        <v>34</v>
      </c>
      <c r="BW13" s="26">
        <v>12</v>
      </c>
      <c r="BX13" s="5" t="s">
        <v>55</v>
      </c>
    </row>
    <row r="14" spans="1:76" x14ac:dyDescent="0.25">
      <c r="A14" s="2" t="s">
        <v>62</v>
      </c>
      <c r="B14" s="3" t="s">
        <v>63</v>
      </c>
      <c r="C14" s="96" t="s">
        <v>64</v>
      </c>
      <c r="D14" s="91"/>
      <c r="E14" s="3" t="s">
        <v>56</v>
      </c>
      <c r="F14" s="26">
        <v>3.64</v>
      </c>
      <c r="G14" s="27">
        <v>0</v>
      </c>
      <c r="H14" s="26">
        <f>F14*AO14</f>
        <v>0</v>
      </c>
      <c r="I14" s="26">
        <f>F14*AP14</f>
        <v>0</v>
      </c>
      <c r="J14" s="26">
        <f>F14*G14</f>
        <v>0</v>
      </c>
      <c r="K14" s="28" t="s">
        <v>65</v>
      </c>
      <c r="Z14" s="26">
        <f>IF(AQ14="5",BJ14,0)</f>
        <v>0</v>
      </c>
      <c r="AB14" s="26">
        <f>IF(AQ14="1",BH14,0)</f>
        <v>0</v>
      </c>
      <c r="AC14" s="26">
        <f>IF(AQ14="1",BI14,0)</f>
        <v>0</v>
      </c>
      <c r="AD14" s="26">
        <f>IF(AQ14="7",BH14,0)</f>
        <v>0</v>
      </c>
      <c r="AE14" s="26">
        <f>IF(AQ14="7",BI14,0)</f>
        <v>0</v>
      </c>
      <c r="AF14" s="26">
        <f>IF(AQ14="2",BH14,0)</f>
        <v>0</v>
      </c>
      <c r="AG14" s="26">
        <f>IF(AQ14="2",BI14,0)</f>
        <v>0</v>
      </c>
      <c r="AH14" s="26">
        <f>IF(AQ14="0",BJ14,0)</f>
        <v>0</v>
      </c>
      <c r="AI14" s="11" t="s">
        <v>58</v>
      </c>
      <c r="AJ14" s="26">
        <f>IF(AN14=0,J14,0)</f>
        <v>0</v>
      </c>
      <c r="AK14" s="26">
        <f>IF(AN14=12,J14,0)</f>
        <v>0</v>
      </c>
      <c r="AL14" s="26">
        <f>IF(AN14=21,J14,0)</f>
        <v>0</v>
      </c>
      <c r="AN14" s="26">
        <v>12</v>
      </c>
      <c r="AO14" s="26">
        <f>G14*0.524580874</f>
        <v>0</v>
      </c>
      <c r="AP14" s="26">
        <f>G14*(1-0.524580874)</f>
        <v>0</v>
      </c>
      <c r="AQ14" s="29" t="s">
        <v>53</v>
      </c>
      <c r="AV14" s="26">
        <f>AW14+AX14</f>
        <v>0</v>
      </c>
      <c r="AW14" s="26">
        <f>F14*AO14</f>
        <v>0</v>
      </c>
      <c r="AX14" s="26">
        <f>F14*AP14</f>
        <v>0</v>
      </c>
      <c r="AY14" s="29" t="s">
        <v>59</v>
      </c>
      <c r="AZ14" s="29" t="s">
        <v>60</v>
      </c>
      <c r="BA14" s="11" t="s">
        <v>61</v>
      </c>
      <c r="BB14" s="30">
        <v>100014</v>
      </c>
      <c r="BC14" s="26">
        <f>AW14+AX14</f>
        <v>0</v>
      </c>
      <c r="BD14" s="26">
        <f>G14/(100-BE14)*100</f>
        <v>0</v>
      </c>
      <c r="BE14" s="26">
        <v>0</v>
      </c>
      <c r="BF14" s="26">
        <f>14</f>
        <v>14</v>
      </c>
      <c r="BH14" s="26">
        <f>F14*AO14</f>
        <v>0</v>
      </c>
      <c r="BI14" s="26">
        <f>F14*AP14</f>
        <v>0</v>
      </c>
      <c r="BJ14" s="26">
        <f>F14*G14</f>
        <v>0</v>
      </c>
      <c r="BK14" s="26"/>
      <c r="BL14" s="26">
        <v>34</v>
      </c>
      <c r="BW14" s="26">
        <v>12</v>
      </c>
      <c r="BX14" s="5" t="s">
        <v>64</v>
      </c>
    </row>
    <row r="15" spans="1:76" x14ac:dyDescent="0.25">
      <c r="A15" s="2" t="s">
        <v>66</v>
      </c>
      <c r="B15" s="3" t="s">
        <v>67</v>
      </c>
      <c r="C15" s="96" t="s">
        <v>68</v>
      </c>
      <c r="D15" s="91"/>
      <c r="E15" s="3" t="s">
        <v>69</v>
      </c>
      <c r="F15" s="26">
        <v>10.4</v>
      </c>
      <c r="G15" s="27">
        <v>0</v>
      </c>
      <c r="H15" s="26">
        <f>F15*AO15</f>
        <v>0</v>
      </c>
      <c r="I15" s="26">
        <f>F15*AP15</f>
        <v>0</v>
      </c>
      <c r="J15" s="26">
        <f>F15*G15</f>
        <v>0</v>
      </c>
      <c r="K15" s="28" t="s">
        <v>70</v>
      </c>
      <c r="Z15" s="26">
        <f>IF(AQ15="5",BJ15,0)</f>
        <v>0</v>
      </c>
      <c r="AB15" s="26">
        <f>IF(AQ15="1",BH15,0)</f>
        <v>0</v>
      </c>
      <c r="AC15" s="26">
        <f>IF(AQ15="1",BI15,0)</f>
        <v>0</v>
      </c>
      <c r="AD15" s="26">
        <f>IF(AQ15="7",BH15,0)</f>
        <v>0</v>
      </c>
      <c r="AE15" s="26">
        <f>IF(AQ15="7",BI15,0)</f>
        <v>0</v>
      </c>
      <c r="AF15" s="26">
        <f>IF(AQ15="2",BH15,0)</f>
        <v>0</v>
      </c>
      <c r="AG15" s="26">
        <f>IF(AQ15="2",BI15,0)</f>
        <v>0</v>
      </c>
      <c r="AH15" s="26">
        <f>IF(AQ15="0",BJ15,0)</f>
        <v>0</v>
      </c>
      <c r="AI15" s="11" t="s">
        <v>58</v>
      </c>
      <c r="AJ15" s="26">
        <f>IF(AN15=0,J15,0)</f>
        <v>0</v>
      </c>
      <c r="AK15" s="26">
        <f>IF(AN15=12,J15,0)</f>
        <v>0</v>
      </c>
      <c r="AL15" s="26">
        <f>IF(AN15=21,J15,0)</f>
        <v>0</v>
      </c>
      <c r="AN15" s="26">
        <v>12</v>
      </c>
      <c r="AO15" s="26">
        <f>G15*0.235692308</f>
        <v>0</v>
      </c>
      <c r="AP15" s="26">
        <f>G15*(1-0.235692308)</f>
        <v>0</v>
      </c>
      <c r="AQ15" s="29" t="s">
        <v>53</v>
      </c>
      <c r="AV15" s="26">
        <f>AW15+AX15</f>
        <v>0</v>
      </c>
      <c r="AW15" s="26">
        <f>F15*AO15</f>
        <v>0</v>
      </c>
      <c r="AX15" s="26">
        <f>F15*AP15</f>
        <v>0</v>
      </c>
      <c r="AY15" s="29" t="s">
        <v>59</v>
      </c>
      <c r="AZ15" s="29" t="s">
        <v>60</v>
      </c>
      <c r="BA15" s="11" t="s">
        <v>61</v>
      </c>
      <c r="BB15" s="30">
        <v>100017</v>
      </c>
      <c r="BC15" s="26">
        <f>AW15+AX15</f>
        <v>0</v>
      </c>
      <c r="BD15" s="26">
        <f>G15/(100-BE15)*100</f>
        <v>0</v>
      </c>
      <c r="BE15" s="26">
        <v>0</v>
      </c>
      <c r="BF15" s="26">
        <f>15</f>
        <v>15</v>
      </c>
      <c r="BH15" s="26">
        <f>F15*AO15</f>
        <v>0</v>
      </c>
      <c r="BI15" s="26">
        <f>F15*AP15</f>
        <v>0</v>
      </c>
      <c r="BJ15" s="26">
        <f>F15*G15</f>
        <v>0</v>
      </c>
      <c r="BK15" s="26"/>
      <c r="BL15" s="26">
        <v>34</v>
      </c>
      <c r="BW15" s="26">
        <v>12</v>
      </c>
      <c r="BX15" s="5" t="s">
        <v>68</v>
      </c>
    </row>
    <row r="16" spans="1:76" x14ac:dyDescent="0.25">
      <c r="A16" s="31" t="s">
        <v>50</v>
      </c>
      <c r="B16" s="32" t="s">
        <v>71</v>
      </c>
      <c r="C16" s="116" t="s">
        <v>72</v>
      </c>
      <c r="D16" s="117"/>
      <c r="E16" s="33" t="s">
        <v>4</v>
      </c>
      <c r="F16" s="33" t="s">
        <v>4</v>
      </c>
      <c r="G16" s="34"/>
      <c r="H16" s="1">
        <f>SUM(H17:H17)</f>
        <v>0</v>
      </c>
      <c r="I16" s="1">
        <f>SUM(I17:I17)</f>
        <v>0</v>
      </c>
      <c r="J16" s="1">
        <f>SUM(J17:J17)</f>
        <v>0</v>
      </c>
      <c r="K16" s="35" t="s">
        <v>50</v>
      </c>
      <c r="AI16" s="11" t="s">
        <v>50</v>
      </c>
      <c r="AS16" s="1">
        <f>SUM(AJ17:AJ17)</f>
        <v>0</v>
      </c>
      <c r="AT16" s="1">
        <f>SUM(AK17:AK17)</f>
        <v>0</v>
      </c>
      <c r="AU16" s="1">
        <f>SUM(AL17:AL17)</f>
        <v>0</v>
      </c>
    </row>
    <row r="17" spans="1:76" x14ac:dyDescent="0.25">
      <c r="A17" s="2" t="s">
        <v>73</v>
      </c>
      <c r="B17" s="3" t="s">
        <v>74</v>
      </c>
      <c r="C17" s="96" t="s">
        <v>75</v>
      </c>
      <c r="D17" s="91"/>
      <c r="E17" s="3" t="s">
        <v>56</v>
      </c>
      <c r="F17" s="26">
        <v>0.60414000000000001</v>
      </c>
      <c r="G17" s="27">
        <v>0</v>
      </c>
      <c r="H17" s="26">
        <f>F17*AO17</f>
        <v>0</v>
      </c>
      <c r="I17" s="26">
        <f>F17*AP17</f>
        <v>0</v>
      </c>
      <c r="J17" s="26">
        <f>F17*G17</f>
        <v>0</v>
      </c>
      <c r="K17" s="28" t="s">
        <v>65</v>
      </c>
      <c r="Z17" s="26">
        <f>IF(AQ17="5",BJ17,0)</f>
        <v>0</v>
      </c>
      <c r="AB17" s="26">
        <f>IF(AQ17="1",BH17,0)</f>
        <v>0</v>
      </c>
      <c r="AC17" s="26">
        <f>IF(AQ17="1",BI17,0)</f>
        <v>0</v>
      </c>
      <c r="AD17" s="26">
        <f>IF(AQ17="7",BH17,0)</f>
        <v>0</v>
      </c>
      <c r="AE17" s="26">
        <f>IF(AQ17="7",BI17,0)</f>
        <v>0</v>
      </c>
      <c r="AF17" s="26">
        <f>IF(AQ17="2",BH17,0)</f>
        <v>0</v>
      </c>
      <c r="AG17" s="26">
        <f>IF(AQ17="2",BI17,0)</f>
        <v>0</v>
      </c>
      <c r="AH17" s="26">
        <f>IF(AQ17="0",BJ17,0)</f>
        <v>0</v>
      </c>
      <c r="AI17" s="11" t="s">
        <v>58</v>
      </c>
      <c r="AJ17" s="26">
        <f>IF(AN17=0,J17,0)</f>
        <v>0</v>
      </c>
      <c r="AK17" s="26">
        <f>IF(AN17=12,J17,0)</f>
        <v>0</v>
      </c>
      <c r="AL17" s="26">
        <f>IF(AN17=21,J17,0)</f>
        <v>0</v>
      </c>
      <c r="AN17" s="26">
        <v>12</v>
      </c>
      <c r="AO17" s="26">
        <f>G17*0.334636478</f>
        <v>0</v>
      </c>
      <c r="AP17" s="26">
        <f>G17*(1-0.334636478)</f>
        <v>0</v>
      </c>
      <c r="AQ17" s="29" t="s">
        <v>53</v>
      </c>
      <c r="AV17" s="26">
        <f>AW17+AX17</f>
        <v>0</v>
      </c>
      <c r="AW17" s="26">
        <f>F17*AO17</f>
        <v>0</v>
      </c>
      <c r="AX17" s="26">
        <f>F17*AP17</f>
        <v>0</v>
      </c>
      <c r="AY17" s="29" t="s">
        <v>76</v>
      </c>
      <c r="AZ17" s="29" t="s">
        <v>77</v>
      </c>
      <c r="BA17" s="11" t="s">
        <v>61</v>
      </c>
      <c r="BB17" s="30">
        <v>100020</v>
      </c>
      <c r="BC17" s="26">
        <f>AW17+AX17</f>
        <v>0</v>
      </c>
      <c r="BD17" s="26">
        <f>G17/(100-BE17)*100</f>
        <v>0</v>
      </c>
      <c r="BE17" s="26">
        <v>0</v>
      </c>
      <c r="BF17" s="26">
        <f>17</f>
        <v>17</v>
      </c>
      <c r="BH17" s="26">
        <f>F17*AO17</f>
        <v>0</v>
      </c>
      <c r="BI17" s="26">
        <f>F17*AP17</f>
        <v>0</v>
      </c>
      <c r="BJ17" s="26">
        <f>F17*G17</f>
        <v>0</v>
      </c>
      <c r="BK17" s="26"/>
      <c r="BL17" s="26">
        <v>41</v>
      </c>
      <c r="BW17" s="26">
        <v>12</v>
      </c>
      <c r="BX17" s="5" t="s">
        <v>75</v>
      </c>
    </row>
    <row r="18" spans="1:76" x14ac:dyDescent="0.25">
      <c r="A18" s="31" t="s">
        <v>50</v>
      </c>
      <c r="B18" s="32" t="s">
        <v>78</v>
      </c>
      <c r="C18" s="116" t="s">
        <v>79</v>
      </c>
      <c r="D18" s="117"/>
      <c r="E18" s="33" t="s">
        <v>4</v>
      </c>
      <c r="F18" s="33" t="s">
        <v>4</v>
      </c>
      <c r="G18" s="34" t="s">
        <v>4</v>
      </c>
      <c r="H18" s="1">
        <f>SUM(H19:H20)</f>
        <v>0</v>
      </c>
      <c r="I18" s="1">
        <f>SUM(I19:I20)</f>
        <v>0</v>
      </c>
      <c r="J18" s="1">
        <f>SUM(J19:J20)</f>
        <v>0</v>
      </c>
      <c r="K18" s="35" t="s">
        <v>50</v>
      </c>
      <c r="AI18" s="11" t="s">
        <v>50</v>
      </c>
      <c r="AS18" s="1">
        <f>SUM(AJ19:AJ20)</f>
        <v>0</v>
      </c>
      <c r="AT18" s="1">
        <f>SUM(AK19:AK20)</f>
        <v>0</v>
      </c>
      <c r="AU18" s="1">
        <f>SUM(AL19:AL20)</f>
        <v>0</v>
      </c>
    </row>
    <row r="19" spans="1:76" x14ac:dyDescent="0.25">
      <c r="A19" s="2" t="s">
        <v>80</v>
      </c>
      <c r="B19" s="3" t="s">
        <v>81</v>
      </c>
      <c r="C19" s="96" t="s">
        <v>82</v>
      </c>
      <c r="D19" s="91"/>
      <c r="E19" s="3" t="s">
        <v>56</v>
      </c>
      <c r="F19" s="26">
        <v>1.65</v>
      </c>
      <c r="G19" s="27">
        <v>0</v>
      </c>
      <c r="H19" s="26">
        <f>F19*AO19</f>
        <v>0</v>
      </c>
      <c r="I19" s="26">
        <f>F19*AP19</f>
        <v>0</v>
      </c>
      <c r="J19" s="26">
        <f>F19*G19</f>
        <v>0</v>
      </c>
      <c r="K19" s="28" t="s">
        <v>65</v>
      </c>
      <c r="Z19" s="26">
        <f>IF(AQ19="5",BJ19,0)</f>
        <v>0</v>
      </c>
      <c r="AB19" s="26">
        <f>IF(AQ19="1",BH19,0)</f>
        <v>0</v>
      </c>
      <c r="AC19" s="26">
        <f>IF(AQ19="1",BI19,0)</f>
        <v>0</v>
      </c>
      <c r="AD19" s="26">
        <f>IF(AQ19="7",BH19,0)</f>
        <v>0</v>
      </c>
      <c r="AE19" s="26">
        <f>IF(AQ19="7",BI19,0)</f>
        <v>0</v>
      </c>
      <c r="AF19" s="26">
        <f>IF(AQ19="2",BH19,0)</f>
        <v>0</v>
      </c>
      <c r="AG19" s="26">
        <f>IF(AQ19="2",BI19,0)</f>
        <v>0</v>
      </c>
      <c r="AH19" s="26">
        <f>IF(AQ19="0",BJ19,0)</f>
        <v>0</v>
      </c>
      <c r="AI19" s="11" t="s">
        <v>58</v>
      </c>
      <c r="AJ19" s="26">
        <f>IF(AN19=0,J19,0)</f>
        <v>0</v>
      </c>
      <c r="AK19" s="26">
        <f>IF(AN19=12,J19,0)</f>
        <v>0</v>
      </c>
      <c r="AL19" s="26">
        <f>IF(AN19=21,J19,0)</f>
        <v>0</v>
      </c>
      <c r="AN19" s="26">
        <v>12</v>
      </c>
      <c r="AO19" s="26">
        <f>G19*0.356666667</f>
        <v>0</v>
      </c>
      <c r="AP19" s="26">
        <f>G19*(1-0.356666667)</f>
        <v>0</v>
      </c>
      <c r="AQ19" s="29" t="s">
        <v>53</v>
      </c>
      <c r="AV19" s="26">
        <f>AW19+AX19</f>
        <v>0</v>
      </c>
      <c r="AW19" s="26">
        <f>F19*AO19</f>
        <v>0</v>
      </c>
      <c r="AX19" s="26">
        <f>F19*AP19</f>
        <v>0</v>
      </c>
      <c r="AY19" s="29" t="s">
        <v>83</v>
      </c>
      <c r="AZ19" s="29" t="s">
        <v>84</v>
      </c>
      <c r="BA19" s="11" t="s">
        <v>61</v>
      </c>
      <c r="BB19" s="30">
        <v>100007</v>
      </c>
      <c r="BC19" s="26">
        <f>AW19+AX19</f>
        <v>0</v>
      </c>
      <c r="BD19" s="26">
        <f>G19/(100-BE19)*100</f>
        <v>0</v>
      </c>
      <c r="BE19" s="26">
        <v>0</v>
      </c>
      <c r="BF19" s="26">
        <f>19</f>
        <v>19</v>
      </c>
      <c r="BH19" s="26">
        <f>F19*AO19</f>
        <v>0</v>
      </c>
      <c r="BI19" s="26">
        <f>F19*AP19</f>
        <v>0</v>
      </c>
      <c r="BJ19" s="26">
        <f>F19*G19</f>
        <v>0</v>
      </c>
      <c r="BK19" s="26"/>
      <c r="BL19" s="26">
        <v>60</v>
      </c>
      <c r="BW19" s="26">
        <v>12</v>
      </c>
      <c r="BX19" s="5" t="s">
        <v>82</v>
      </c>
    </row>
    <row r="20" spans="1:76" x14ac:dyDescent="0.25">
      <c r="A20" s="2" t="s">
        <v>85</v>
      </c>
      <c r="B20" s="3" t="s">
        <v>86</v>
      </c>
      <c r="C20" s="96" t="s">
        <v>87</v>
      </c>
      <c r="D20" s="91"/>
      <c r="E20" s="3" t="s">
        <v>56</v>
      </c>
      <c r="F20" s="26">
        <v>1.65</v>
      </c>
      <c r="G20" s="27">
        <v>0</v>
      </c>
      <c r="H20" s="26">
        <f>F20*AO20</f>
        <v>0</v>
      </c>
      <c r="I20" s="26">
        <f>F20*AP20</f>
        <v>0</v>
      </c>
      <c r="J20" s="26">
        <f>F20*G20</f>
        <v>0</v>
      </c>
      <c r="K20" s="28" t="s">
        <v>65</v>
      </c>
      <c r="Z20" s="26">
        <f>IF(AQ20="5",BJ20,0)</f>
        <v>0</v>
      </c>
      <c r="AB20" s="26">
        <f>IF(AQ20="1",BH20,0)</f>
        <v>0</v>
      </c>
      <c r="AC20" s="26">
        <f>IF(AQ20="1",BI20,0)</f>
        <v>0</v>
      </c>
      <c r="AD20" s="26">
        <f>IF(AQ20="7",BH20,0)</f>
        <v>0</v>
      </c>
      <c r="AE20" s="26">
        <f>IF(AQ20="7",BI20,0)</f>
        <v>0</v>
      </c>
      <c r="AF20" s="26">
        <f>IF(AQ20="2",BH20,0)</f>
        <v>0</v>
      </c>
      <c r="AG20" s="26">
        <f>IF(AQ20="2",BI20,0)</f>
        <v>0</v>
      </c>
      <c r="AH20" s="26">
        <f>IF(AQ20="0",BJ20,0)</f>
        <v>0</v>
      </c>
      <c r="AI20" s="11" t="s">
        <v>58</v>
      </c>
      <c r="AJ20" s="26">
        <f>IF(AN20=0,J20,0)</f>
        <v>0</v>
      </c>
      <c r="AK20" s="26">
        <f>IF(AN20=12,J20,0)</f>
        <v>0</v>
      </c>
      <c r="AL20" s="26">
        <f>IF(AN20=21,J20,0)</f>
        <v>0</v>
      </c>
      <c r="AN20" s="26">
        <v>12</v>
      </c>
      <c r="AO20" s="26">
        <f>G20*0.121082014</f>
        <v>0</v>
      </c>
      <c r="AP20" s="26">
        <f>G20*(1-0.121082014)</f>
        <v>0</v>
      </c>
      <c r="AQ20" s="29" t="s">
        <v>53</v>
      </c>
      <c r="AV20" s="26">
        <f>AW20+AX20</f>
        <v>0</v>
      </c>
      <c r="AW20" s="26">
        <f>F20*AO20</f>
        <v>0</v>
      </c>
      <c r="AX20" s="26">
        <f>F20*AP20</f>
        <v>0</v>
      </c>
      <c r="AY20" s="29" t="s">
        <v>83</v>
      </c>
      <c r="AZ20" s="29" t="s">
        <v>84</v>
      </c>
      <c r="BA20" s="11" t="s">
        <v>61</v>
      </c>
      <c r="BB20" s="30">
        <v>100007</v>
      </c>
      <c r="BC20" s="26">
        <f>AW20+AX20</f>
        <v>0</v>
      </c>
      <c r="BD20" s="26">
        <f>G20/(100-BE20)*100</f>
        <v>0</v>
      </c>
      <c r="BE20" s="26">
        <v>0</v>
      </c>
      <c r="BF20" s="26">
        <f>20</f>
        <v>20</v>
      </c>
      <c r="BH20" s="26">
        <f>F20*AO20</f>
        <v>0</v>
      </c>
      <c r="BI20" s="26">
        <f>F20*AP20</f>
        <v>0</v>
      </c>
      <c r="BJ20" s="26">
        <f>F20*G20</f>
        <v>0</v>
      </c>
      <c r="BK20" s="26"/>
      <c r="BL20" s="26">
        <v>60</v>
      </c>
      <c r="BW20" s="26">
        <v>12</v>
      </c>
      <c r="BX20" s="5" t="s">
        <v>87</v>
      </c>
    </row>
    <row r="21" spans="1:76" x14ac:dyDescent="0.25">
      <c r="A21" s="31" t="s">
        <v>50</v>
      </c>
      <c r="B21" s="32" t="s">
        <v>88</v>
      </c>
      <c r="C21" s="116" t="s">
        <v>89</v>
      </c>
      <c r="D21" s="117"/>
      <c r="E21" s="33" t="s">
        <v>4</v>
      </c>
      <c r="F21" s="33" t="s">
        <v>4</v>
      </c>
      <c r="G21" s="34" t="s">
        <v>4</v>
      </c>
      <c r="H21" s="1">
        <f>SUM(H22:H24)</f>
        <v>0</v>
      </c>
      <c r="I21" s="1">
        <f>SUM(I22:I24)</f>
        <v>0</v>
      </c>
      <c r="J21" s="1">
        <f>SUM(J22:J24)</f>
        <v>0</v>
      </c>
      <c r="K21" s="35" t="s">
        <v>50</v>
      </c>
      <c r="AI21" s="11" t="s">
        <v>50</v>
      </c>
      <c r="AS21" s="1">
        <f>SUM(AJ22:AJ24)</f>
        <v>0</v>
      </c>
      <c r="AT21" s="1">
        <f>SUM(AK22:AK24)</f>
        <v>0</v>
      </c>
      <c r="AU21" s="1">
        <f>SUM(AL22:AL24)</f>
        <v>0</v>
      </c>
    </row>
    <row r="22" spans="1:76" x14ac:dyDescent="0.25">
      <c r="A22" s="2" t="s">
        <v>90</v>
      </c>
      <c r="B22" s="3" t="s">
        <v>91</v>
      </c>
      <c r="C22" s="96" t="s">
        <v>92</v>
      </c>
      <c r="D22" s="91"/>
      <c r="E22" s="3" t="s">
        <v>93</v>
      </c>
      <c r="F22" s="26">
        <v>74</v>
      </c>
      <c r="G22" s="27">
        <v>0</v>
      </c>
      <c r="H22" s="26">
        <f>F22*AO22</f>
        <v>0</v>
      </c>
      <c r="I22" s="26">
        <f>F22*AP22</f>
        <v>0</v>
      </c>
      <c r="J22" s="26">
        <f>F22*G22</f>
        <v>0</v>
      </c>
      <c r="K22" s="28" t="s">
        <v>65</v>
      </c>
      <c r="Z22" s="26">
        <f>IF(AQ22="5",BJ22,0)</f>
        <v>0</v>
      </c>
      <c r="AB22" s="26">
        <f>IF(AQ22="1",BH22,0)</f>
        <v>0</v>
      </c>
      <c r="AC22" s="26">
        <f>IF(AQ22="1",BI22,0)</f>
        <v>0</v>
      </c>
      <c r="AD22" s="26">
        <f>IF(AQ22="7",BH22,0)</f>
        <v>0</v>
      </c>
      <c r="AE22" s="26">
        <f>IF(AQ22="7",BI22,0)</f>
        <v>0</v>
      </c>
      <c r="AF22" s="26">
        <f>IF(AQ22="2",BH22,0)</f>
        <v>0</v>
      </c>
      <c r="AG22" s="26">
        <f>IF(AQ22="2",BI22,0)</f>
        <v>0</v>
      </c>
      <c r="AH22" s="26">
        <f>IF(AQ22="0",BJ22,0)</f>
        <v>0</v>
      </c>
      <c r="AI22" s="11" t="s">
        <v>58</v>
      </c>
      <c r="AJ22" s="26">
        <f>IF(AN22=0,J22,0)</f>
        <v>0</v>
      </c>
      <c r="AK22" s="26">
        <f>IF(AN22=12,J22,0)</f>
        <v>0</v>
      </c>
      <c r="AL22" s="26">
        <f>IF(AN22=21,J22,0)</f>
        <v>0</v>
      </c>
      <c r="AN22" s="26">
        <v>12</v>
      </c>
      <c r="AO22" s="26">
        <f>G22*0.269721126</f>
        <v>0</v>
      </c>
      <c r="AP22" s="26">
        <f>G22*(1-0.269721126)</f>
        <v>0</v>
      </c>
      <c r="AQ22" s="29" t="s">
        <v>90</v>
      </c>
      <c r="AV22" s="26">
        <f>AW22+AX22</f>
        <v>0</v>
      </c>
      <c r="AW22" s="26">
        <f>F22*AO22</f>
        <v>0</v>
      </c>
      <c r="AX22" s="26">
        <f>F22*AP22</f>
        <v>0</v>
      </c>
      <c r="AY22" s="29" t="s">
        <v>94</v>
      </c>
      <c r="AZ22" s="29" t="s">
        <v>95</v>
      </c>
      <c r="BA22" s="11" t="s">
        <v>61</v>
      </c>
      <c r="BB22" s="30">
        <v>100011</v>
      </c>
      <c r="BC22" s="26">
        <f>AW22+AX22</f>
        <v>0</v>
      </c>
      <c r="BD22" s="26">
        <f>G22/(100-BE22)*100</f>
        <v>0</v>
      </c>
      <c r="BE22" s="26">
        <v>0</v>
      </c>
      <c r="BF22" s="26">
        <f>22</f>
        <v>22</v>
      </c>
      <c r="BH22" s="26">
        <f>F22*AO22</f>
        <v>0</v>
      </c>
      <c r="BI22" s="26">
        <f>F22*AP22</f>
        <v>0</v>
      </c>
      <c r="BJ22" s="26">
        <f>F22*G22</f>
        <v>0</v>
      </c>
      <c r="BK22" s="26"/>
      <c r="BL22" s="26">
        <v>713</v>
      </c>
      <c r="BW22" s="26">
        <v>12</v>
      </c>
      <c r="BX22" s="5" t="s">
        <v>92</v>
      </c>
    </row>
    <row r="23" spans="1:76" x14ac:dyDescent="0.25">
      <c r="A23" s="2" t="s">
        <v>96</v>
      </c>
      <c r="B23" s="3" t="s">
        <v>97</v>
      </c>
      <c r="C23" s="96" t="s">
        <v>98</v>
      </c>
      <c r="D23" s="91"/>
      <c r="E23" s="3" t="s">
        <v>93</v>
      </c>
      <c r="F23" s="26">
        <v>74</v>
      </c>
      <c r="G23" s="27">
        <v>0</v>
      </c>
      <c r="H23" s="26">
        <f>F23*AO23</f>
        <v>0</v>
      </c>
      <c r="I23" s="26">
        <f>F23*AP23</f>
        <v>0</v>
      </c>
      <c r="J23" s="26">
        <f>F23*G23</f>
        <v>0</v>
      </c>
      <c r="K23" s="28" t="s">
        <v>65</v>
      </c>
      <c r="Z23" s="26">
        <f>IF(AQ23="5",BJ23,0)</f>
        <v>0</v>
      </c>
      <c r="AB23" s="26">
        <f>IF(AQ23="1",BH23,0)</f>
        <v>0</v>
      </c>
      <c r="AC23" s="26">
        <f>IF(AQ23="1",BI23,0)</f>
        <v>0</v>
      </c>
      <c r="AD23" s="26">
        <f>IF(AQ23="7",BH23,0)</f>
        <v>0</v>
      </c>
      <c r="AE23" s="26">
        <f>IF(AQ23="7",BI23,0)</f>
        <v>0</v>
      </c>
      <c r="AF23" s="26">
        <f>IF(AQ23="2",BH23,0)</f>
        <v>0</v>
      </c>
      <c r="AG23" s="26">
        <f>IF(AQ23="2",BI23,0)</f>
        <v>0</v>
      </c>
      <c r="AH23" s="26">
        <f>IF(AQ23="0",BJ23,0)</f>
        <v>0</v>
      </c>
      <c r="AI23" s="11" t="s">
        <v>58</v>
      </c>
      <c r="AJ23" s="26">
        <f>IF(AN23=0,J23,0)</f>
        <v>0</v>
      </c>
      <c r="AK23" s="26">
        <f>IF(AN23=12,J23,0)</f>
        <v>0</v>
      </c>
      <c r="AL23" s="26">
        <f>IF(AN23=21,J23,0)</f>
        <v>0</v>
      </c>
      <c r="AN23" s="26">
        <v>12</v>
      </c>
      <c r="AO23" s="26">
        <f>G23*0.834275667</f>
        <v>0</v>
      </c>
      <c r="AP23" s="26">
        <f>G23*(1-0.834275667)</f>
        <v>0</v>
      </c>
      <c r="AQ23" s="29" t="s">
        <v>90</v>
      </c>
      <c r="AV23" s="26">
        <f>AW23+AX23</f>
        <v>0</v>
      </c>
      <c r="AW23" s="26">
        <f>F23*AO23</f>
        <v>0</v>
      </c>
      <c r="AX23" s="26">
        <f>F23*AP23</f>
        <v>0</v>
      </c>
      <c r="AY23" s="29" t="s">
        <v>94</v>
      </c>
      <c r="AZ23" s="29" t="s">
        <v>95</v>
      </c>
      <c r="BA23" s="11" t="s">
        <v>61</v>
      </c>
      <c r="BB23" s="30">
        <v>100011</v>
      </c>
      <c r="BC23" s="26">
        <f>AW23+AX23</f>
        <v>0</v>
      </c>
      <c r="BD23" s="26">
        <f>G23/(100-BE23)*100</f>
        <v>0</v>
      </c>
      <c r="BE23" s="26">
        <v>0</v>
      </c>
      <c r="BF23" s="26">
        <f>23</f>
        <v>23</v>
      </c>
      <c r="BH23" s="26">
        <f>F23*AO23</f>
        <v>0</v>
      </c>
      <c r="BI23" s="26">
        <f>F23*AP23</f>
        <v>0</v>
      </c>
      <c r="BJ23" s="26">
        <f>F23*G23</f>
        <v>0</v>
      </c>
      <c r="BK23" s="26"/>
      <c r="BL23" s="26">
        <v>713</v>
      </c>
      <c r="BW23" s="26">
        <v>12</v>
      </c>
      <c r="BX23" s="5" t="s">
        <v>98</v>
      </c>
    </row>
    <row r="24" spans="1:76" x14ac:dyDescent="0.25">
      <c r="A24" s="2" t="s">
        <v>99</v>
      </c>
      <c r="B24" s="3" t="s">
        <v>100</v>
      </c>
      <c r="C24" s="96" t="s">
        <v>101</v>
      </c>
      <c r="D24" s="91"/>
      <c r="E24" s="3" t="s">
        <v>102</v>
      </c>
      <c r="F24" s="26">
        <v>0.52244000000000002</v>
      </c>
      <c r="G24" s="27">
        <v>0</v>
      </c>
      <c r="H24" s="26">
        <f>F24*AO24</f>
        <v>0</v>
      </c>
      <c r="I24" s="26">
        <f>F24*AP24</f>
        <v>0</v>
      </c>
      <c r="J24" s="26">
        <f>F24*G24</f>
        <v>0</v>
      </c>
      <c r="K24" s="28" t="s">
        <v>65</v>
      </c>
      <c r="Z24" s="26">
        <f>IF(AQ24="5",BJ24,0)</f>
        <v>0</v>
      </c>
      <c r="AB24" s="26">
        <f>IF(AQ24="1",BH24,0)</f>
        <v>0</v>
      </c>
      <c r="AC24" s="26">
        <f>IF(AQ24="1",BI24,0)</f>
        <v>0</v>
      </c>
      <c r="AD24" s="26">
        <f>IF(AQ24="7",BH24,0)</f>
        <v>0</v>
      </c>
      <c r="AE24" s="26">
        <f>IF(AQ24="7",BI24,0)</f>
        <v>0</v>
      </c>
      <c r="AF24" s="26">
        <f>IF(AQ24="2",BH24,0)</f>
        <v>0</v>
      </c>
      <c r="AG24" s="26">
        <f>IF(AQ24="2",BI24,0)</f>
        <v>0</v>
      </c>
      <c r="AH24" s="26">
        <f>IF(AQ24="0",BJ24,0)</f>
        <v>0</v>
      </c>
      <c r="AI24" s="11" t="s">
        <v>58</v>
      </c>
      <c r="AJ24" s="26">
        <f>IF(AN24=0,J24,0)</f>
        <v>0</v>
      </c>
      <c r="AK24" s="26">
        <f>IF(AN24=12,J24,0)</f>
        <v>0</v>
      </c>
      <c r="AL24" s="26">
        <f>IF(AN24=21,J24,0)</f>
        <v>0</v>
      </c>
      <c r="AN24" s="26">
        <v>12</v>
      </c>
      <c r="AO24" s="26">
        <f>G24*0</f>
        <v>0</v>
      </c>
      <c r="AP24" s="26">
        <f>G24*(1-0)</f>
        <v>0</v>
      </c>
      <c r="AQ24" s="29" t="s">
        <v>80</v>
      </c>
      <c r="AV24" s="26">
        <f>AW24+AX24</f>
        <v>0</v>
      </c>
      <c r="AW24" s="26">
        <f>F24*AO24</f>
        <v>0</v>
      </c>
      <c r="AX24" s="26">
        <f>F24*AP24</f>
        <v>0</v>
      </c>
      <c r="AY24" s="29" t="s">
        <v>94</v>
      </c>
      <c r="AZ24" s="29" t="s">
        <v>95</v>
      </c>
      <c r="BA24" s="11" t="s">
        <v>61</v>
      </c>
      <c r="BB24" s="30">
        <v>100011</v>
      </c>
      <c r="BC24" s="26">
        <f>AW24+AX24</f>
        <v>0</v>
      </c>
      <c r="BD24" s="26">
        <f>G24/(100-BE24)*100</f>
        <v>0</v>
      </c>
      <c r="BE24" s="26">
        <v>0</v>
      </c>
      <c r="BF24" s="26">
        <f>24</f>
        <v>24</v>
      </c>
      <c r="BH24" s="26">
        <f>F24*AO24</f>
        <v>0</v>
      </c>
      <c r="BI24" s="26">
        <f>F24*AP24</f>
        <v>0</v>
      </c>
      <c r="BJ24" s="26">
        <f>F24*G24</f>
        <v>0</v>
      </c>
      <c r="BK24" s="26"/>
      <c r="BL24" s="26">
        <v>713</v>
      </c>
      <c r="BW24" s="26">
        <v>12</v>
      </c>
      <c r="BX24" s="5" t="s">
        <v>101</v>
      </c>
    </row>
    <row r="25" spans="1:76" x14ac:dyDescent="0.25">
      <c r="A25" s="31" t="s">
        <v>50</v>
      </c>
      <c r="B25" s="32" t="s">
        <v>103</v>
      </c>
      <c r="C25" s="116" t="s">
        <v>104</v>
      </c>
      <c r="D25" s="117"/>
      <c r="E25" s="33" t="s">
        <v>4</v>
      </c>
      <c r="F25" s="33" t="s">
        <v>4</v>
      </c>
      <c r="G25" s="34" t="s">
        <v>4</v>
      </c>
      <c r="H25" s="1">
        <f>SUM(H26:H42)</f>
        <v>0</v>
      </c>
      <c r="I25" s="1">
        <f>SUM(I26:I42)</f>
        <v>0</v>
      </c>
      <c r="J25" s="1">
        <f>SUM(J26:J42)</f>
        <v>0</v>
      </c>
      <c r="K25" s="35" t="s">
        <v>50</v>
      </c>
      <c r="AI25" s="11" t="s">
        <v>50</v>
      </c>
      <c r="AS25" s="1">
        <f>SUM(AJ26:AJ42)</f>
        <v>0</v>
      </c>
      <c r="AT25" s="1">
        <f>SUM(AK26:AK42)</f>
        <v>0</v>
      </c>
      <c r="AU25" s="1">
        <f>SUM(AL26:AL42)</f>
        <v>0</v>
      </c>
    </row>
    <row r="26" spans="1:76" ht="25.5" x14ac:dyDescent="0.25">
      <c r="A26" s="2" t="s">
        <v>105</v>
      </c>
      <c r="B26" s="3" t="s">
        <v>106</v>
      </c>
      <c r="C26" s="96" t="s">
        <v>107</v>
      </c>
      <c r="D26" s="91"/>
      <c r="E26" s="3" t="s">
        <v>93</v>
      </c>
      <c r="F26" s="26">
        <v>8</v>
      </c>
      <c r="G26" s="27">
        <v>0</v>
      </c>
      <c r="H26" s="26">
        <f t="shared" ref="H26:H42" si="0">F26*AO26</f>
        <v>0</v>
      </c>
      <c r="I26" s="26">
        <f t="shared" ref="I26:I42" si="1">F26*AP26</f>
        <v>0</v>
      </c>
      <c r="J26" s="26">
        <f t="shared" ref="J26:J42" si="2">F26*G26</f>
        <v>0</v>
      </c>
      <c r="K26" s="28" t="s">
        <v>65</v>
      </c>
      <c r="Z26" s="26">
        <f t="shared" ref="Z26:Z42" si="3">IF(AQ26="5",BJ26,0)</f>
        <v>0</v>
      </c>
      <c r="AB26" s="26">
        <f t="shared" ref="AB26:AB42" si="4">IF(AQ26="1",BH26,0)</f>
        <v>0</v>
      </c>
      <c r="AC26" s="26">
        <f t="shared" ref="AC26:AC42" si="5">IF(AQ26="1",BI26,0)</f>
        <v>0</v>
      </c>
      <c r="AD26" s="26">
        <f t="shared" ref="AD26:AD42" si="6">IF(AQ26="7",BH26,0)</f>
        <v>0</v>
      </c>
      <c r="AE26" s="26">
        <f t="shared" ref="AE26:AE42" si="7">IF(AQ26="7",BI26,0)</f>
        <v>0</v>
      </c>
      <c r="AF26" s="26">
        <f t="shared" ref="AF26:AF42" si="8">IF(AQ26="2",BH26,0)</f>
        <v>0</v>
      </c>
      <c r="AG26" s="26">
        <f t="shared" ref="AG26:AG42" si="9">IF(AQ26="2",BI26,0)</f>
        <v>0</v>
      </c>
      <c r="AH26" s="26">
        <f t="shared" ref="AH26:AH42" si="10">IF(AQ26="0",BJ26,0)</f>
        <v>0</v>
      </c>
      <c r="AI26" s="11" t="s">
        <v>58</v>
      </c>
      <c r="AJ26" s="26">
        <f t="shared" ref="AJ26:AJ42" si="11">IF(AN26=0,J26,0)</f>
        <v>0</v>
      </c>
      <c r="AK26" s="26">
        <f t="shared" ref="AK26:AK42" si="12">IF(AN26=12,J26,0)</f>
        <v>0</v>
      </c>
      <c r="AL26" s="26">
        <f t="shared" ref="AL26:AL42" si="13">IF(AN26=21,J26,0)</f>
        <v>0</v>
      </c>
      <c r="AN26" s="26">
        <v>12</v>
      </c>
      <c r="AO26" s="26">
        <f>G26*0.20868905</f>
        <v>0</v>
      </c>
      <c r="AP26" s="26">
        <f>G26*(1-0.20868905)</f>
        <v>0</v>
      </c>
      <c r="AQ26" s="29" t="s">
        <v>90</v>
      </c>
      <c r="AV26" s="26">
        <f t="shared" ref="AV26:AV42" si="14">AW26+AX26</f>
        <v>0</v>
      </c>
      <c r="AW26" s="26">
        <f t="shared" ref="AW26:AW42" si="15">F26*AO26</f>
        <v>0</v>
      </c>
      <c r="AX26" s="26">
        <f t="shared" ref="AX26:AX42" si="16">F26*AP26</f>
        <v>0</v>
      </c>
      <c r="AY26" s="29" t="s">
        <v>108</v>
      </c>
      <c r="AZ26" s="29" t="s">
        <v>109</v>
      </c>
      <c r="BA26" s="11" t="s">
        <v>61</v>
      </c>
      <c r="BB26" s="30">
        <v>100001</v>
      </c>
      <c r="BC26" s="26">
        <f t="shared" ref="BC26:BC42" si="17">AW26+AX26</f>
        <v>0</v>
      </c>
      <c r="BD26" s="26">
        <f t="shared" ref="BD26:BD42" si="18">G26/(100-BE26)*100</f>
        <v>0</v>
      </c>
      <c r="BE26" s="26">
        <v>0</v>
      </c>
      <c r="BF26" s="26">
        <f>26</f>
        <v>26</v>
      </c>
      <c r="BH26" s="26">
        <f t="shared" ref="BH26:BH42" si="19">F26*AO26</f>
        <v>0</v>
      </c>
      <c r="BI26" s="26">
        <f t="shared" ref="BI26:BI42" si="20">F26*AP26</f>
        <v>0</v>
      </c>
      <c r="BJ26" s="26">
        <f t="shared" ref="BJ26:BJ42" si="21">F26*G26</f>
        <v>0</v>
      </c>
      <c r="BK26" s="26"/>
      <c r="BL26" s="26">
        <v>721</v>
      </c>
      <c r="BW26" s="26">
        <v>12</v>
      </c>
      <c r="BX26" s="5" t="s">
        <v>107</v>
      </c>
    </row>
    <row r="27" spans="1:76" x14ac:dyDescent="0.25">
      <c r="A27" s="2" t="s">
        <v>110</v>
      </c>
      <c r="B27" s="3" t="s">
        <v>111</v>
      </c>
      <c r="C27" s="96" t="s">
        <v>112</v>
      </c>
      <c r="D27" s="91"/>
      <c r="E27" s="3" t="s">
        <v>93</v>
      </c>
      <c r="F27" s="26">
        <v>8</v>
      </c>
      <c r="G27" s="27">
        <v>0</v>
      </c>
      <c r="H27" s="26">
        <f t="shared" si="0"/>
        <v>0</v>
      </c>
      <c r="I27" s="26">
        <f t="shared" si="1"/>
        <v>0</v>
      </c>
      <c r="J27" s="26">
        <f t="shared" si="2"/>
        <v>0</v>
      </c>
      <c r="K27" s="28" t="s">
        <v>65</v>
      </c>
      <c r="Z27" s="26">
        <f t="shared" si="3"/>
        <v>0</v>
      </c>
      <c r="AB27" s="26">
        <f t="shared" si="4"/>
        <v>0</v>
      </c>
      <c r="AC27" s="26">
        <f t="shared" si="5"/>
        <v>0</v>
      </c>
      <c r="AD27" s="26">
        <f t="shared" si="6"/>
        <v>0</v>
      </c>
      <c r="AE27" s="26">
        <f t="shared" si="7"/>
        <v>0</v>
      </c>
      <c r="AF27" s="26">
        <f t="shared" si="8"/>
        <v>0</v>
      </c>
      <c r="AG27" s="26">
        <f t="shared" si="9"/>
        <v>0</v>
      </c>
      <c r="AH27" s="26">
        <f t="shared" si="10"/>
        <v>0</v>
      </c>
      <c r="AI27" s="11" t="s">
        <v>58</v>
      </c>
      <c r="AJ27" s="26">
        <f t="shared" si="11"/>
        <v>0</v>
      </c>
      <c r="AK27" s="26">
        <f t="shared" si="12"/>
        <v>0</v>
      </c>
      <c r="AL27" s="26">
        <f t="shared" si="13"/>
        <v>0</v>
      </c>
      <c r="AN27" s="26">
        <v>12</v>
      </c>
      <c r="AO27" s="26">
        <f>G27*0</f>
        <v>0</v>
      </c>
      <c r="AP27" s="26">
        <f>G27*(1-0)</f>
        <v>0</v>
      </c>
      <c r="AQ27" s="29" t="s">
        <v>90</v>
      </c>
      <c r="AV27" s="26">
        <f t="shared" si="14"/>
        <v>0</v>
      </c>
      <c r="AW27" s="26">
        <f t="shared" si="15"/>
        <v>0</v>
      </c>
      <c r="AX27" s="26">
        <f t="shared" si="16"/>
        <v>0</v>
      </c>
      <c r="AY27" s="29" t="s">
        <v>108</v>
      </c>
      <c r="AZ27" s="29" t="s">
        <v>109</v>
      </c>
      <c r="BA27" s="11" t="s">
        <v>61</v>
      </c>
      <c r="BB27" s="30">
        <v>100001</v>
      </c>
      <c r="BC27" s="26">
        <f t="shared" si="17"/>
        <v>0</v>
      </c>
      <c r="BD27" s="26">
        <f t="shared" si="18"/>
        <v>0</v>
      </c>
      <c r="BE27" s="26">
        <v>0</v>
      </c>
      <c r="BF27" s="26">
        <f>27</f>
        <v>27</v>
      </c>
      <c r="BH27" s="26">
        <f t="shared" si="19"/>
        <v>0</v>
      </c>
      <c r="BI27" s="26">
        <f t="shared" si="20"/>
        <v>0</v>
      </c>
      <c r="BJ27" s="26">
        <f t="shared" si="21"/>
        <v>0</v>
      </c>
      <c r="BK27" s="26"/>
      <c r="BL27" s="26">
        <v>721</v>
      </c>
      <c r="BW27" s="26">
        <v>12</v>
      </c>
      <c r="BX27" s="5" t="s">
        <v>112</v>
      </c>
    </row>
    <row r="28" spans="1:76" x14ac:dyDescent="0.25">
      <c r="A28" s="2" t="s">
        <v>113</v>
      </c>
      <c r="B28" s="3" t="s">
        <v>114</v>
      </c>
      <c r="C28" s="96" t="s">
        <v>115</v>
      </c>
      <c r="D28" s="91"/>
      <c r="E28" s="3" t="s">
        <v>69</v>
      </c>
      <c r="F28" s="26">
        <v>288</v>
      </c>
      <c r="G28" s="27">
        <v>0</v>
      </c>
      <c r="H28" s="26">
        <f t="shared" si="0"/>
        <v>0</v>
      </c>
      <c r="I28" s="26">
        <f t="shared" si="1"/>
        <v>0</v>
      </c>
      <c r="J28" s="26">
        <f t="shared" si="2"/>
        <v>0</v>
      </c>
      <c r="K28" s="28" t="s">
        <v>65</v>
      </c>
      <c r="Z28" s="26">
        <f t="shared" si="3"/>
        <v>0</v>
      </c>
      <c r="AB28" s="26">
        <f t="shared" si="4"/>
        <v>0</v>
      </c>
      <c r="AC28" s="26">
        <f t="shared" si="5"/>
        <v>0</v>
      </c>
      <c r="AD28" s="26">
        <f t="shared" si="6"/>
        <v>0</v>
      </c>
      <c r="AE28" s="26">
        <f t="shared" si="7"/>
        <v>0</v>
      </c>
      <c r="AF28" s="26">
        <f t="shared" si="8"/>
        <v>0</v>
      </c>
      <c r="AG28" s="26">
        <f t="shared" si="9"/>
        <v>0</v>
      </c>
      <c r="AH28" s="26">
        <f t="shared" si="10"/>
        <v>0</v>
      </c>
      <c r="AI28" s="11" t="s">
        <v>58</v>
      </c>
      <c r="AJ28" s="26">
        <f t="shared" si="11"/>
        <v>0</v>
      </c>
      <c r="AK28" s="26">
        <f t="shared" si="12"/>
        <v>0</v>
      </c>
      <c r="AL28" s="26">
        <f t="shared" si="13"/>
        <v>0</v>
      </c>
      <c r="AN28" s="26">
        <v>12</v>
      </c>
      <c r="AO28" s="26">
        <f>G28*0</f>
        <v>0</v>
      </c>
      <c r="AP28" s="26">
        <f>G28*(1-0)</f>
        <v>0</v>
      </c>
      <c r="AQ28" s="29" t="s">
        <v>90</v>
      </c>
      <c r="AV28" s="26">
        <f t="shared" si="14"/>
        <v>0</v>
      </c>
      <c r="AW28" s="26">
        <f t="shared" si="15"/>
        <v>0</v>
      </c>
      <c r="AX28" s="26">
        <f t="shared" si="16"/>
        <v>0</v>
      </c>
      <c r="AY28" s="29" t="s">
        <v>108</v>
      </c>
      <c r="AZ28" s="29" t="s">
        <v>109</v>
      </c>
      <c r="BA28" s="11" t="s">
        <v>61</v>
      </c>
      <c r="BB28" s="30">
        <v>100001</v>
      </c>
      <c r="BC28" s="26">
        <f t="shared" si="17"/>
        <v>0</v>
      </c>
      <c r="BD28" s="26">
        <f t="shared" si="18"/>
        <v>0</v>
      </c>
      <c r="BE28" s="26">
        <v>0</v>
      </c>
      <c r="BF28" s="26">
        <f>28</f>
        <v>28</v>
      </c>
      <c r="BH28" s="26">
        <f t="shared" si="19"/>
        <v>0</v>
      </c>
      <c r="BI28" s="26">
        <f t="shared" si="20"/>
        <v>0</v>
      </c>
      <c r="BJ28" s="26">
        <f t="shared" si="21"/>
        <v>0</v>
      </c>
      <c r="BK28" s="26"/>
      <c r="BL28" s="26">
        <v>721</v>
      </c>
      <c r="BW28" s="26">
        <v>12</v>
      </c>
      <c r="BX28" s="5" t="s">
        <v>115</v>
      </c>
    </row>
    <row r="29" spans="1:76" x14ac:dyDescent="0.25">
      <c r="A29" s="2" t="s">
        <v>116</v>
      </c>
      <c r="B29" s="3" t="s">
        <v>117</v>
      </c>
      <c r="C29" s="96" t="s">
        <v>118</v>
      </c>
      <c r="D29" s="91"/>
      <c r="E29" s="3" t="s">
        <v>69</v>
      </c>
      <c r="F29" s="26">
        <v>36</v>
      </c>
      <c r="G29" s="27">
        <v>0</v>
      </c>
      <c r="H29" s="26">
        <f t="shared" si="0"/>
        <v>0</v>
      </c>
      <c r="I29" s="26">
        <f t="shared" si="1"/>
        <v>0</v>
      </c>
      <c r="J29" s="26">
        <f t="shared" si="2"/>
        <v>0</v>
      </c>
      <c r="K29" s="28" t="s">
        <v>65</v>
      </c>
      <c r="Z29" s="26">
        <f t="shared" si="3"/>
        <v>0</v>
      </c>
      <c r="AB29" s="26">
        <f t="shared" si="4"/>
        <v>0</v>
      </c>
      <c r="AC29" s="26">
        <f t="shared" si="5"/>
        <v>0</v>
      </c>
      <c r="AD29" s="26">
        <f t="shared" si="6"/>
        <v>0</v>
      </c>
      <c r="AE29" s="26">
        <f t="shared" si="7"/>
        <v>0</v>
      </c>
      <c r="AF29" s="26">
        <f t="shared" si="8"/>
        <v>0</v>
      </c>
      <c r="AG29" s="26">
        <f t="shared" si="9"/>
        <v>0</v>
      </c>
      <c r="AH29" s="26">
        <f t="shared" si="10"/>
        <v>0</v>
      </c>
      <c r="AI29" s="11" t="s">
        <v>58</v>
      </c>
      <c r="AJ29" s="26">
        <f t="shared" si="11"/>
        <v>0</v>
      </c>
      <c r="AK29" s="26">
        <f t="shared" si="12"/>
        <v>0</v>
      </c>
      <c r="AL29" s="26">
        <f t="shared" si="13"/>
        <v>0</v>
      </c>
      <c r="AN29" s="26">
        <v>12</v>
      </c>
      <c r="AO29" s="26">
        <f>G29*0</f>
        <v>0</v>
      </c>
      <c r="AP29" s="26">
        <f>G29*(1-0)</f>
        <v>0</v>
      </c>
      <c r="AQ29" s="29" t="s">
        <v>90</v>
      </c>
      <c r="AV29" s="26">
        <f t="shared" si="14"/>
        <v>0</v>
      </c>
      <c r="AW29" s="26">
        <f t="shared" si="15"/>
        <v>0</v>
      </c>
      <c r="AX29" s="26">
        <f t="shared" si="16"/>
        <v>0</v>
      </c>
      <c r="AY29" s="29" t="s">
        <v>108</v>
      </c>
      <c r="AZ29" s="29" t="s">
        <v>109</v>
      </c>
      <c r="BA29" s="11" t="s">
        <v>61</v>
      </c>
      <c r="BB29" s="30">
        <v>100001</v>
      </c>
      <c r="BC29" s="26">
        <f t="shared" si="17"/>
        <v>0</v>
      </c>
      <c r="BD29" s="26">
        <f t="shared" si="18"/>
        <v>0</v>
      </c>
      <c r="BE29" s="26">
        <v>0</v>
      </c>
      <c r="BF29" s="26">
        <f>29</f>
        <v>29</v>
      </c>
      <c r="BH29" s="26">
        <f t="shared" si="19"/>
        <v>0</v>
      </c>
      <c r="BI29" s="26">
        <f t="shared" si="20"/>
        <v>0</v>
      </c>
      <c r="BJ29" s="26">
        <f t="shared" si="21"/>
        <v>0</v>
      </c>
      <c r="BK29" s="26"/>
      <c r="BL29" s="26">
        <v>721</v>
      </c>
      <c r="BW29" s="26">
        <v>12</v>
      </c>
      <c r="BX29" s="5" t="s">
        <v>118</v>
      </c>
    </row>
    <row r="30" spans="1:76" x14ac:dyDescent="0.25">
      <c r="A30" s="2" t="s">
        <v>119</v>
      </c>
      <c r="B30" s="3" t="s">
        <v>117</v>
      </c>
      <c r="C30" s="96" t="s">
        <v>118</v>
      </c>
      <c r="D30" s="91"/>
      <c r="E30" s="3" t="s">
        <v>69</v>
      </c>
      <c r="F30" s="26">
        <v>286.8</v>
      </c>
      <c r="G30" s="27">
        <v>0</v>
      </c>
      <c r="H30" s="26">
        <f t="shared" si="0"/>
        <v>0</v>
      </c>
      <c r="I30" s="26">
        <f t="shared" si="1"/>
        <v>0</v>
      </c>
      <c r="J30" s="26">
        <f t="shared" si="2"/>
        <v>0</v>
      </c>
      <c r="K30" s="28" t="s">
        <v>65</v>
      </c>
      <c r="Z30" s="26">
        <f t="shared" si="3"/>
        <v>0</v>
      </c>
      <c r="AB30" s="26">
        <f t="shared" si="4"/>
        <v>0</v>
      </c>
      <c r="AC30" s="26">
        <f t="shared" si="5"/>
        <v>0</v>
      </c>
      <c r="AD30" s="26">
        <f t="shared" si="6"/>
        <v>0</v>
      </c>
      <c r="AE30" s="26">
        <f t="shared" si="7"/>
        <v>0</v>
      </c>
      <c r="AF30" s="26">
        <f t="shared" si="8"/>
        <v>0</v>
      </c>
      <c r="AG30" s="26">
        <f t="shared" si="9"/>
        <v>0</v>
      </c>
      <c r="AH30" s="26">
        <f t="shared" si="10"/>
        <v>0</v>
      </c>
      <c r="AI30" s="11" t="s">
        <v>58</v>
      </c>
      <c r="AJ30" s="26">
        <f t="shared" si="11"/>
        <v>0</v>
      </c>
      <c r="AK30" s="26">
        <f t="shared" si="12"/>
        <v>0</v>
      </c>
      <c r="AL30" s="26">
        <f t="shared" si="13"/>
        <v>0</v>
      </c>
      <c r="AN30" s="26">
        <v>12</v>
      </c>
      <c r="AO30" s="26">
        <f>G30*0</f>
        <v>0</v>
      </c>
      <c r="AP30" s="26">
        <f>G30*(1-0)</f>
        <v>0</v>
      </c>
      <c r="AQ30" s="29" t="s">
        <v>90</v>
      </c>
      <c r="AV30" s="26">
        <f t="shared" si="14"/>
        <v>0</v>
      </c>
      <c r="AW30" s="26">
        <f t="shared" si="15"/>
        <v>0</v>
      </c>
      <c r="AX30" s="26">
        <f t="shared" si="16"/>
        <v>0</v>
      </c>
      <c r="AY30" s="29" t="s">
        <v>108</v>
      </c>
      <c r="AZ30" s="29" t="s">
        <v>109</v>
      </c>
      <c r="BA30" s="11" t="s">
        <v>61</v>
      </c>
      <c r="BB30" s="30">
        <v>100001</v>
      </c>
      <c r="BC30" s="26">
        <f t="shared" si="17"/>
        <v>0</v>
      </c>
      <c r="BD30" s="26">
        <f t="shared" si="18"/>
        <v>0</v>
      </c>
      <c r="BE30" s="26">
        <v>0</v>
      </c>
      <c r="BF30" s="26">
        <f>30</f>
        <v>30</v>
      </c>
      <c r="BH30" s="26">
        <f t="shared" si="19"/>
        <v>0</v>
      </c>
      <c r="BI30" s="26">
        <f t="shared" si="20"/>
        <v>0</v>
      </c>
      <c r="BJ30" s="26">
        <f t="shared" si="21"/>
        <v>0</v>
      </c>
      <c r="BK30" s="26"/>
      <c r="BL30" s="26">
        <v>721</v>
      </c>
      <c r="BW30" s="26">
        <v>12</v>
      </c>
      <c r="BX30" s="5" t="s">
        <v>118</v>
      </c>
    </row>
    <row r="31" spans="1:76" x14ac:dyDescent="0.25">
      <c r="A31" s="2" t="s">
        <v>120</v>
      </c>
      <c r="B31" s="3" t="s">
        <v>121</v>
      </c>
      <c r="C31" s="96" t="s">
        <v>122</v>
      </c>
      <c r="D31" s="91"/>
      <c r="E31" s="3" t="s">
        <v>69</v>
      </c>
      <c r="F31" s="26">
        <v>72</v>
      </c>
      <c r="G31" s="27">
        <v>0</v>
      </c>
      <c r="H31" s="26">
        <f t="shared" si="0"/>
        <v>0</v>
      </c>
      <c r="I31" s="26">
        <f t="shared" si="1"/>
        <v>0</v>
      </c>
      <c r="J31" s="26">
        <f t="shared" si="2"/>
        <v>0</v>
      </c>
      <c r="K31" s="28" t="s">
        <v>65</v>
      </c>
      <c r="Z31" s="26">
        <f t="shared" si="3"/>
        <v>0</v>
      </c>
      <c r="AB31" s="26">
        <f t="shared" si="4"/>
        <v>0</v>
      </c>
      <c r="AC31" s="26">
        <f t="shared" si="5"/>
        <v>0</v>
      </c>
      <c r="AD31" s="26">
        <f t="shared" si="6"/>
        <v>0</v>
      </c>
      <c r="AE31" s="26">
        <f t="shared" si="7"/>
        <v>0</v>
      </c>
      <c r="AF31" s="26">
        <f t="shared" si="8"/>
        <v>0</v>
      </c>
      <c r="AG31" s="26">
        <f t="shared" si="9"/>
        <v>0</v>
      </c>
      <c r="AH31" s="26">
        <f t="shared" si="10"/>
        <v>0</v>
      </c>
      <c r="AI31" s="11" t="s">
        <v>58</v>
      </c>
      <c r="AJ31" s="26">
        <f t="shared" si="11"/>
        <v>0</v>
      </c>
      <c r="AK31" s="26">
        <f t="shared" si="12"/>
        <v>0</v>
      </c>
      <c r="AL31" s="26">
        <f t="shared" si="13"/>
        <v>0</v>
      </c>
      <c r="AN31" s="26">
        <v>12</v>
      </c>
      <c r="AO31" s="26">
        <f>G31*0.278442478</f>
        <v>0</v>
      </c>
      <c r="AP31" s="26">
        <f>G31*(1-0.278442478)</f>
        <v>0</v>
      </c>
      <c r="AQ31" s="29" t="s">
        <v>90</v>
      </c>
      <c r="AV31" s="26">
        <f t="shared" si="14"/>
        <v>0</v>
      </c>
      <c r="AW31" s="26">
        <f t="shared" si="15"/>
        <v>0</v>
      </c>
      <c r="AX31" s="26">
        <f t="shared" si="16"/>
        <v>0</v>
      </c>
      <c r="AY31" s="29" t="s">
        <v>108</v>
      </c>
      <c r="AZ31" s="29" t="s">
        <v>109</v>
      </c>
      <c r="BA31" s="11" t="s">
        <v>61</v>
      </c>
      <c r="BB31" s="30">
        <v>100001</v>
      </c>
      <c r="BC31" s="26">
        <f t="shared" si="17"/>
        <v>0</v>
      </c>
      <c r="BD31" s="26">
        <f t="shared" si="18"/>
        <v>0</v>
      </c>
      <c r="BE31" s="26">
        <v>0</v>
      </c>
      <c r="BF31" s="26">
        <f>31</f>
        <v>31</v>
      </c>
      <c r="BH31" s="26">
        <f t="shared" si="19"/>
        <v>0</v>
      </c>
      <c r="BI31" s="26">
        <f t="shared" si="20"/>
        <v>0</v>
      </c>
      <c r="BJ31" s="26">
        <f t="shared" si="21"/>
        <v>0</v>
      </c>
      <c r="BK31" s="26"/>
      <c r="BL31" s="26">
        <v>721</v>
      </c>
      <c r="BW31" s="26">
        <v>12</v>
      </c>
      <c r="BX31" s="5" t="s">
        <v>122</v>
      </c>
    </row>
    <row r="32" spans="1:76" x14ac:dyDescent="0.25">
      <c r="A32" s="2" t="s">
        <v>123</v>
      </c>
      <c r="B32" s="3" t="s">
        <v>124</v>
      </c>
      <c r="C32" s="96" t="s">
        <v>125</v>
      </c>
      <c r="D32" s="91"/>
      <c r="E32" s="3" t="s">
        <v>69</v>
      </c>
      <c r="F32" s="26">
        <v>216</v>
      </c>
      <c r="G32" s="27">
        <v>0</v>
      </c>
      <c r="H32" s="26">
        <f t="shared" si="0"/>
        <v>0</v>
      </c>
      <c r="I32" s="26">
        <f t="shared" si="1"/>
        <v>0</v>
      </c>
      <c r="J32" s="26">
        <f t="shared" si="2"/>
        <v>0</v>
      </c>
      <c r="K32" s="28" t="s">
        <v>65</v>
      </c>
      <c r="Z32" s="26">
        <f t="shared" si="3"/>
        <v>0</v>
      </c>
      <c r="AB32" s="26">
        <f t="shared" si="4"/>
        <v>0</v>
      </c>
      <c r="AC32" s="26">
        <f t="shared" si="5"/>
        <v>0</v>
      </c>
      <c r="AD32" s="26">
        <f t="shared" si="6"/>
        <v>0</v>
      </c>
      <c r="AE32" s="26">
        <f t="shared" si="7"/>
        <v>0</v>
      </c>
      <c r="AF32" s="26">
        <f t="shared" si="8"/>
        <v>0</v>
      </c>
      <c r="AG32" s="26">
        <f t="shared" si="9"/>
        <v>0</v>
      </c>
      <c r="AH32" s="26">
        <f t="shared" si="10"/>
        <v>0</v>
      </c>
      <c r="AI32" s="11" t="s">
        <v>58</v>
      </c>
      <c r="AJ32" s="26">
        <f t="shared" si="11"/>
        <v>0</v>
      </c>
      <c r="AK32" s="26">
        <f t="shared" si="12"/>
        <v>0</v>
      </c>
      <c r="AL32" s="26">
        <f t="shared" si="13"/>
        <v>0</v>
      </c>
      <c r="AN32" s="26">
        <v>12</v>
      </c>
      <c r="AO32" s="26">
        <f>G32*0.288317757</f>
        <v>0</v>
      </c>
      <c r="AP32" s="26">
        <f>G32*(1-0.288317757)</f>
        <v>0</v>
      </c>
      <c r="AQ32" s="29" t="s">
        <v>90</v>
      </c>
      <c r="AV32" s="26">
        <f t="shared" si="14"/>
        <v>0</v>
      </c>
      <c r="AW32" s="26">
        <f t="shared" si="15"/>
        <v>0</v>
      </c>
      <c r="AX32" s="26">
        <f t="shared" si="16"/>
        <v>0</v>
      </c>
      <c r="AY32" s="29" t="s">
        <v>108</v>
      </c>
      <c r="AZ32" s="29" t="s">
        <v>109</v>
      </c>
      <c r="BA32" s="11" t="s">
        <v>61</v>
      </c>
      <c r="BB32" s="30">
        <v>100001</v>
      </c>
      <c r="BC32" s="26">
        <f t="shared" si="17"/>
        <v>0</v>
      </c>
      <c r="BD32" s="26">
        <f t="shared" si="18"/>
        <v>0</v>
      </c>
      <c r="BE32" s="26">
        <v>0</v>
      </c>
      <c r="BF32" s="26">
        <f>32</f>
        <v>32</v>
      </c>
      <c r="BH32" s="26">
        <f t="shared" si="19"/>
        <v>0</v>
      </c>
      <c r="BI32" s="26">
        <f t="shared" si="20"/>
        <v>0</v>
      </c>
      <c r="BJ32" s="26">
        <f t="shared" si="21"/>
        <v>0</v>
      </c>
      <c r="BK32" s="26"/>
      <c r="BL32" s="26">
        <v>721</v>
      </c>
      <c r="BW32" s="26">
        <v>12</v>
      </c>
      <c r="BX32" s="5" t="s">
        <v>125</v>
      </c>
    </row>
    <row r="33" spans="1:76" x14ac:dyDescent="0.25">
      <c r="A33" s="2" t="s">
        <v>126</v>
      </c>
      <c r="B33" s="3" t="s">
        <v>127</v>
      </c>
      <c r="C33" s="96" t="s">
        <v>128</v>
      </c>
      <c r="D33" s="91"/>
      <c r="E33" s="3" t="s">
        <v>69</v>
      </c>
      <c r="F33" s="26">
        <v>36</v>
      </c>
      <c r="G33" s="27">
        <v>0</v>
      </c>
      <c r="H33" s="26">
        <f t="shared" si="0"/>
        <v>0</v>
      </c>
      <c r="I33" s="26">
        <f t="shared" si="1"/>
        <v>0</v>
      </c>
      <c r="J33" s="26">
        <f t="shared" si="2"/>
        <v>0</v>
      </c>
      <c r="K33" s="28" t="s">
        <v>65</v>
      </c>
      <c r="Z33" s="26">
        <f t="shared" si="3"/>
        <v>0</v>
      </c>
      <c r="AB33" s="26">
        <f t="shared" si="4"/>
        <v>0</v>
      </c>
      <c r="AC33" s="26">
        <f t="shared" si="5"/>
        <v>0</v>
      </c>
      <c r="AD33" s="26">
        <f t="shared" si="6"/>
        <v>0</v>
      </c>
      <c r="AE33" s="26">
        <f t="shared" si="7"/>
        <v>0</v>
      </c>
      <c r="AF33" s="26">
        <f t="shared" si="8"/>
        <v>0</v>
      </c>
      <c r="AG33" s="26">
        <f t="shared" si="9"/>
        <v>0</v>
      </c>
      <c r="AH33" s="26">
        <f t="shared" si="10"/>
        <v>0</v>
      </c>
      <c r="AI33" s="11" t="s">
        <v>58</v>
      </c>
      <c r="AJ33" s="26">
        <f t="shared" si="11"/>
        <v>0</v>
      </c>
      <c r="AK33" s="26">
        <f t="shared" si="12"/>
        <v>0</v>
      </c>
      <c r="AL33" s="26">
        <f t="shared" si="13"/>
        <v>0</v>
      </c>
      <c r="AN33" s="26">
        <v>12</v>
      </c>
      <c r="AO33" s="26">
        <f>G33*0.262895257</f>
        <v>0</v>
      </c>
      <c r="AP33" s="26">
        <f>G33*(1-0.262895257)</f>
        <v>0</v>
      </c>
      <c r="AQ33" s="29" t="s">
        <v>90</v>
      </c>
      <c r="AV33" s="26">
        <f t="shared" si="14"/>
        <v>0</v>
      </c>
      <c r="AW33" s="26">
        <f t="shared" si="15"/>
        <v>0</v>
      </c>
      <c r="AX33" s="26">
        <f t="shared" si="16"/>
        <v>0</v>
      </c>
      <c r="AY33" s="29" t="s">
        <v>108</v>
      </c>
      <c r="AZ33" s="29" t="s">
        <v>109</v>
      </c>
      <c r="BA33" s="11" t="s">
        <v>61</v>
      </c>
      <c r="BB33" s="30">
        <v>100001</v>
      </c>
      <c r="BC33" s="26">
        <f t="shared" si="17"/>
        <v>0</v>
      </c>
      <c r="BD33" s="26">
        <f t="shared" si="18"/>
        <v>0</v>
      </c>
      <c r="BE33" s="26">
        <v>0</v>
      </c>
      <c r="BF33" s="26">
        <f>33</f>
        <v>33</v>
      </c>
      <c r="BH33" s="26">
        <f t="shared" si="19"/>
        <v>0</v>
      </c>
      <c r="BI33" s="26">
        <f t="shared" si="20"/>
        <v>0</v>
      </c>
      <c r="BJ33" s="26">
        <f t="shared" si="21"/>
        <v>0</v>
      </c>
      <c r="BK33" s="26"/>
      <c r="BL33" s="26">
        <v>721</v>
      </c>
      <c r="BW33" s="26">
        <v>12</v>
      </c>
      <c r="BX33" s="5" t="s">
        <v>128</v>
      </c>
    </row>
    <row r="34" spans="1:76" x14ac:dyDescent="0.25">
      <c r="A34" s="2" t="s">
        <v>129</v>
      </c>
      <c r="B34" s="3" t="s">
        <v>54</v>
      </c>
      <c r="C34" s="96" t="s">
        <v>130</v>
      </c>
      <c r="D34" s="91"/>
      <c r="E34" s="3" t="s">
        <v>93</v>
      </c>
      <c r="F34" s="26">
        <v>72</v>
      </c>
      <c r="G34" s="27">
        <v>0</v>
      </c>
      <c r="H34" s="26">
        <f t="shared" si="0"/>
        <v>0</v>
      </c>
      <c r="I34" s="26">
        <f t="shared" si="1"/>
        <v>0</v>
      </c>
      <c r="J34" s="26">
        <f t="shared" si="2"/>
        <v>0</v>
      </c>
      <c r="K34" s="28" t="s">
        <v>57</v>
      </c>
      <c r="Z34" s="26">
        <f t="shared" si="3"/>
        <v>0</v>
      </c>
      <c r="AB34" s="26">
        <f t="shared" si="4"/>
        <v>0</v>
      </c>
      <c r="AC34" s="26">
        <f t="shared" si="5"/>
        <v>0</v>
      </c>
      <c r="AD34" s="26">
        <f t="shared" si="6"/>
        <v>0</v>
      </c>
      <c r="AE34" s="26">
        <f t="shared" si="7"/>
        <v>0</v>
      </c>
      <c r="AF34" s="26">
        <f t="shared" si="8"/>
        <v>0</v>
      </c>
      <c r="AG34" s="26">
        <f t="shared" si="9"/>
        <v>0</v>
      </c>
      <c r="AH34" s="26">
        <f t="shared" si="10"/>
        <v>0</v>
      </c>
      <c r="AI34" s="11" t="s">
        <v>58</v>
      </c>
      <c r="AJ34" s="26">
        <f t="shared" si="11"/>
        <v>0</v>
      </c>
      <c r="AK34" s="26">
        <f t="shared" si="12"/>
        <v>0</v>
      </c>
      <c r="AL34" s="26">
        <f t="shared" si="13"/>
        <v>0</v>
      </c>
      <c r="AN34" s="26">
        <v>12</v>
      </c>
      <c r="AO34" s="26">
        <f>G34*1</f>
        <v>0</v>
      </c>
      <c r="AP34" s="26">
        <f>G34*(1-1)</f>
        <v>0</v>
      </c>
      <c r="AQ34" s="29" t="s">
        <v>90</v>
      </c>
      <c r="AV34" s="26">
        <f t="shared" si="14"/>
        <v>0</v>
      </c>
      <c r="AW34" s="26">
        <f t="shared" si="15"/>
        <v>0</v>
      </c>
      <c r="AX34" s="26">
        <f t="shared" si="16"/>
        <v>0</v>
      </c>
      <c r="AY34" s="29" t="s">
        <v>108</v>
      </c>
      <c r="AZ34" s="29" t="s">
        <v>109</v>
      </c>
      <c r="BA34" s="11" t="s">
        <v>61</v>
      </c>
      <c r="BC34" s="26">
        <f t="shared" si="17"/>
        <v>0</v>
      </c>
      <c r="BD34" s="26">
        <f t="shared" si="18"/>
        <v>0</v>
      </c>
      <c r="BE34" s="26">
        <v>0</v>
      </c>
      <c r="BF34" s="26">
        <f>34</f>
        <v>34</v>
      </c>
      <c r="BH34" s="26">
        <f t="shared" si="19"/>
        <v>0</v>
      </c>
      <c r="BI34" s="26">
        <f t="shared" si="20"/>
        <v>0</v>
      </c>
      <c r="BJ34" s="26">
        <f t="shared" si="21"/>
        <v>0</v>
      </c>
      <c r="BK34" s="26"/>
      <c r="BL34" s="26">
        <v>721</v>
      </c>
      <c r="BW34" s="26">
        <v>12</v>
      </c>
      <c r="BX34" s="5" t="s">
        <v>130</v>
      </c>
    </row>
    <row r="35" spans="1:76" x14ac:dyDescent="0.25">
      <c r="A35" s="2" t="s">
        <v>131</v>
      </c>
      <c r="B35" s="3" t="s">
        <v>132</v>
      </c>
      <c r="C35" s="96" t="s">
        <v>133</v>
      </c>
      <c r="D35" s="91"/>
      <c r="E35" s="3" t="s">
        <v>69</v>
      </c>
      <c r="F35" s="26">
        <v>216.8</v>
      </c>
      <c r="G35" s="27">
        <v>0</v>
      </c>
      <c r="H35" s="26">
        <f t="shared" si="0"/>
        <v>0</v>
      </c>
      <c r="I35" s="26">
        <f t="shared" si="1"/>
        <v>0</v>
      </c>
      <c r="J35" s="26">
        <f t="shared" si="2"/>
        <v>0</v>
      </c>
      <c r="K35" s="28" t="s">
        <v>65</v>
      </c>
      <c r="Z35" s="26">
        <f t="shared" si="3"/>
        <v>0</v>
      </c>
      <c r="AB35" s="26">
        <f t="shared" si="4"/>
        <v>0</v>
      </c>
      <c r="AC35" s="26">
        <f t="shared" si="5"/>
        <v>0</v>
      </c>
      <c r="AD35" s="26">
        <f t="shared" si="6"/>
        <v>0</v>
      </c>
      <c r="AE35" s="26">
        <f t="shared" si="7"/>
        <v>0</v>
      </c>
      <c r="AF35" s="26">
        <f t="shared" si="8"/>
        <v>0</v>
      </c>
      <c r="AG35" s="26">
        <f t="shared" si="9"/>
        <v>0</v>
      </c>
      <c r="AH35" s="26">
        <f t="shared" si="10"/>
        <v>0</v>
      </c>
      <c r="AI35" s="11" t="s">
        <v>58</v>
      </c>
      <c r="AJ35" s="26">
        <f t="shared" si="11"/>
        <v>0</v>
      </c>
      <c r="AK35" s="26">
        <f t="shared" si="12"/>
        <v>0</v>
      </c>
      <c r="AL35" s="26">
        <f t="shared" si="13"/>
        <v>0</v>
      </c>
      <c r="AN35" s="26">
        <v>12</v>
      </c>
      <c r="AO35" s="26">
        <f>G35*0.372245658</f>
        <v>0</v>
      </c>
      <c r="AP35" s="26">
        <f>G35*(1-0.372245658)</f>
        <v>0</v>
      </c>
      <c r="AQ35" s="29" t="s">
        <v>90</v>
      </c>
      <c r="AV35" s="26">
        <f t="shared" si="14"/>
        <v>0</v>
      </c>
      <c r="AW35" s="26">
        <f t="shared" si="15"/>
        <v>0</v>
      </c>
      <c r="AX35" s="26">
        <f t="shared" si="16"/>
        <v>0</v>
      </c>
      <c r="AY35" s="29" t="s">
        <v>108</v>
      </c>
      <c r="AZ35" s="29" t="s">
        <v>109</v>
      </c>
      <c r="BA35" s="11" t="s">
        <v>61</v>
      </c>
      <c r="BB35" s="30">
        <v>100001</v>
      </c>
      <c r="BC35" s="26">
        <f t="shared" si="17"/>
        <v>0</v>
      </c>
      <c r="BD35" s="26">
        <f t="shared" si="18"/>
        <v>0</v>
      </c>
      <c r="BE35" s="26">
        <v>0</v>
      </c>
      <c r="BF35" s="26">
        <f>35</f>
        <v>35</v>
      </c>
      <c r="BH35" s="26">
        <f t="shared" si="19"/>
        <v>0</v>
      </c>
      <c r="BI35" s="26">
        <f t="shared" si="20"/>
        <v>0</v>
      </c>
      <c r="BJ35" s="26">
        <f t="shared" si="21"/>
        <v>0</v>
      </c>
      <c r="BK35" s="26"/>
      <c r="BL35" s="26">
        <v>721</v>
      </c>
      <c r="BW35" s="26">
        <v>12</v>
      </c>
      <c r="BX35" s="5" t="s">
        <v>133</v>
      </c>
    </row>
    <row r="36" spans="1:76" x14ac:dyDescent="0.25">
      <c r="A36" s="2" t="s">
        <v>134</v>
      </c>
      <c r="B36" s="3" t="s">
        <v>135</v>
      </c>
      <c r="C36" s="96" t="s">
        <v>136</v>
      </c>
      <c r="D36" s="91"/>
      <c r="E36" s="3" t="s">
        <v>69</v>
      </c>
      <c r="F36" s="26">
        <v>70</v>
      </c>
      <c r="G36" s="27">
        <v>0</v>
      </c>
      <c r="H36" s="26">
        <f t="shared" si="0"/>
        <v>0</v>
      </c>
      <c r="I36" s="26">
        <f t="shared" si="1"/>
        <v>0</v>
      </c>
      <c r="J36" s="26">
        <f t="shared" si="2"/>
        <v>0</v>
      </c>
      <c r="K36" s="28" t="s">
        <v>65</v>
      </c>
      <c r="Z36" s="26">
        <f t="shared" si="3"/>
        <v>0</v>
      </c>
      <c r="AB36" s="26">
        <f t="shared" si="4"/>
        <v>0</v>
      </c>
      <c r="AC36" s="26">
        <f t="shared" si="5"/>
        <v>0</v>
      </c>
      <c r="AD36" s="26">
        <f t="shared" si="6"/>
        <v>0</v>
      </c>
      <c r="AE36" s="26">
        <f t="shared" si="7"/>
        <v>0</v>
      </c>
      <c r="AF36" s="26">
        <f t="shared" si="8"/>
        <v>0</v>
      </c>
      <c r="AG36" s="26">
        <f t="shared" si="9"/>
        <v>0</v>
      </c>
      <c r="AH36" s="26">
        <f t="shared" si="10"/>
        <v>0</v>
      </c>
      <c r="AI36" s="11" t="s">
        <v>58</v>
      </c>
      <c r="AJ36" s="26">
        <f t="shared" si="11"/>
        <v>0</v>
      </c>
      <c r="AK36" s="26">
        <f t="shared" si="12"/>
        <v>0</v>
      </c>
      <c r="AL36" s="26">
        <f t="shared" si="13"/>
        <v>0</v>
      </c>
      <c r="AN36" s="26">
        <v>12</v>
      </c>
      <c r="AO36" s="26">
        <f>G36*0.509559859</f>
        <v>0</v>
      </c>
      <c r="AP36" s="26">
        <f>G36*(1-0.509559859)</f>
        <v>0</v>
      </c>
      <c r="AQ36" s="29" t="s">
        <v>90</v>
      </c>
      <c r="AV36" s="26">
        <f t="shared" si="14"/>
        <v>0</v>
      </c>
      <c r="AW36" s="26">
        <f t="shared" si="15"/>
        <v>0</v>
      </c>
      <c r="AX36" s="26">
        <f t="shared" si="16"/>
        <v>0</v>
      </c>
      <c r="AY36" s="29" t="s">
        <v>108</v>
      </c>
      <c r="AZ36" s="29" t="s">
        <v>109</v>
      </c>
      <c r="BA36" s="11" t="s">
        <v>61</v>
      </c>
      <c r="BB36" s="30">
        <v>100001</v>
      </c>
      <c r="BC36" s="26">
        <f t="shared" si="17"/>
        <v>0</v>
      </c>
      <c r="BD36" s="26">
        <f t="shared" si="18"/>
        <v>0</v>
      </c>
      <c r="BE36" s="26">
        <v>0</v>
      </c>
      <c r="BF36" s="26">
        <f>36</f>
        <v>36</v>
      </c>
      <c r="BH36" s="26">
        <f t="shared" si="19"/>
        <v>0</v>
      </c>
      <c r="BI36" s="26">
        <f t="shared" si="20"/>
        <v>0</v>
      </c>
      <c r="BJ36" s="26">
        <f t="shared" si="21"/>
        <v>0</v>
      </c>
      <c r="BK36" s="26"/>
      <c r="BL36" s="26">
        <v>721</v>
      </c>
      <c r="BW36" s="26">
        <v>12</v>
      </c>
      <c r="BX36" s="5" t="s">
        <v>136</v>
      </c>
    </row>
    <row r="37" spans="1:76" x14ac:dyDescent="0.25">
      <c r="A37" s="2" t="s">
        <v>137</v>
      </c>
      <c r="B37" s="3" t="s">
        <v>138</v>
      </c>
      <c r="C37" s="96" t="s">
        <v>139</v>
      </c>
      <c r="D37" s="91"/>
      <c r="E37" s="3" t="s">
        <v>93</v>
      </c>
      <c r="F37" s="26">
        <v>72</v>
      </c>
      <c r="G37" s="27">
        <v>0</v>
      </c>
      <c r="H37" s="26">
        <f t="shared" si="0"/>
        <v>0</v>
      </c>
      <c r="I37" s="26">
        <f t="shared" si="1"/>
        <v>0</v>
      </c>
      <c r="J37" s="26">
        <f t="shared" si="2"/>
        <v>0</v>
      </c>
      <c r="K37" s="28" t="s">
        <v>65</v>
      </c>
      <c r="Z37" s="26">
        <f t="shared" si="3"/>
        <v>0</v>
      </c>
      <c r="AB37" s="26">
        <f t="shared" si="4"/>
        <v>0</v>
      </c>
      <c r="AC37" s="26">
        <f t="shared" si="5"/>
        <v>0</v>
      </c>
      <c r="AD37" s="26">
        <f t="shared" si="6"/>
        <v>0</v>
      </c>
      <c r="AE37" s="26">
        <f t="shared" si="7"/>
        <v>0</v>
      </c>
      <c r="AF37" s="26">
        <f t="shared" si="8"/>
        <v>0</v>
      </c>
      <c r="AG37" s="26">
        <f t="shared" si="9"/>
        <v>0</v>
      </c>
      <c r="AH37" s="26">
        <f t="shared" si="10"/>
        <v>0</v>
      </c>
      <c r="AI37" s="11" t="s">
        <v>58</v>
      </c>
      <c r="AJ37" s="26">
        <f t="shared" si="11"/>
        <v>0</v>
      </c>
      <c r="AK37" s="26">
        <f t="shared" si="12"/>
        <v>0</v>
      </c>
      <c r="AL37" s="26">
        <f t="shared" si="13"/>
        <v>0</v>
      </c>
      <c r="AN37" s="26">
        <v>12</v>
      </c>
      <c r="AO37" s="26">
        <f t="shared" ref="AO37:AO42" si="22">G37*0</f>
        <v>0</v>
      </c>
      <c r="AP37" s="26">
        <f t="shared" ref="AP37:AP42" si="23">G37*(1-0)</f>
        <v>0</v>
      </c>
      <c r="AQ37" s="29" t="s">
        <v>90</v>
      </c>
      <c r="AV37" s="26">
        <f t="shared" si="14"/>
        <v>0</v>
      </c>
      <c r="AW37" s="26">
        <f t="shared" si="15"/>
        <v>0</v>
      </c>
      <c r="AX37" s="26">
        <f t="shared" si="16"/>
        <v>0</v>
      </c>
      <c r="AY37" s="29" t="s">
        <v>108</v>
      </c>
      <c r="AZ37" s="29" t="s">
        <v>109</v>
      </c>
      <c r="BA37" s="11" t="s">
        <v>61</v>
      </c>
      <c r="BB37" s="30">
        <v>100001</v>
      </c>
      <c r="BC37" s="26">
        <f t="shared" si="17"/>
        <v>0</v>
      </c>
      <c r="BD37" s="26">
        <f t="shared" si="18"/>
        <v>0</v>
      </c>
      <c r="BE37" s="26">
        <v>0</v>
      </c>
      <c r="BF37" s="26">
        <f>37</f>
        <v>37</v>
      </c>
      <c r="BH37" s="26">
        <f t="shared" si="19"/>
        <v>0</v>
      </c>
      <c r="BI37" s="26">
        <f t="shared" si="20"/>
        <v>0</v>
      </c>
      <c r="BJ37" s="26">
        <f t="shared" si="21"/>
        <v>0</v>
      </c>
      <c r="BK37" s="26"/>
      <c r="BL37" s="26">
        <v>721</v>
      </c>
      <c r="BW37" s="26">
        <v>12</v>
      </c>
      <c r="BX37" s="5" t="s">
        <v>139</v>
      </c>
    </row>
    <row r="38" spans="1:76" x14ac:dyDescent="0.25">
      <c r="A38" s="2" t="s">
        <v>140</v>
      </c>
      <c r="B38" s="3" t="s">
        <v>141</v>
      </c>
      <c r="C38" s="96" t="s">
        <v>142</v>
      </c>
      <c r="D38" s="91"/>
      <c r="E38" s="3" t="s">
        <v>93</v>
      </c>
      <c r="F38" s="26">
        <v>144</v>
      </c>
      <c r="G38" s="27">
        <v>0</v>
      </c>
      <c r="H38" s="26">
        <f t="shared" si="0"/>
        <v>0</v>
      </c>
      <c r="I38" s="26">
        <f t="shared" si="1"/>
        <v>0</v>
      </c>
      <c r="J38" s="26">
        <f t="shared" si="2"/>
        <v>0</v>
      </c>
      <c r="K38" s="28" t="s">
        <v>65</v>
      </c>
      <c r="Z38" s="26">
        <f t="shared" si="3"/>
        <v>0</v>
      </c>
      <c r="AB38" s="26">
        <f t="shared" si="4"/>
        <v>0</v>
      </c>
      <c r="AC38" s="26">
        <f t="shared" si="5"/>
        <v>0</v>
      </c>
      <c r="AD38" s="26">
        <f t="shared" si="6"/>
        <v>0</v>
      </c>
      <c r="AE38" s="26">
        <f t="shared" si="7"/>
        <v>0</v>
      </c>
      <c r="AF38" s="26">
        <f t="shared" si="8"/>
        <v>0</v>
      </c>
      <c r="AG38" s="26">
        <f t="shared" si="9"/>
        <v>0</v>
      </c>
      <c r="AH38" s="26">
        <f t="shared" si="10"/>
        <v>0</v>
      </c>
      <c r="AI38" s="11" t="s">
        <v>58</v>
      </c>
      <c r="AJ38" s="26">
        <f t="shared" si="11"/>
        <v>0</v>
      </c>
      <c r="AK38" s="26">
        <f t="shared" si="12"/>
        <v>0</v>
      </c>
      <c r="AL38" s="26">
        <f t="shared" si="13"/>
        <v>0</v>
      </c>
      <c r="AN38" s="26">
        <v>12</v>
      </c>
      <c r="AO38" s="26">
        <f t="shared" si="22"/>
        <v>0</v>
      </c>
      <c r="AP38" s="26">
        <f t="shared" si="23"/>
        <v>0</v>
      </c>
      <c r="AQ38" s="29" t="s">
        <v>90</v>
      </c>
      <c r="AV38" s="26">
        <f t="shared" si="14"/>
        <v>0</v>
      </c>
      <c r="AW38" s="26">
        <f t="shared" si="15"/>
        <v>0</v>
      </c>
      <c r="AX38" s="26">
        <f t="shared" si="16"/>
        <v>0</v>
      </c>
      <c r="AY38" s="29" t="s">
        <v>108</v>
      </c>
      <c r="AZ38" s="29" t="s">
        <v>109</v>
      </c>
      <c r="BA38" s="11" t="s">
        <v>61</v>
      </c>
      <c r="BB38" s="30">
        <v>100001</v>
      </c>
      <c r="BC38" s="26">
        <f t="shared" si="17"/>
        <v>0</v>
      </c>
      <c r="BD38" s="26">
        <f t="shared" si="18"/>
        <v>0</v>
      </c>
      <c r="BE38" s="26">
        <v>0</v>
      </c>
      <c r="BF38" s="26">
        <f>38</f>
        <v>38</v>
      </c>
      <c r="BH38" s="26">
        <f t="shared" si="19"/>
        <v>0</v>
      </c>
      <c r="BI38" s="26">
        <f t="shared" si="20"/>
        <v>0</v>
      </c>
      <c r="BJ38" s="26">
        <f t="shared" si="21"/>
        <v>0</v>
      </c>
      <c r="BK38" s="26"/>
      <c r="BL38" s="26">
        <v>721</v>
      </c>
      <c r="BW38" s="26">
        <v>12</v>
      </c>
      <c r="BX38" s="5" t="s">
        <v>142</v>
      </c>
    </row>
    <row r="39" spans="1:76" x14ac:dyDescent="0.25">
      <c r="A39" s="2" t="s">
        <v>143</v>
      </c>
      <c r="B39" s="3" t="s">
        <v>144</v>
      </c>
      <c r="C39" s="96" t="s">
        <v>145</v>
      </c>
      <c r="D39" s="91"/>
      <c r="E39" s="3" t="s">
        <v>93</v>
      </c>
      <c r="F39" s="26">
        <v>72</v>
      </c>
      <c r="G39" s="27">
        <v>0</v>
      </c>
      <c r="H39" s="26">
        <f t="shared" si="0"/>
        <v>0</v>
      </c>
      <c r="I39" s="26">
        <f t="shared" si="1"/>
        <v>0</v>
      </c>
      <c r="J39" s="26">
        <f t="shared" si="2"/>
        <v>0</v>
      </c>
      <c r="K39" s="28" t="s">
        <v>65</v>
      </c>
      <c r="Z39" s="26">
        <f t="shared" si="3"/>
        <v>0</v>
      </c>
      <c r="AB39" s="26">
        <f t="shared" si="4"/>
        <v>0</v>
      </c>
      <c r="AC39" s="26">
        <f t="shared" si="5"/>
        <v>0</v>
      </c>
      <c r="AD39" s="26">
        <f t="shared" si="6"/>
        <v>0</v>
      </c>
      <c r="AE39" s="26">
        <f t="shared" si="7"/>
        <v>0</v>
      </c>
      <c r="AF39" s="26">
        <f t="shared" si="8"/>
        <v>0</v>
      </c>
      <c r="AG39" s="26">
        <f t="shared" si="9"/>
        <v>0</v>
      </c>
      <c r="AH39" s="26">
        <f t="shared" si="10"/>
        <v>0</v>
      </c>
      <c r="AI39" s="11" t="s">
        <v>58</v>
      </c>
      <c r="AJ39" s="26">
        <f t="shared" si="11"/>
        <v>0</v>
      </c>
      <c r="AK39" s="26">
        <f t="shared" si="12"/>
        <v>0</v>
      </c>
      <c r="AL39" s="26">
        <f t="shared" si="13"/>
        <v>0</v>
      </c>
      <c r="AN39" s="26">
        <v>12</v>
      </c>
      <c r="AO39" s="26">
        <f t="shared" si="22"/>
        <v>0</v>
      </c>
      <c r="AP39" s="26">
        <f t="shared" si="23"/>
        <v>0</v>
      </c>
      <c r="AQ39" s="29" t="s">
        <v>90</v>
      </c>
      <c r="AV39" s="26">
        <f t="shared" si="14"/>
        <v>0</v>
      </c>
      <c r="AW39" s="26">
        <f t="shared" si="15"/>
        <v>0</v>
      </c>
      <c r="AX39" s="26">
        <f t="shared" si="16"/>
        <v>0</v>
      </c>
      <c r="AY39" s="29" t="s">
        <v>108</v>
      </c>
      <c r="AZ39" s="29" t="s">
        <v>109</v>
      </c>
      <c r="BA39" s="11" t="s">
        <v>61</v>
      </c>
      <c r="BB39" s="30">
        <v>100001</v>
      </c>
      <c r="BC39" s="26">
        <f t="shared" si="17"/>
        <v>0</v>
      </c>
      <c r="BD39" s="26">
        <f t="shared" si="18"/>
        <v>0</v>
      </c>
      <c r="BE39" s="26">
        <v>0</v>
      </c>
      <c r="BF39" s="26">
        <f>39</f>
        <v>39</v>
      </c>
      <c r="BH39" s="26">
        <f t="shared" si="19"/>
        <v>0</v>
      </c>
      <c r="BI39" s="26">
        <f t="shared" si="20"/>
        <v>0</v>
      </c>
      <c r="BJ39" s="26">
        <f t="shared" si="21"/>
        <v>0</v>
      </c>
      <c r="BK39" s="26"/>
      <c r="BL39" s="26">
        <v>721</v>
      </c>
      <c r="BW39" s="26">
        <v>12</v>
      </c>
      <c r="BX39" s="5" t="s">
        <v>145</v>
      </c>
    </row>
    <row r="40" spans="1:76" x14ac:dyDescent="0.25">
      <c r="A40" s="2" t="s">
        <v>146</v>
      </c>
      <c r="B40" s="3" t="s">
        <v>147</v>
      </c>
      <c r="C40" s="96" t="s">
        <v>148</v>
      </c>
      <c r="D40" s="91"/>
      <c r="E40" s="3" t="s">
        <v>69</v>
      </c>
      <c r="F40" s="26">
        <v>610.79999999999995</v>
      </c>
      <c r="G40" s="27">
        <v>0</v>
      </c>
      <c r="H40" s="26">
        <f t="shared" si="0"/>
        <v>0</v>
      </c>
      <c r="I40" s="26">
        <f t="shared" si="1"/>
        <v>0</v>
      </c>
      <c r="J40" s="26">
        <f t="shared" si="2"/>
        <v>0</v>
      </c>
      <c r="K40" s="28" t="s">
        <v>65</v>
      </c>
      <c r="Z40" s="26">
        <f t="shared" si="3"/>
        <v>0</v>
      </c>
      <c r="AB40" s="26">
        <f t="shared" si="4"/>
        <v>0</v>
      </c>
      <c r="AC40" s="26">
        <f t="shared" si="5"/>
        <v>0</v>
      </c>
      <c r="AD40" s="26">
        <f t="shared" si="6"/>
        <v>0</v>
      </c>
      <c r="AE40" s="26">
        <f t="shared" si="7"/>
        <v>0</v>
      </c>
      <c r="AF40" s="26">
        <f t="shared" si="8"/>
        <v>0</v>
      </c>
      <c r="AG40" s="26">
        <f t="shared" si="9"/>
        <v>0</v>
      </c>
      <c r="AH40" s="26">
        <f t="shared" si="10"/>
        <v>0</v>
      </c>
      <c r="AI40" s="11" t="s">
        <v>58</v>
      </c>
      <c r="AJ40" s="26">
        <f t="shared" si="11"/>
        <v>0</v>
      </c>
      <c r="AK40" s="26">
        <f t="shared" si="12"/>
        <v>0</v>
      </c>
      <c r="AL40" s="26">
        <f t="shared" si="13"/>
        <v>0</v>
      </c>
      <c r="AN40" s="26">
        <v>12</v>
      </c>
      <c r="AO40" s="26">
        <f t="shared" si="22"/>
        <v>0</v>
      </c>
      <c r="AP40" s="26">
        <f t="shared" si="23"/>
        <v>0</v>
      </c>
      <c r="AQ40" s="29" t="s">
        <v>90</v>
      </c>
      <c r="AV40" s="26">
        <f t="shared" si="14"/>
        <v>0</v>
      </c>
      <c r="AW40" s="26">
        <f t="shared" si="15"/>
        <v>0</v>
      </c>
      <c r="AX40" s="26">
        <f t="shared" si="16"/>
        <v>0</v>
      </c>
      <c r="AY40" s="29" t="s">
        <v>108</v>
      </c>
      <c r="AZ40" s="29" t="s">
        <v>109</v>
      </c>
      <c r="BA40" s="11" t="s">
        <v>61</v>
      </c>
      <c r="BB40" s="30">
        <v>100001</v>
      </c>
      <c r="BC40" s="26">
        <f t="shared" si="17"/>
        <v>0</v>
      </c>
      <c r="BD40" s="26">
        <f t="shared" si="18"/>
        <v>0</v>
      </c>
      <c r="BE40" s="26">
        <v>0</v>
      </c>
      <c r="BF40" s="26">
        <f>40</f>
        <v>40</v>
      </c>
      <c r="BH40" s="26">
        <f t="shared" si="19"/>
        <v>0</v>
      </c>
      <c r="BI40" s="26">
        <f t="shared" si="20"/>
        <v>0</v>
      </c>
      <c r="BJ40" s="26">
        <f t="shared" si="21"/>
        <v>0</v>
      </c>
      <c r="BK40" s="26"/>
      <c r="BL40" s="26">
        <v>721</v>
      </c>
      <c r="BW40" s="26">
        <v>12</v>
      </c>
      <c r="BX40" s="5" t="s">
        <v>148</v>
      </c>
    </row>
    <row r="41" spans="1:76" x14ac:dyDescent="0.25">
      <c r="A41" s="2" t="s">
        <v>149</v>
      </c>
      <c r="B41" s="3" t="s">
        <v>150</v>
      </c>
      <c r="C41" s="96" t="s">
        <v>151</v>
      </c>
      <c r="D41" s="91"/>
      <c r="E41" s="3" t="s">
        <v>102</v>
      </c>
      <c r="F41" s="26">
        <v>1.244</v>
      </c>
      <c r="G41" s="27">
        <v>0</v>
      </c>
      <c r="H41" s="26">
        <f t="shared" si="0"/>
        <v>0</v>
      </c>
      <c r="I41" s="26">
        <f t="shared" si="1"/>
        <v>0</v>
      </c>
      <c r="J41" s="26">
        <f t="shared" si="2"/>
        <v>0</v>
      </c>
      <c r="K41" s="28" t="s">
        <v>65</v>
      </c>
      <c r="Z41" s="26">
        <f t="shared" si="3"/>
        <v>0</v>
      </c>
      <c r="AB41" s="26">
        <f t="shared" si="4"/>
        <v>0</v>
      </c>
      <c r="AC41" s="26">
        <f t="shared" si="5"/>
        <v>0</v>
      </c>
      <c r="AD41" s="26">
        <f t="shared" si="6"/>
        <v>0</v>
      </c>
      <c r="AE41" s="26">
        <f t="shared" si="7"/>
        <v>0</v>
      </c>
      <c r="AF41" s="26">
        <f t="shared" si="8"/>
        <v>0</v>
      </c>
      <c r="AG41" s="26">
        <f t="shared" si="9"/>
        <v>0</v>
      </c>
      <c r="AH41" s="26">
        <f t="shared" si="10"/>
        <v>0</v>
      </c>
      <c r="AI41" s="11" t="s">
        <v>58</v>
      </c>
      <c r="AJ41" s="26">
        <f t="shared" si="11"/>
        <v>0</v>
      </c>
      <c r="AK41" s="26">
        <f t="shared" si="12"/>
        <v>0</v>
      </c>
      <c r="AL41" s="26">
        <f t="shared" si="13"/>
        <v>0</v>
      </c>
      <c r="AN41" s="26">
        <v>12</v>
      </c>
      <c r="AO41" s="26">
        <f t="shared" si="22"/>
        <v>0</v>
      </c>
      <c r="AP41" s="26">
        <f t="shared" si="23"/>
        <v>0</v>
      </c>
      <c r="AQ41" s="29" t="s">
        <v>90</v>
      </c>
      <c r="AV41" s="26">
        <f t="shared" si="14"/>
        <v>0</v>
      </c>
      <c r="AW41" s="26">
        <f t="shared" si="15"/>
        <v>0</v>
      </c>
      <c r="AX41" s="26">
        <f t="shared" si="16"/>
        <v>0</v>
      </c>
      <c r="AY41" s="29" t="s">
        <v>108</v>
      </c>
      <c r="AZ41" s="29" t="s">
        <v>109</v>
      </c>
      <c r="BA41" s="11" t="s">
        <v>61</v>
      </c>
      <c r="BB41" s="30">
        <v>100001</v>
      </c>
      <c r="BC41" s="26">
        <f t="shared" si="17"/>
        <v>0</v>
      </c>
      <c r="BD41" s="26">
        <f t="shared" si="18"/>
        <v>0</v>
      </c>
      <c r="BE41" s="26">
        <v>0</v>
      </c>
      <c r="BF41" s="26">
        <f>41</f>
        <v>41</v>
      </c>
      <c r="BH41" s="26">
        <f t="shared" si="19"/>
        <v>0</v>
      </c>
      <c r="BI41" s="26">
        <f t="shared" si="20"/>
        <v>0</v>
      </c>
      <c r="BJ41" s="26">
        <f t="shared" si="21"/>
        <v>0</v>
      </c>
      <c r="BK41" s="26"/>
      <c r="BL41" s="26">
        <v>721</v>
      </c>
      <c r="BW41" s="26">
        <v>12</v>
      </c>
      <c r="BX41" s="5" t="s">
        <v>151</v>
      </c>
    </row>
    <row r="42" spans="1:76" x14ac:dyDescent="0.25">
      <c r="A42" s="2" t="s">
        <v>152</v>
      </c>
      <c r="B42" s="3" t="s">
        <v>153</v>
      </c>
      <c r="C42" s="96" t="s">
        <v>154</v>
      </c>
      <c r="D42" s="91"/>
      <c r="E42" s="3" t="s">
        <v>102</v>
      </c>
      <c r="F42" s="26">
        <v>1.9153899999999999</v>
      </c>
      <c r="G42" s="27">
        <v>0</v>
      </c>
      <c r="H42" s="26">
        <f t="shared" si="0"/>
        <v>0</v>
      </c>
      <c r="I42" s="26">
        <f t="shared" si="1"/>
        <v>0</v>
      </c>
      <c r="J42" s="26">
        <f t="shared" si="2"/>
        <v>0</v>
      </c>
      <c r="K42" s="28" t="s">
        <v>65</v>
      </c>
      <c r="Z42" s="26">
        <f t="shared" si="3"/>
        <v>0</v>
      </c>
      <c r="AB42" s="26">
        <f t="shared" si="4"/>
        <v>0</v>
      </c>
      <c r="AC42" s="26">
        <f t="shared" si="5"/>
        <v>0</v>
      </c>
      <c r="AD42" s="26">
        <f t="shared" si="6"/>
        <v>0</v>
      </c>
      <c r="AE42" s="26">
        <f t="shared" si="7"/>
        <v>0</v>
      </c>
      <c r="AF42" s="26">
        <f t="shared" si="8"/>
        <v>0</v>
      </c>
      <c r="AG42" s="26">
        <f t="shared" si="9"/>
        <v>0</v>
      </c>
      <c r="AH42" s="26">
        <f t="shared" si="10"/>
        <v>0</v>
      </c>
      <c r="AI42" s="11" t="s">
        <v>58</v>
      </c>
      <c r="AJ42" s="26">
        <f t="shared" si="11"/>
        <v>0</v>
      </c>
      <c r="AK42" s="26">
        <f t="shared" si="12"/>
        <v>0</v>
      </c>
      <c r="AL42" s="26">
        <f t="shared" si="13"/>
        <v>0</v>
      </c>
      <c r="AN42" s="26">
        <v>12</v>
      </c>
      <c r="AO42" s="26">
        <f t="shared" si="22"/>
        <v>0</v>
      </c>
      <c r="AP42" s="26">
        <f t="shared" si="23"/>
        <v>0</v>
      </c>
      <c r="AQ42" s="29" t="s">
        <v>80</v>
      </c>
      <c r="AV42" s="26">
        <f t="shared" si="14"/>
        <v>0</v>
      </c>
      <c r="AW42" s="26">
        <f t="shared" si="15"/>
        <v>0</v>
      </c>
      <c r="AX42" s="26">
        <f t="shared" si="16"/>
        <v>0</v>
      </c>
      <c r="AY42" s="29" t="s">
        <v>108</v>
      </c>
      <c r="AZ42" s="29" t="s">
        <v>109</v>
      </c>
      <c r="BA42" s="11" t="s">
        <v>61</v>
      </c>
      <c r="BB42" s="30">
        <v>100001</v>
      </c>
      <c r="BC42" s="26">
        <f t="shared" si="17"/>
        <v>0</v>
      </c>
      <c r="BD42" s="26">
        <f t="shared" si="18"/>
        <v>0</v>
      </c>
      <c r="BE42" s="26">
        <v>0</v>
      </c>
      <c r="BF42" s="26">
        <f>42</f>
        <v>42</v>
      </c>
      <c r="BH42" s="26">
        <f t="shared" si="19"/>
        <v>0</v>
      </c>
      <c r="BI42" s="26">
        <f t="shared" si="20"/>
        <v>0</v>
      </c>
      <c r="BJ42" s="26">
        <f t="shared" si="21"/>
        <v>0</v>
      </c>
      <c r="BK42" s="26"/>
      <c r="BL42" s="26">
        <v>721</v>
      </c>
      <c r="BW42" s="26">
        <v>12</v>
      </c>
      <c r="BX42" s="5" t="s">
        <v>154</v>
      </c>
    </row>
    <row r="43" spans="1:76" x14ac:dyDescent="0.25">
      <c r="A43" s="31" t="s">
        <v>50</v>
      </c>
      <c r="B43" s="32" t="s">
        <v>155</v>
      </c>
      <c r="C43" s="116" t="s">
        <v>156</v>
      </c>
      <c r="D43" s="117"/>
      <c r="E43" s="33" t="s">
        <v>4</v>
      </c>
      <c r="F43" s="33" t="s">
        <v>4</v>
      </c>
      <c r="G43" s="34" t="s">
        <v>4</v>
      </c>
      <c r="H43" s="1">
        <f>SUM(H44:H137)</f>
        <v>0</v>
      </c>
      <c r="I43" s="1">
        <f>SUM(I44:I137)</f>
        <v>0</v>
      </c>
      <c r="J43" s="1">
        <f>SUM(J44:J137)</f>
        <v>0</v>
      </c>
      <c r="K43" s="35" t="s">
        <v>50</v>
      </c>
      <c r="AI43" s="11" t="s">
        <v>50</v>
      </c>
      <c r="AS43" s="1">
        <f>SUM(AJ44:AJ137)</f>
        <v>0</v>
      </c>
      <c r="AT43" s="1">
        <f>SUM(AK44:AK137)</f>
        <v>0</v>
      </c>
      <c r="AU43" s="1">
        <f>SUM(AL44:AL137)</f>
        <v>0</v>
      </c>
    </row>
    <row r="44" spans="1:76" x14ac:dyDescent="0.25">
      <c r="A44" s="2" t="s">
        <v>157</v>
      </c>
      <c r="B44" s="3" t="s">
        <v>158</v>
      </c>
      <c r="C44" s="96" t="s">
        <v>159</v>
      </c>
      <c r="D44" s="91"/>
      <c r="E44" s="3" t="s">
        <v>69</v>
      </c>
      <c r="F44" s="26">
        <v>4.5</v>
      </c>
      <c r="G44" s="27">
        <v>0</v>
      </c>
      <c r="H44" s="26">
        <f t="shared" ref="H44:H70" si="24">F44*AO44</f>
        <v>0</v>
      </c>
      <c r="I44" s="26">
        <f t="shared" ref="I44:I70" si="25">F44*AP44</f>
        <v>0</v>
      </c>
      <c r="J44" s="26">
        <f t="shared" ref="J44:J70" si="26">F44*G44</f>
        <v>0</v>
      </c>
      <c r="K44" s="28" t="s">
        <v>65</v>
      </c>
      <c r="Z44" s="26">
        <f t="shared" ref="Z44:Z70" si="27">IF(AQ44="5",BJ44,0)</f>
        <v>0</v>
      </c>
      <c r="AB44" s="26">
        <f t="shared" ref="AB44:AB70" si="28">IF(AQ44="1",BH44,0)</f>
        <v>0</v>
      </c>
      <c r="AC44" s="26">
        <f t="shared" ref="AC44:AC70" si="29">IF(AQ44="1",BI44,0)</f>
        <v>0</v>
      </c>
      <c r="AD44" s="26">
        <f t="shared" ref="AD44:AD70" si="30">IF(AQ44="7",BH44,0)</f>
        <v>0</v>
      </c>
      <c r="AE44" s="26">
        <f t="shared" ref="AE44:AE70" si="31">IF(AQ44="7",BI44,0)</f>
        <v>0</v>
      </c>
      <c r="AF44" s="26">
        <f t="shared" ref="AF44:AF70" si="32">IF(AQ44="2",BH44,0)</f>
        <v>0</v>
      </c>
      <c r="AG44" s="26">
        <f t="shared" ref="AG44:AG70" si="33">IF(AQ44="2",BI44,0)</f>
        <v>0</v>
      </c>
      <c r="AH44" s="26">
        <f t="shared" ref="AH44:AH70" si="34">IF(AQ44="0",BJ44,0)</f>
        <v>0</v>
      </c>
      <c r="AI44" s="11" t="s">
        <v>58</v>
      </c>
      <c r="AJ44" s="26">
        <f t="shared" ref="AJ44:AJ70" si="35">IF(AN44=0,J44,0)</f>
        <v>0</v>
      </c>
      <c r="AK44" s="26">
        <f t="shared" ref="AK44:AK70" si="36">IF(AN44=12,J44,0)</f>
        <v>0</v>
      </c>
      <c r="AL44" s="26">
        <f t="shared" ref="AL44:AL70" si="37">IF(AN44=21,J44,0)</f>
        <v>0</v>
      </c>
      <c r="AN44" s="26">
        <v>12</v>
      </c>
      <c r="AO44" s="26">
        <f t="shared" ref="AO44:AO50" si="38">G44*0</f>
        <v>0</v>
      </c>
      <c r="AP44" s="26">
        <f t="shared" ref="AP44:AP50" si="39">G44*(1-0)</f>
        <v>0</v>
      </c>
      <c r="AQ44" s="29" t="s">
        <v>90</v>
      </c>
      <c r="AV44" s="26">
        <f t="shared" ref="AV44:AV70" si="40">AW44+AX44</f>
        <v>0</v>
      </c>
      <c r="AW44" s="26">
        <f t="shared" ref="AW44:AW70" si="41">F44*AO44</f>
        <v>0</v>
      </c>
      <c r="AX44" s="26">
        <f t="shared" ref="AX44:AX70" si="42">F44*AP44</f>
        <v>0</v>
      </c>
      <c r="AY44" s="29" t="s">
        <v>160</v>
      </c>
      <c r="AZ44" s="29" t="s">
        <v>109</v>
      </c>
      <c r="BA44" s="11" t="s">
        <v>61</v>
      </c>
      <c r="BB44" s="30">
        <v>100002</v>
      </c>
      <c r="BC44" s="26">
        <f t="shared" ref="BC44:BC70" si="43">AW44+AX44</f>
        <v>0</v>
      </c>
      <c r="BD44" s="26">
        <f t="shared" ref="BD44:BD70" si="44">G44/(100-BE44)*100</f>
        <v>0</v>
      </c>
      <c r="BE44" s="26">
        <v>0</v>
      </c>
      <c r="BF44" s="26">
        <f>44</f>
        <v>44</v>
      </c>
      <c r="BH44" s="26">
        <f t="shared" ref="BH44:BH70" si="45">F44*AO44</f>
        <v>0</v>
      </c>
      <c r="BI44" s="26">
        <f t="shared" ref="BI44:BI70" si="46">F44*AP44</f>
        <v>0</v>
      </c>
      <c r="BJ44" s="26">
        <f t="shared" ref="BJ44:BJ70" si="47">F44*G44</f>
        <v>0</v>
      </c>
      <c r="BK44" s="26"/>
      <c r="BL44" s="26">
        <v>722</v>
      </c>
      <c r="BW44" s="26">
        <v>12</v>
      </c>
      <c r="BX44" s="5" t="s">
        <v>159</v>
      </c>
    </row>
    <row r="45" spans="1:76" x14ac:dyDescent="0.25">
      <c r="A45" s="2" t="s">
        <v>161</v>
      </c>
      <c r="B45" s="3" t="s">
        <v>162</v>
      </c>
      <c r="C45" s="96" t="s">
        <v>163</v>
      </c>
      <c r="D45" s="91"/>
      <c r="E45" s="3" t="s">
        <v>69</v>
      </c>
      <c r="F45" s="26">
        <v>693.6</v>
      </c>
      <c r="G45" s="27">
        <v>0</v>
      </c>
      <c r="H45" s="26">
        <f t="shared" si="24"/>
        <v>0</v>
      </c>
      <c r="I45" s="26">
        <f t="shared" si="25"/>
        <v>0</v>
      </c>
      <c r="J45" s="26">
        <f t="shared" si="26"/>
        <v>0</v>
      </c>
      <c r="K45" s="28" t="s">
        <v>65</v>
      </c>
      <c r="Z45" s="26">
        <f t="shared" si="27"/>
        <v>0</v>
      </c>
      <c r="AB45" s="26">
        <f t="shared" si="28"/>
        <v>0</v>
      </c>
      <c r="AC45" s="26">
        <f t="shared" si="29"/>
        <v>0</v>
      </c>
      <c r="AD45" s="26">
        <f t="shared" si="30"/>
        <v>0</v>
      </c>
      <c r="AE45" s="26">
        <f t="shared" si="31"/>
        <v>0</v>
      </c>
      <c r="AF45" s="26">
        <f t="shared" si="32"/>
        <v>0</v>
      </c>
      <c r="AG45" s="26">
        <f t="shared" si="33"/>
        <v>0</v>
      </c>
      <c r="AH45" s="26">
        <f t="shared" si="34"/>
        <v>0</v>
      </c>
      <c r="AI45" s="11" t="s">
        <v>58</v>
      </c>
      <c r="AJ45" s="26">
        <f t="shared" si="35"/>
        <v>0</v>
      </c>
      <c r="AK45" s="26">
        <f t="shared" si="36"/>
        <v>0</v>
      </c>
      <c r="AL45" s="26">
        <f t="shared" si="37"/>
        <v>0</v>
      </c>
      <c r="AN45" s="26">
        <v>12</v>
      </c>
      <c r="AO45" s="26">
        <f t="shared" si="38"/>
        <v>0</v>
      </c>
      <c r="AP45" s="26">
        <f t="shared" si="39"/>
        <v>0</v>
      </c>
      <c r="AQ45" s="29" t="s">
        <v>90</v>
      </c>
      <c r="AV45" s="26">
        <f t="shared" si="40"/>
        <v>0</v>
      </c>
      <c r="AW45" s="26">
        <f t="shared" si="41"/>
        <v>0</v>
      </c>
      <c r="AX45" s="26">
        <f t="shared" si="42"/>
        <v>0</v>
      </c>
      <c r="AY45" s="29" t="s">
        <v>160</v>
      </c>
      <c r="AZ45" s="29" t="s">
        <v>109</v>
      </c>
      <c r="BA45" s="11" t="s">
        <v>61</v>
      </c>
      <c r="BB45" s="30">
        <v>100002</v>
      </c>
      <c r="BC45" s="26">
        <f t="shared" si="43"/>
        <v>0</v>
      </c>
      <c r="BD45" s="26">
        <f t="shared" si="44"/>
        <v>0</v>
      </c>
      <c r="BE45" s="26">
        <v>0</v>
      </c>
      <c r="BF45" s="26">
        <f>45</f>
        <v>45</v>
      </c>
      <c r="BH45" s="26">
        <f t="shared" si="45"/>
        <v>0</v>
      </c>
      <c r="BI45" s="26">
        <f t="shared" si="46"/>
        <v>0</v>
      </c>
      <c r="BJ45" s="26">
        <f t="shared" si="47"/>
        <v>0</v>
      </c>
      <c r="BK45" s="26"/>
      <c r="BL45" s="26">
        <v>722</v>
      </c>
      <c r="BW45" s="26">
        <v>12</v>
      </c>
      <c r="BX45" s="5" t="s">
        <v>163</v>
      </c>
    </row>
    <row r="46" spans="1:76" x14ac:dyDescent="0.25">
      <c r="A46" s="2" t="s">
        <v>164</v>
      </c>
      <c r="B46" s="3" t="s">
        <v>162</v>
      </c>
      <c r="C46" s="96" t="s">
        <v>163</v>
      </c>
      <c r="D46" s="91"/>
      <c r="E46" s="3" t="s">
        <v>69</v>
      </c>
      <c r="F46" s="26">
        <v>1075.4000000000001</v>
      </c>
      <c r="G46" s="27">
        <v>0</v>
      </c>
      <c r="H46" s="26">
        <f t="shared" si="24"/>
        <v>0</v>
      </c>
      <c r="I46" s="26">
        <f t="shared" si="25"/>
        <v>0</v>
      </c>
      <c r="J46" s="26">
        <f t="shared" si="26"/>
        <v>0</v>
      </c>
      <c r="K46" s="28" t="s">
        <v>65</v>
      </c>
      <c r="Z46" s="26">
        <f t="shared" si="27"/>
        <v>0</v>
      </c>
      <c r="AB46" s="26">
        <f t="shared" si="28"/>
        <v>0</v>
      </c>
      <c r="AC46" s="26">
        <f t="shared" si="29"/>
        <v>0</v>
      </c>
      <c r="AD46" s="26">
        <f t="shared" si="30"/>
        <v>0</v>
      </c>
      <c r="AE46" s="26">
        <f t="shared" si="31"/>
        <v>0</v>
      </c>
      <c r="AF46" s="26">
        <f t="shared" si="32"/>
        <v>0</v>
      </c>
      <c r="AG46" s="26">
        <f t="shared" si="33"/>
        <v>0</v>
      </c>
      <c r="AH46" s="26">
        <f t="shared" si="34"/>
        <v>0</v>
      </c>
      <c r="AI46" s="11" t="s">
        <v>58</v>
      </c>
      <c r="AJ46" s="26">
        <f t="shared" si="35"/>
        <v>0</v>
      </c>
      <c r="AK46" s="26">
        <f t="shared" si="36"/>
        <v>0</v>
      </c>
      <c r="AL46" s="26">
        <f t="shared" si="37"/>
        <v>0</v>
      </c>
      <c r="AN46" s="26">
        <v>12</v>
      </c>
      <c r="AO46" s="26">
        <f t="shared" si="38"/>
        <v>0</v>
      </c>
      <c r="AP46" s="26">
        <f t="shared" si="39"/>
        <v>0</v>
      </c>
      <c r="AQ46" s="29" t="s">
        <v>90</v>
      </c>
      <c r="AV46" s="26">
        <f t="shared" si="40"/>
        <v>0</v>
      </c>
      <c r="AW46" s="26">
        <f t="shared" si="41"/>
        <v>0</v>
      </c>
      <c r="AX46" s="26">
        <f t="shared" si="42"/>
        <v>0</v>
      </c>
      <c r="AY46" s="29" t="s">
        <v>160</v>
      </c>
      <c r="AZ46" s="29" t="s">
        <v>109</v>
      </c>
      <c r="BA46" s="11" t="s">
        <v>61</v>
      </c>
      <c r="BB46" s="30">
        <v>100002</v>
      </c>
      <c r="BC46" s="26">
        <f t="shared" si="43"/>
        <v>0</v>
      </c>
      <c r="BD46" s="26">
        <f t="shared" si="44"/>
        <v>0</v>
      </c>
      <c r="BE46" s="26">
        <v>0</v>
      </c>
      <c r="BF46" s="26">
        <f>46</f>
        <v>46</v>
      </c>
      <c r="BH46" s="26">
        <f t="shared" si="45"/>
        <v>0</v>
      </c>
      <c r="BI46" s="26">
        <f t="shared" si="46"/>
        <v>0</v>
      </c>
      <c r="BJ46" s="26">
        <f t="shared" si="47"/>
        <v>0</v>
      </c>
      <c r="BK46" s="26"/>
      <c r="BL46" s="26">
        <v>722</v>
      </c>
      <c r="BW46" s="26">
        <v>12</v>
      </c>
      <c r="BX46" s="5" t="s">
        <v>163</v>
      </c>
    </row>
    <row r="47" spans="1:76" x14ac:dyDescent="0.25">
      <c r="A47" s="2" t="s">
        <v>165</v>
      </c>
      <c r="B47" s="3" t="s">
        <v>166</v>
      </c>
      <c r="C47" s="96" t="s">
        <v>167</v>
      </c>
      <c r="D47" s="91"/>
      <c r="E47" s="3" t="s">
        <v>69</v>
      </c>
      <c r="F47" s="26">
        <v>96.5</v>
      </c>
      <c r="G47" s="27">
        <v>0</v>
      </c>
      <c r="H47" s="26">
        <f t="shared" si="24"/>
        <v>0</v>
      </c>
      <c r="I47" s="26">
        <f t="shared" si="25"/>
        <v>0</v>
      </c>
      <c r="J47" s="26">
        <f t="shared" si="26"/>
        <v>0</v>
      </c>
      <c r="K47" s="28" t="s">
        <v>65</v>
      </c>
      <c r="Z47" s="26">
        <f t="shared" si="27"/>
        <v>0</v>
      </c>
      <c r="AB47" s="26">
        <f t="shared" si="28"/>
        <v>0</v>
      </c>
      <c r="AC47" s="26">
        <f t="shared" si="29"/>
        <v>0</v>
      </c>
      <c r="AD47" s="26">
        <f t="shared" si="30"/>
        <v>0</v>
      </c>
      <c r="AE47" s="26">
        <f t="shared" si="31"/>
        <v>0</v>
      </c>
      <c r="AF47" s="26">
        <f t="shared" si="32"/>
        <v>0</v>
      </c>
      <c r="AG47" s="26">
        <f t="shared" si="33"/>
        <v>0</v>
      </c>
      <c r="AH47" s="26">
        <f t="shared" si="34"/>
        <v>0</v>
      </c>
      <c r="AI47" s="11" t="s">
        <v>58</v>
      </c>
      <c r="AJ47" s="26">
        <f t="shared" si="35"/>
        <v>0</v>
      </c>
      <c r="AK47" s="26">
        <f t="shared" si="36"/>
        <v>0</v>
      </c>
      <c r="AL47" s="26">
        <f t="shared" si="37"/>
        <v>0</v>
      </c>
      <c r="AN47" s="26">
        <v>12</v>
      </c>
      <c r="AO47" s="26">
        <f t="shared" si="38"/>
        <v>0</v>
      </c>
      <c r="AP47" s="26">
        <f t="shared" si="39"/>
        <v>0</v>
      </c>
      <c r="AQ47" s="29" t="s">
        <v>90</v>
      </c>
      <c r="AV47" s="26">
        <f t="shared" si="40"/>
        <v>0</v>
      </c>
      <c r="AW47" s="26">
        <f t="shared" si="41"/>
        <v>0</v>
      </c>
      <c r="AX47" s="26">
        <f t="shared" si="42"/>
        <v>0</v>
      </c>
      <c r="AY47" s="29" t="s">
        <v>160</v>
      </c>
      <c r="AZ47" s="29" t="s">
        <v>109</v>
      </c>
      <c r="BA47" s="11" t="s">
        <v>61</v>
      </c>
      <c r="BB47" s="30">
        <v>100002</v>
      </c>
      <c r="BC47" s="26">
        <f t="shared" si="43"/>
        <v>0</v>
      </c>
      <c r="BD47" s="26">
        <f t="shared" si="44"/>
        <v>0</v>
      </c>
      <c r="BE47" s="26">
        <v>0</v>
      </c>
      <c r="BF47" s="26">
        <f>47</f>
        <v>47</v>
      </c>
      <c r="BH47" s="26">
        <f t="shared" si="45"/>
        <v>0</v>
      </c>
      <c r="BI47" s="26">
        <f t="shared" si="46"/>
        <v>0</v>
      </c>
      <c r="BJ47" s="26">
        <f t="shared" si="47"/>
        <v>0</v>
      </c>
      <c r="BK47" s="26"/>
      <c r="BL47" s="26">
        <v>722</v>
      </c>
      <c r="BW47" s="26">
        <v>12</v>
      </c>
      <c r="BX47" s="5" t="s">
        <v>167</v>
      </c>
    </row>
    <row r="48" spans="1:76" x14ac:dyDescent="0.25">
      <c r="A48" s="2" t="s">
        <v>168</v>
      </c>
      <c r="B48" s="3" t="s">
        <v>169</v>
      </c>
      <c r="C48" s="96" t="s">
        <v>170</v>
      </c>
      <c r="D48" s="91"/>
      <c r="E48" s="3" t="s">
        <v>93</v>
      </c>
      <c r="F48" s="26">
        <v>151</v>
      </c>
      <c r="G48" s="27">
        <v>0</v>
      </c>
      <c r="H48" s="26">
        <f t="shared" si="24"/>
        <v>0</v>
      </c>
      <c r="I48" s="26">
        <f t="shared" si="25"/>
        <v>0</v>
      </c>
      <c r="J48" s="26">
        <f t="shared" si="26"/>
        <v>0</v>
      </c>
      <c r="K48" s="28" t="s">
        <v>65</v>
      </c>
      <c r="Z48" s="26">
        <f t="shared" si="27"/>
        <v>0</v>
      </c>
      <c r="AB48" s="26">
        <f t="shared" si="28"/>
        <v>0</v>
      </c>
      <c r="AC48" s="26">
        <f t="shared" si="29"/>
        <v>0</v>
      </c>
      <c r="AD48" s="26">
        <f t="shared" si="30"/>
        <v>0</v>
      </c>
      <c r="AE48" s="26">
        <f t="shared" si="31"/>
        <v>0</v>
      </c>
      <c r="AF48" s="26">
        <f t="shared" si="32"/>
        <v>0</v>
      </c>
      <c r="AG48" s="26">
        <f t="shared" si="33"/>
        <v>0</v>
      </c>
      <c r="AH48" s="26">
        <f t="shared" si="34"/>
        <v>0</v>
      </c>
      <c r="AI48" s="11" t="s">
        <v>58</v>
      </c>
      <c r="AJ48" s="26">
        <f t="shared" si="35"/>
        <v>0</v>
      </c>
      <c r="AK48" s="26">
        <f t="shared" si="36"/>
        <v>0</v>
      </c>
      <c r="AL48" s="26">
        <f t="shared" si="37"/>
        <v>0</v>
      </c>
      <c r="AN48" s="26">
        <v>12</v>
      </c>
      <c r="AO48" s="26">
        <f t="shared" si="38"/>
        <v>0</v>
      </c>
      <c r="AP48" s="26">
        <f t="shared" si="39"/>
        <v>0</v>
      </c>
      <c r="AQ48" s="29" t="s">
        <v>90</v>
      </c>
      <c r="AV48" s="26">
        <f t="shared" si="40"/>
        <v>0</v>
      </c>
      <c r="AW48" s="26">
        <f t="shared" si="41"/>
        <v>0</v>
      </c>
      <c r="AX48" s="26">
        <f t="shared" si="42"/>
        <v>0</v>
      </c>
      <c r="AY48" s="29" t="s">
        <v>160</v>
      </c>
      <c r="AZ48" s="29" t="s">
        <v>109</v>
      </c>
      <c r="BA48" s="11" t="s">
        <v>61</v>
      </c>
      <c r="BB48" s="30">
        <v>100002</v>
      </c>
      <c r="BC48" s="26">
        <f t="shared" si="43"/>
        <v>0</v>
      </c>
      <c r="BD48" s="26">
        <f t="shared" si="44"/>
        <v>0</v>
      </c>
      <c r="BE48" s="26">
        <v>0</v>
      </c>
      <c r="BF48" s="26">
        <f>48</f>
        <v>48</v>
      </c>
      <c r="BH48" s="26">
        <f t="shared" si="45"/>
        <v>0</v>
      </c>
      <c r="BI48" s="26">
        <f t="shared" si="46"/>
        <v>0</v>
      </c>
      <c r="BJ48" s="26">
        <f t="shared" si="47"/>
        <v>0</v>
      </c>
      <c r="BK48" s="26"/>
      <c r="BL48" s="26">
        <v>722</v>
      </c>
      <c r="BW48" s="26">
        <v>12</v>
      </c>
      <c r="BX48" s="5" t="s">
        <v>170</v>
      </c>
    </row>
    <row r="49" spans="1:76" x14ac:dyDescent="0.25">
      <c r="A49" s="2" t="s">
        <v>171</v>
      </c>
      <c r="B49" s="3" t="s">
        <v>172</v>
      </c>
      <c r="C49" s="96" t="s">
        <v>173</v>
      </c>
      <c r="D49" s="91"/>
      <c r="E49" s="3" t="s">
        <v>93</v>
      </c>
      <c r="F49" s="26">
        <v>12</v>
      </c>
      <c r="G49" s="27">
        <v>0</v>
      </c>
      <c r="H49" s="26">
        <f t="shared" si="24"/>
        <v>0</v>
      </c>
      <c r="I49" s="26">
        <f t="shared" si="25"/>
        <v>0</v>
      </c>
      <c r="J49" s="26">
        <f t="shared" si="26"/>
        <v>0</v>
      </c>
      <c r="K49" s="28" t="s">
        <v>65</v>
      </c>
      <c r="Z49" s="26">
        <f t="shared" si="27"/>
        <v>0</v>
      </c>
      <c r="AB49" s="26">
        <f t="shared" si="28"/>
        <v>0</v>
      </c>
      <c r="AC49" s="26">
        <f t="shared" si="29"/>
        <v>0</v>
      </c>
      <c r="AD49" s="26">
        <f t="shared" si="30"/>
        <v>0</v>
      </c>
      <c r="AE49" s="26">
        <f t="shared" si="31"/>
        <v>0</v>
      </c>
      <c r="AF49" s="26">
        <f t="shared" si="32"/>
        <v>0</v>
      </c>
      <c r="AG49" s="26">
        <f t="shared" si="33"/>
        <v>0</v>
      </c>
      <c r="AH49" s="26">
        <f t="shared" si="34"/>
        <v>0</v>
      </c>
      <c r="AI49" s="11" t="s">
        <v>58</v>
      </c>
      <c r="AJ49" s="26">
        <f t="shared" si="35"/>
        <v>0</v>
      </c>
      <c r="AK49" s="26">
        <f t="shared" si="36"/>
        <v>0</v>
      </c>
      <c r="AL49" s="26">
        <f t="shared" si="37"/>
        <v>0</v>
      </c>
      <c r="AN49" s="26">
        <v>12</v>
      </c>
      <c r="AO49" s="26">
        <f t="shared" si="38"/>
        <v>0</v>
      </c>
      <c r="AP49" s="26">
        <f t="shared" si="39"/>
        <v>0</v>
      </c>
      <c r="AQ49" s="29" t="s">
        <v>90</v>
      </c>
      <c r="AV49" s="26">
        <f t="shared" si="40"/>
        <v>0</v>
      </c>
      <c r="AW49" s="26">
        <f t="shared" si="41"/>
        <v>0</v>
      </c>
      <c r="AX49" s="26">
        <f t="shared" si="42"/>
        <v>0</v>
      </c>
      <c r="AY49" s="29" t="s">
        <v>160</v>
      </c>
      <c r="AZ49" s="29" t="s">
        <v>109</v>
      </c>
      <c r="BA49" s="11" t="s">
        <v>61</v>
      </c>
      <c r="BB49" s="30">
        <v>100002</v>
      </c>
      <c r="BC49" s="26">
        <f t="shared" si="43"/>
        <v>0</v>
      </c>
      <c r="BD49" s="26">
        <f t="shared" si="44"/>
        <v>0</v>
      </c>
      <c r="BE49" s="26">
        <v>0</v>
      </c>
      <c r="BF49" s="26">
        <f>49</f>
        <v>49</v>
      </c>
      <c r="BH49" s="26">
        <f t="shared" si="45"/>
        <v>0</v>
      </c>
      <c r="BI49" s="26">
        <f t="shared" si="46"/>
        <v>0</v>
      </c>
      <c r="BJ49" s="26">
        <f t="shared" si="47"/>
        <v>0</v>
      </c>
      <c r="BK49" s="26"/>
      <c r="BL49" s="26">
        <v>722</v>
      </c>
      <c r="BW49" s="26">
        <v>12</v>
      </c>
      <c r="BX49" s="5" t="s">
        <v>173</v>
      </c>
    </row>
    <row r="50" spans="1:76" x14ac:dyDescent="0.25">
      <c r="A50" s="2" t="s">
        <v>174</v>
      </c>
      <c r="B50" s="3" t="s">
        <v>175</v>
      </c>
      <c r="C50" s="96" t="s">
        <v>176</v>
      </c>
      <c r="D50" s="91"/>
      <c r="E50" s="3" t="s">
        <v>93</v>
      </c>
      <c r="F50" s="26">
        <v>1</v>
      </c>
      <c r="G50" s="27">
        <v>0</v>
      </c>
      <c r="H50" s="26">
        <f t="shared" si="24"/>
        <v>0</v>
      </c>
      <c r="I50" s="26">
        <f t="shared" si="25"/>
        <v>0</v>
      </c>
      <c r="J50" s="26">
        <f t="shared" si="26"/>
        <v>0</v>
      </c>
      <c r="K50" s="28" t="s">
        <v>65</v>
      </c>
      <c r="Z50" s="26">
        <f t="shared" si="27"/>
        <v>0</v>
      </c>
      <c r="AB50" s="26">
        <f t="shared" si="28"/>
        <v>0</v>
      </c>
      <c r="AC50" s="26">
        <f t="shared" si="29"/>
        <v>0</v>
      </c>
      <c r="AD50" s="26">
        <f t="shared" si="30"/>
        <v>0</v>
      </c>
      <c r="AE50" s="26">
        <f t="shared" si="31"/>
        <v>0</v>
      </c>
      <c r="AF50" s="26">
        <f t="shared" si="32"/>
        <v>0</v>
      </c>
      <c r="AG50" s="26">
        <f t="shared" si="33"/>
        <v>0</v>
      </c>
      <c r="AH50" s="26">
        <f t="shared" si="34"/>
        <v>0</v>
      </c>
      <c r="AI50" s="11" t="s">
        <v>58</v>
      </c>
      <c r="AJ50" s="26">
        <f t="shared" si="35"/>
        <v>0</v>
      </c>
      <c r="AK50" s="26">
        <f t="shared" si="36"/>
        <v>0</v>
      </c>
      <c r="AL50" s="26">
        <f t="shared" si="37"/>
        <v>0</v>
      </c>
      <c r="AN50" s="26">
        <v>12</v>
      </c>
      <c r="AO50" s="26">
        <f t="shared" si="38"/>
        <v>0</v>
      </c>
      <c r="AP50" s="26">
        <f t="shared" si="39"/>
        <v>0</v>
      </c>
      <c r="AQ50" s="29" t="s">
        <v>90</v>
      </c>
      <c r="AV50" s="26">
        <f t="shared" si="40"/>
        <v>0</v>
      </c>
      <c r="AW50" s="26">
        <f t="shared" si="41"/>
        <v>0</v>
      </c>
      <c r="AX50" s="26">
        <f t="shared" si="42"/>
        <v>0</v>
      </c>
      <c r="AY50" s="29" t="s">
        <v>160</v>
      </c>
      <c r="AZ50" s="29" t="s">
        <v>109</v>
      </c>
      <c r="BA50" s="11" t="s">
        <v>61</v>
      </c>
      <c r="BB50" s="30">
        <v>100002</v>
      </c>
      <c r="BC50" s="26">
        <f t="shared" si="43"/>
        <v>0</v>
      </c>
      <c r="BD50" s="26">
        <f t="shared" si="44"/>
        <v>0</v>
      </c>
      <c r="BE50" s="26">
        <v>0</v>
      </c>
      <c r="BF50" s="26">
        <f>50</f>
        <v>50</v>
      </c>
      <c r="BH50" s="26">
        <f t="shared" si="45"/>
        <v>0</v>
      </c>
      <c r="BI50" s="26">
        <f t="shared" si="46"/>
        <v>0</v>
      </c>
      <c r="BJ50" s="26">
        <f t="shared" si="47"/>
        <v>0</v>
      </c>
      <c r="BK50" s="26"/>
      <c r="BL50" s="26">
        <v>722</v>
      </c>
      <c r="BW50" s="26">
        <v>12</v>
      </c>
      <c r="BX50" s="5" t="s">
        <v>176</v>
      </c>
    </row>
    <row r="51" spans="1:76" x14ac:dyDescent="0.25">
      <c r="A51" s="2" t="s">
        <v>51</v>
      </c>
      <c r="B51" s="3" t="s">
        <v>177</v>
      </c>
      <c r="C51" s="96" t="s">
        <v>178</v>
      </c>
      <c r="D51" s="91"/>
      <c r="E51" s="3" t="s">
        <v>93</v>
      </c>
      <c r="F51" s="26">
        <v>6</v>
      </c>
      <c r="G51" s="27">
        <v>0</v>
      </c>
      <c r="H51" s="26">
        <f t="shared" si="24"/>
        <v>0</v>
      </c>
      <c r="I51" s="26">
        <f t="shared" si="25"/>
        <v>0</v>
      </c>
      <c r="J51" s="26">
        <f t="shared" si="26"/>
        <v>0</v>
      </c>
      <c r="K51" s="28" t="s">
        <v>65</v>
      </c>
      <c r="Z51" s="26">
        <f t="shared" si="27"/>
        <v>0</v>
      </c>
      <c r="AB51" s="26">
        <f t="shared" si="28"/>
        <v>0</v>
      </c>
      <c r="AC51" s="26">
        <f t="shared" si="29"/>
        <v>0</v>
      </c>
      <c r="AD51" s="26">
        <f t="shared" si="30"/>
        <v>0</v>
      </c>
      <c r="AE51" s="26">
        <f t="shared" si="31"/>
        <v>0</v>
      </c>
      <c r="AF51" s="26">
        <f t="shared" si="32"/>
        <v>0</v>
      </c>
      <c r="AG51" s="26">
        <f t="shared" si="33"/>
        <v>0</v>
      </c>
      <c r="AH51" s="26">
        <f t="shared" si="34"/>
        <v>0</v>
      </c>
      <c r="AI51" s="11" t="s">
        <v>58</v>
      </c>
      <c r="AJ51" s="26">
        <f t="shared" si="35"/>
        <v>0</v>
      </c>
      <c r="AK51" s="26">
        <f t="shared" si="36"/>
        <v>0</v>
      </c>
      <c r="AL51" s="26">
        <f t="shared" si="37"/>
        <v>0</v>
      </c>
      <c r="AN51" s="26">
        <v>12</v>
      </c>
      <c r="AO51" s="26">
        <f>G51*0.319787879</f>
        <v>0</v>
      </c>
      <c r="AP51" s="26">
        <f>G51*(1-0.319787879)</f>
        <v>0</v>
      </c>
      <c r="AQ51" s="29" t="s">
        <v>90</v>
      </c>
      <c r="AV51" s="26">
        <f t="shared" si="40"/>
        <v>0</v>
      </c>
      <c r="AW51" s="26">
        <f t="shared" si="41"/>
        <v>0</v>
      </c>
      <c r="AX51" s="26">
        <f t="shared" si="42"/>
        <v>0</v>
      </c>
      <c r="AY51" s="29" t="s">
        <v>160</v>
      </c>
      <c r="AZ51" s="29" t="s">
        <v>109</v>
      </c>
      <c r="BA51" s="11" t="s">
        <v>61</v>
      </c>
      <c r="BB51" s="30">
        <v>100002</v>
      </c>
      <c r="BC51" s="26">
        <f t="shared" si="43"/>
        <v>0</v>
      </c>
      <c r="BD51" s="26">
        <f t="shared" si="44"/>
        <v>0</v>
      </c>
      <c r="BE51" s="26">
        <v>0</v>
      </c>
      <c r="BF51" s="26">
        <f>51</f>
        <v>51</v>
      </c>
      <c r="BH51" s="26">
        <f t="shared" si="45"/>
        <v>0</v>
      </c>
      <c r="BI51" s="26">
        <f t="shared" si="46"/>
        <v>0</v>
      </c>
      <c r="BJ51" s="26">
        <f t="shared" si="47"/>
        <v>0</v>
      </c>
      <c r="BK51" s="26"/>
      <c r="BL51" s="26">
        <v>722</v>
      </c>
      <c r="BW51" s="26">
        <v>12</v>
      </c>
      <c r="BX51" s="5" t="s">
        <v>178</v>
      </c>
    </row>
    <row r="52" spans="1:76" x14ac:dyDescent="0.25">
      <c r="A52" s="2" t="s">
        <v>179</v>
      </c>
      <c r="B52" s="3" t="s">
        <v>180</v>
      </c>
      <c r="C52" s="96" t="s">
        <v>181</v>
      </c>
      <c r="D52" s="91"/>
      <c r="E52" s="3" t="s">
        <v>93</v>
      </c>
      <c r="F52" s="26">
        <v>6</v>
      </c>
      <c r="G52" s="27">
        <v>0</v>
      </c>
      <c r="H52" s="26">
        <f t="shared" si="24"/>
        <v>0</v>
      </c>
      <c r="I52" s="26">
        <f t="shared" si="25"/>
        <v>0</v>
      </c>
      <c r="J52" s="26">
        <f t="shared" si="26"/>
        <v>0</v>
      </c>
      <c r="K52" s="28" t="s">
        <v>65</v>
      </c>
      <c r="Z52" s="26">
        <f t="shared" si="27"/>
        <v>0</v>
      </c>
      <c r="AB52" s="26">
        <f t="shared" si="28"/>
        <v>0</v>
      </c>
      <c r="AC52" s="26">
        <f t="shared" si="29"/>
        <v>0</v>
      </c>
      <c r="AD52" s="26">
        <f t="shared" si="30"/>
        <v>0</v>
      </c>
      <c r="AE52" s="26">
        <f t="shared" si="31"/>
        <v>0</v>
      </c>
      <c r="AF52" s="26">
        <f t="shared" si="32"/>
        <v>0</v>
      </c>
      <c r="AG52" s="26">
        <f t="shared" si="33"/>
        <v>0</v>
      </c>
      <c r="AH52" s="26">
        <f t="shared" si="34"/>
        <v>0</v>
      </c>
      <c r="AI52" s="11" t="s">
        <v>58</v>
      </c>
      <c r="AJ52" s="26">
        <f t="shared" si="35"/>
        <v>0</v>
      </c>
      <c r="AK52" s="26">
        <f t="shared" si="36"/>
        <v>0</v>
      </c>
      <c r="AL52" s="26">
        <f t="shared" si="37"/>
        <v>0</v>
      </c>
      <c r="AN52" s="26">
        <v>12</v>
      </c>
      <c r="AO52" s="26">
        <f>G52*0.490622392</f>
        <v>0</v>
      </c>
      <c r="AP52" s="26">
        <f>G52*(1-0.490622392)</f>
        <v>0</v>
      </c>
      <c r="AQ52" s="29" t="s">
        <v>90</v>
      </c>
      <c r="AV52" s="26">
        <f t="shared" si="40"/>
        <v>0</v>
      </c>
      <c r="AW52" s="26">
        <f t="shared" si="41"/>
        <v>0</v>
      </c>
      <c r="AX52" s="26">
        <f t="shared" si="42"/>
        <v>0</v>
      </c>
      <c r="AY52" s="29" t="s">
        <v>160</v>
      </c>
      <c r="AZ52" s="29" t="s">
        <v>109</v>
      </c>
      <c r="BA52" s="11" t="s">
        <v>61</v>
      </c>
      <c r="BB52" s="30">
        <v>100002</v>
      </c>
      <c r="BC52" s="26">
        <f t="shared" si="43"/>
        <v>0</v>
      </c>
      <c r="BD52" s="26">
        <f t="shared" si="44"/>
        <v>0</v>
      </c>
      <c r="BE52" s="26">
        <v>0</v>
      </c>
      <c r="BF52" s="26">
        <f>52</f>
        <v>52</v>
      </c>
      <c r="BH52" s="26">
        <f t="shared" si="45"/>
        <v>0</v>
      </c>
      <c r="BI52" s="26">
        <f t="shared" si="46"/>
        <v>0</v>
      </c>
      <c r="BJ52" s="26">
        <f t="shared" si="47"/>
        <v>0</v>
      </c>
      <c r="BK52" s="26"/>
      <c r="BL52" s="26">
        <v>722</v>
      </c>
      <c r="BW52" s="26">
        <v>12</v>
      </c>
      <c r="BX52" s="5" t="s">
        <v>181</v>
      </c>
    </row>
    <row r="53" spans="1:76" x14ac:dyDescent="0.25">
      <c r="A53" s="2" t="s">
        <v>182</v>
      </c>
      <c r="B53" s="3" t="s">
        <v>183</v>
      </c>
      <c r="C53" s="96" t="s">
        <v>184</v>
      </c>
      <c r="D53" s="91"/>
      <c r="E53" s="3" t="s">
        <v>69</v>
      </c>
      <c r="F53" s="26">
        <v>376.8</v>
      </c>
      <c r="G53" s="27">
        <v>0</v>
      </c>
      <c r="H53" s="26">
        <f t="shared" si="24"/>
        <v>0</v>
      </c>
      <c r="I53" s="26">
        <f t="shared" si="25"/>
        <v>0</v>
      </c>
      <c r="J53" s="26">
        <f t="shared" si="26"/>
        <v>0</v>
      </c>
      <c r="K53" s="28" t="s">
        <v>65</v>
      </c>
      <c r="Z53" s="26">
        <f t="shared" si="27"/>
        <v>0</v>
      </c>
      <c r="AB53" s="26">
        <f t="shared" si="28"/>
        <v>0</v>
      </c>
      <c r="AC53" s="26">
        <f t="shared" si="29"/>
        <v>0</v>
      </c>
      <c r="AD53" s="26">
        <f t="shared" si="30"/>
        <v>0</v>
      </c>
      <c r="AE53" s="26">
        <f t="shared" si="31"/>
        <v>0</v>
      </c>
      <c r="AF53" s="26">
        <f t="shared" si="32"/>
        <v>0</v>
      </c>
      <c r="AG53" s="26">
        <f t="shared" si="33"/>
        <v>0</v>
      </c>
      <c r="AH53" s="26">
        <f t="shared" si="34"/>
        <v>0</v>
      </c>
      <c r="AI53" s="11" t="s">
        <v>58</v>
      </c>
      <c r="AJ53" s="26">
        <f t="shared" si="35"/>
        <v>0</v>
      </c>
      <c r="AK53" s="26">
        <f t="shared" si="36"/>
        <v>0</v>
      </c>
      <c r="AL53" s="26">
        <f t="shared" si="37"/>
        <v>0</v>
      </c>
      <c r="AN53" s="26">
        <v>12</v>
      </c>
      <c r="AO53" s="26">
        <f>G53*0.324203353</f>
        <v>0</v>
      </c>
      <c r="AP53" s="26">
        <f>G53*(1-0.324203353)</f>
        <v>0</v>
      </c>
      <c r="AQ53" s="29" t="s">
        <v>90</v>
      </c>
      <c r="AV53" s="26">
        <f t="shared" si="40"/>
        <v>0</v>
      </c>
      <c r="AW53" s="26">
        <f t="shared" si="41"/>
        <v>0</v>
      </c>
      <c r="AX53" s="26">
        <f t="shared" si="42"/>
        <v>0</v>
      </c>
      <c r="AY53" s="29" t="s">
        <v>160</v>
      </c>
      <c r="AZ53" s="29" t="s">
        <v>109</v>
      </c>
      <c r="BA53" s="11" t="s">
        <v>61</v>
      </c>
      <c r="BB53" s="30">
        <v>100002</v>
      </c>
      <c r="BC53" s="26">
        <f t="shared" si="43"/>
        <v>0</v>
      </c>
      <c r="BD53" s="26">
        <f t="shared" si="44"/>
        <v>0</v>
      </c>
      <c r="BE53" s="26">
        <v>0</v>
      </c>
      <c r="BF53" s="26">
        <f>53</f>
        <v>53</v>
      </c>
      <c r="BH53" s="26">
        <f t="shared" si="45"/>
        <v>0</v>
      </c>
      <c r="BI53" s="26">
        <f t="shared" si="46"/>
        <v>0</v>
      </c>
      <c r="BJ53" s="26">
        <f t="shared" si="47"/>
        <v>0</v>
      </c>
      <c r="BK53" s="26"/>
      <c r="BL53" s="26">
        <v>722</v>
      </c>
      <c r="BW53" s="26">
        <v>12</v>
      </c>
      <c r="BX53" s="5" t="s">
        <v>184</v>
      </c>
    </row>
    <row r="54" spans="1:76" x14ac:dyDescent="0.25">
      <c r="A54" s="2" t="s">
        <v>185</v>
      </c>
      <c r="B54" s="3" t="s">
        <v>186</v>
      </c>
      <c r="C54" s="96" t="s">
        <v>187</v>
      </c>
      <c r="D54" s="91"/>
      <c r="E54" s="3" t="s">
        <v>69</v>
      </c>
      <c r="F54" s="26">
        <v>30.12</v>
      </c>
      <c r="G54" s="27">
        <v>0</v>
      </c>
      <c r="H54" s="26">
        <f t="shared" si="24"/>
        <v>0</v>
      </c>
      <c r="I54" s="26">
        <f t="shared" si="25"/>
        <v>0</v>
      </c>
      <c r="J54" s="26">
        <f t="shared" si="26"/>
        <v>0</v>
      </c>
      <c r="K54" s="28" t="s">
        <v>65</v>
      </c>
      <c r="Z54" s="26">
        <f t="shared" si="27"/>
        <v>0</v>
      </c>
      <c r="AB54" s="26">
        <f t="shared" si="28"/>
        <v>0</v>
      </c>
      <c r="AC54" s="26">
        <f t="shared" si="29"/>
        <v>0</v>
      </c>
      <c r="AD54" s="26">
        <f t="shared" si="30"/>
        <v>0</v>
      </c>
      <c r="AE54" s="26">
        <f t="shared" si="31"/>
        <v>0</v>
      </c>
      <c r="AF54" s="26">
        <f t="shared" si="32"/>
        <v>0</v>
      </c>
      <c r="AG54" s="26">
        <f t="shared" si="33"/>
        <v>0</v>
      </c>
      <c r="AH54" s="26">
        <f t="shared" si="34"/>
        <v>0</v>
      </c>
      <c r="AI54" s="11" t="s">
        <v>58</v>
      </c>
      <c r="AJ54" s="26">
        <f t="shared" si="35"/>
        <v>0</v>
      </c>
      <c r="AK54" s="26">
        <f t="shared" si="36"/>
        <v>0</v>
      </c>
      <c r="AL54" s="26">
        <f t="shared" si="37"/>
        <v>0</v>
      </c>
      <c r="AN54" s="26">
        <v>12</v>
      </c>
      <c r="AO54" s="26">
        <f>G54*0.382465753</f>
        <v>0</v>
      </c>
      <c r="AP54" s="26">
        <f>G54*(1-0.382465753)</f>
        <v>0</v>
      </c>
      <c r="AQ54" s="29" t="s">
        <v>90</v>
      </c>
      <c r="AV54" s="26">
        <f t="shared" si="40"/>
        <v>0</v>
      </c>
      <c r="AW54" s="26">
        <f t="shared" si="41"/>
        <v>0</v>
      </c>
      <c r="AX54" s="26">
        <f t="shared" si="42"/>
        <v>0</v>
      </c>
      <c r="AY54" s="29" t="s">
        <v>160</v>
      </c>
      <c r="AZ54" s="29" t="s">
        <v>109</v>
      </c>
      <c r="BA54" s="11" t="s">
        <v>61</v>
      </c>
      <c r="BB54" s="30">
        <v>100002</v>
      </c>
      <c r="BC54" s="26">
        <f t="shared" si="43"/>
        <v>0</v>
      </c>
      <c r="BD54" s="26">
        <f t="shared" si="44"/>
        <v>0</v>
      </c>
      <c r="BE54" s="26">
        <v>0</v>
      </c>
      <c r="BF54" s="26">
        <f>54</f>
        <v>54</v>
      </c>
      <c r="BH54" s="26">
        <f t="shared" si="45"/>
        <v>0</v>
      </c>
      <c r="BI54" s="26">
        <f t="shared" si="46"/>
        <v>0</v>
      </c>
      <c r="BJ54" s="26">
        <f t="shared" si="47"/>
        <v>0</v>
      </c>
      <c r="BK54" s="26"/>
      <c r="BL54" s="26">
        <v>722</v>
      </c>
      <c r="BW54" s="26">
        <v>12</v>
      </c>
      <c r="BX54" s="5" t="s">
        <v>187</v>
      </c>
    </row>
    <row r="55" spans="1:76" x14ac:dyDescent="0.25">
      <c r="A55" s="2" t="s">
        <v>188</v>
      </c>
      <c r="B55" s="3" t="s">
        <v>189</v>
      </c>
      <c r="C55" s="96" t="s">
        <v>190</v>
      </c>
      <c r="D55" s="91"/>
      <c r="E55" s="3" t="s">
        <v>69</v>
      </c>
      <c r="F55" s="26">
        <v>33.6</v>
      </c>
      <c r="G55" s="27">
        <v>0</v>
      </c>
      <c r="H55" s="26">
        <f t="shared" si="24"/>
        <v>0</v>
      </c>
      <c r="I55" s="26">
        <f t="shared" si="25"/>
        <v>0</v>
      </c>
      <c r="J55" s="26">
        <f t="shared" si="26"/>
        <v>0</v>
      </c>
      <c r="K55" s="28" t="s">
        <v>65</v>
      </c>
      <c r="Z55" s="26">
        <f t="shared" si="27"/>
        <v>0</v>
      </c>
      <c r="AB55" s="26">
        <f t="shared" si="28"/>
        <v>0</v>
      </c>
      <c r="AC55" s="26">
        <f t="shared" si="29"/>
        <v>0</v>
      </c>
      <c r="AD55" s="26">
        <f t="shared" si="30"/>
        <v>0</v>
      </c>
      <c r="AE55" s="26">
        <f t="shared" si="31"/>
        <v>0</v>
      </c>
      <c r="AF55" s="26">
        <f t="shared" si="32"/>
        <v>0</v>
      </c>
      <c r="AG55" s="26">
        <f t="shared" si="33"/>
        <v>0</v>
      </c>
      <c r="AH55" s="26">
        <f t="shared" si="34"/>
        <v>0</v>
      </c>
      <c r="AI55" s="11" t="s">
        <v>58</v>
      </c>
      <c r="AJ55" s="26">
        <f t="shared" si="35"/>
        <v>0</v>
      </c>
      <c r="AK55" s="26">
        <f t="shared" si="36"/>
        <v>0</v>
      </c>
      <c r="AL55" s="26">
        <f t="shared" si="37"/>
        <v>0</v>
      </c>
      <c r="AN55" s="26">
        <v>12</v>
      </c>
      <c r="AO55" s="26">
        <f>G55*0.469976581</f>
        <v>0</v>
      </c>
      <c r="AP55" s="26">
        <f>G55*(1-0.469976581)</f>
        <v>0</v>
      </c>
      <c r="AQ55" s="29" t="s">
        <v>90</v>
      </c>
      <c r="AV55" s="26">
        <f t="shared" si="40"/>
        <v>0</v>
      </c>
      <c r="AW55" s="26">
        <f t="shared" si="41"/>
        <v>0</v>
      </c>
      <c r="AX55" s="26">
        <f t="shared" si="42"/>
        <v>0</v>
      </c>
      <c r="AY55" s="29" t="s">
        <v>160</v>
      </c>
      <c r="AZ55" s="29" t="s">
        <v>109</v>
      </c>
      <c r="BA55" s="11" t="s">
        <v>61</v>
      </c>
      <c r="BB55" s="30">
        <v>100002</v>
      </c>
      <c r="BC55" s="26">
        <f t="shared" si="43"/>
        <v>0</v>
      </c>
      <c r="BD55" s="26">
        <f t="shared" si="44"/>
        <v>0</v>
      </c>
      <c r="BE55" s="26">
        <v>0</v>
      </c>
      <c r="BF55" s="26">
        <f>55</f>
        <v>55</v>
      </c>
      <c r="BH55" s="26">
        <f t="shared" si="45"/>
        <v>0</v>
      </c>
      <c r="BI55" s="26">
        <f t="shared" si="46"/>
        <v>0</v>
      </c>
      <c r="BJ55" s="26">
        <f t="shared" si="47"/>
        <v>0</v>
      </c>
      <c r="BK55" s="26"/>
      <c r="BL55" s="26">
        <v>722</v>
      </c>
      <c r="BW55" s="26">
        <v>12</v>
      </c>
      <c r="BX55" s="5" t="s">
        <v>190</v>
      </c>
    </row>
    <row r="56" spans="1:76" x14ac:dyDescent="0.25">
      <c r="A56" s="2" t="s">
        <v>191</v>
      </c>
      <c r="B56" s="3" t="s">
        <v>192</v>
      </c>
      <c r="C56" s="96" t="s">
        <v>193</v>
      </c>
      <c r="D56" s="91"/>
      <c r="E56" s="3" t="s">
        <v>69</v>
      </c>
      <c r="F56" s="26">
        <v>33.6</v>
      </c>
      <c r="G56" s="27">
        <v>0</v>
      </c>
      <c r="H56" s="26">
        <f t="shared" si="24"/>
        <v>0</v>
      </c>
      <c r="I56" s="26">
        <f t="shared" si="25"/>
        <v>0</v>
      </c>
      <c r="J56" s="26">
        <f t="shared" si="26"/>
        <v>0</v>
      </c>
      <c r="K56" s="28" t="s">
        <v>65</v>
      </c>
      <c r="Z56" s="26">
        <f t="shared" si="27"/>
        <v>0</v>
      </c>
      <c r="AB56" s="26">
        <f t="shared" si="28"/>
        <v>0</v>
      </c>
      <c r="AC56" s="26">
        <f t="shared" si="29"/>
        <v>0</v>
      </c>
      <c r="AD56" s="26">
        <f t="shared" si="30"/>
        <v>0</v>
      </c>
      <c r="AE56" s="26">
        <f t="shared" si="31"/>
        <v>0</v>
      </c>
      <c r="AF56" s="26">
        <f t="shared" si="32"/>
        <v>0</v>
      </c>
      <c r="AG56" s="26">
        <f t="shared" si="33"/>
        <v>0</v>
      </c>
      <c r="AH56" s="26">
        <f t="shared" si="34"/>
        <v>0</v>
      </c>
      <c r="AI56" s="11" t="s">
        <v>58</v>
      </c>
      <c r="AJ56" s="26">
        <f t="shared" si="35"/>
        <v>0</v>
      </c>
      <c r="AK56" s="26">
        <f t="shared" si="36"/>
        <v>0</v>
      </c>
      <c r="AL56" s="26">
        <f t="shared" si="37"/>
        <v>0</v>
      </c>
      <c r="AN56" s="26">
        <v>12</v>
      </c>
      <c r="AO56" s="26">
        <f>G56*0.593152174</f>
        <v>0</v>
      </c>
      <c r="AP56" s="26">
        <f>G56*(1-0.593152174)</f>
        <v>0</v>
      </c>
      <c r="AQ56" s="29" t="s">
        <v>90</v>
      </c>
      <c r="AV56" s="26">
        <f t="shared" si="40"/>
        <v>0</v>
      </c>
      <c r="AW56" s="26">
        <f t="shared" si="41"/>
        <v>0</v>
      </c>
      <c r="AX56" s="26">
        <f t="shared" si="42"/>
        <v>0</v>
      </c>
      <c r="AY56" s="29" t="s">
        <v>160</v>
      </c>
      <c r="AZ56" s="29" t="s">
        <v>109</v>
      </c>
      <c r="BA56" s="11" t="s">
        <v>61</v>
      </c>
      <c r="BB56" s="30">
        <v>100002</v>
      </c>
      <c r="BC56" s="26">
        <f t="shared" si="43"/>
        <v>0</v>
      </c>
      <c r="BD56" s="26">
        <f t="shared" si="44"/>
        <v>0</v>
      </c>
      <c r="BE56" s="26">
        <v>0</v>
      </c>
      <c r="BF56" s="26">
        <f>56</f>
        <v>56</v>
      </c>
      <c r="BH56" s="26">
        <f t="shared" si="45"/>
        <v>0</v>
      </c>
      <c r="BI56" s="26">
        <f t="shared" si="46"/>
        <v>0</v>
      </c>
      <c r="BJ56" s="26">
        <f t="shared" si="47"/>
        <v>0</v>
      </c>
      <c r="BK56" s="26"/>
      <c r="BL56" s="26">
        <v>722</v>
      </c>
      <c r="BW56" s="26">
        <v>12</v>
      </c>
      <c r="BX56" s="5" t="s">
        <v>193</v>
      </c>
    </row>
    <row r="57" spans="1:76" x14ac:dyDescent="0.25">
      <c r="A57" s="2" t="s">
        <v>194</v>
      </c>
      <c r="B57" s="3" t="s">
        <v>195</v>
      </c>
      <c r="C57" s="96" t="s">
        <v>196</v>
      </c>
      <c r="D57" s="91"/>
      <c r="E57" s="3" t="s">
        <v>69</v>
      </c>
      <c r="F57" s="26">
        <v>144.69999999999999</v>
      </c>
      <c r="G57" s="27">
        <v>0</v>
      </c>
      <c r="H57" s="26">
        <f t="shared" si="24"/>
        <v>0</v>
      </c>
      <c r="I57" s="26">
        <f t="shared" si="25"/>
        <v>0</v>
      </c>
      <c r="J57" s="26">
        <f t="shared" si="26"/>
        <v>0</v>
      </c>
      <c r="K57" s="28" t="s">
        <v>65</v>
      </c>
      <c r="Z57" s="26">
        <f t="shared" si="27"/>
        <v>0</v>
      </c>
      <c r="AB57" s="26">
        <f t="shared" si="28"/>
        <v>0</v>
      </c>
      <c r="AC57" s="26">
        <f t="shared" si="29"/>
        <v>0</v>
      </c>
      <c r="AD57" s="26">
        <f t="shared" si="30"/>
        <v>0</v>
      </c>
      <c r="AE57" s="26">
        <f t="shared" si="31"/>
        <v>0</v>
      </c>
      <c r="AF57" s="26">
        <f t="shared" si="32"/>
        <v>0</v>
      </c>
      <c r="AG57" s="26">
        <f t="shared" si="33"/>
        <v>0</v>
      </c>
      <c r="AH57" s="26">
        <f t="shared" si="34"/>
        <v>0</v>
      </c>
      <c r="AI57" s="11" t="s">
        <v>58</v>
      </c>
      <c r="AJ57" s="26">
        <f t="shared" si="35"/>
        <v>0</v>
      </c>
      <c r="AK57" s="26">
        <f t="shared" si="36"/>
        <v>0</v>
      </c>
      <c r="AL57" s="26">
        <f t="shared" si="37"/>
        <v>0</v>
      </c>
      <c r="AN57" s="26">
        <v>12</v>
      </c>
      <c r="AO57" s="26">
        <f>G57*0.562876344</f>
        <v>0</v>
      </c>
      <c r="AP57" s="26">
        <f>G57*(1-0.562876344)</f>
        <v>0</v>
      </c>
      <c r="AQ57" s="29" t="s">
        <v>90</v>
      </c>
      <c r="AV57" s="26">
        <f t="shared" si="40"/>
        <v>0</v>
      </c>
      <c r="AW57" s="26">
        <f t="shared" si="41"/>
        <v>0</v>
      </c>
      <c r="AX57" s="26">
        <f t="shared" si="42"/>
        <v>0</v>
      </c>
      <c r="AY57" s="29" t="s">
        <v>160</v>
      </c>
      <c r="AZ57" s="29" t="s">
        <v>109</v>
      </c>
      <c r="BA57" s="11" t="s">
        <v>61</v>
      </c>
      <c r="BB57" s="30">
        <v>100002</v>
      </c>
      <c r="BC57" s="26">
        <f t="shared" si="43"/>
        <v>0</v>
      </c>
      <c r="BD57" s="26">
        <f t="shared" si="44"/>
        <v>0</v>
      </c>
      <c r="BE57" s="26">
        <v>0</v>
      </c>
      <c r="BF57" s="26">
        <f>57</f>
        <v>57</v>
      </c>
      <c r="BH57" s="26">
        <f t="shared" si="45"/>
        <v>0</v>
      </c>
      <c r="BI57" s="26">
        <f t="shared" si="46"/>
        <v>0</v>
      </c>
      <c r="BJ57" s="26">
        <f t="shared" si="47"/>
        <v>0</v>
      </c>
      <c r="BK57" s="26"/>
      <c r="BL57" s="26">
        <v>722</v>
      </c>
      <c r="BW57" s="26">
        <v>12</v>
      </c>
      <c r="BX57" s="5" t="s">
        <v>196</v>
      </c>
    </row>
    <row r="58" spans="1:76" x14ac:dyDescent="0.25">
      <c r="A58" s="2" t="s">
        <v>71</v>
      </c>
      <c r="B58" s="3" t="s">
        <v>197</v>
      </c>
      <c r="C58" s="96" t="s">
        <v>198</v>
      </c>
      <c r="D58" s="91"/>
      <c r="E58" s="3" t="s">
        <v>69</v>
      </c>
      <c r="F58" s="26">
        <v>17.2</v>
      </c>
      <c r="G58" s="27">
        <v>0</v>
      </c>
      <c r="H58" s="26">
        <f t="shared" si="24"/>
        <v>0</v>
      </c>
      <c r="I58" s="26">
        <f t="shared" si="25"/>
        <v>0</v>
      </c>
      <c r="J58" s="26">
        <f t="shared" si="26"/>
        <v>0</v>
      </c>
      <c r="K58" s="28" t="s">
        <v>65</v>
      </c>
      <c r="Z58" s="26">
        <f t="shared" si="27"/>
        <v>0</v>
      </c>
      <c r="AB58" s="26">
        <f t="shared" si="28"/>
        <v>0</v>
      </c>
      <c r="AC58" s="26">
        <f t="shared" si="29"/>
        <v>0</v>
      </c>
      <c r="AD58" s="26">
        <f t="shared" si="30"/>
        <v>0</v>
      </c>
      <c r="AE58" s="26">
        <f t="shared" si="31"/>
        <v>0</v>
      </c>
      <c r="AF58" s="26">
        <f t="shared" si="32"/>
        <v>0</v>
      </c>
      <c r="AG58" s="26">
        <f t="shared" si="33"/>
        <v>0</v>
      </c>
      <c r="AH58" s="26">
        <f t="shared" si="34"/>
        <v>0</v>
      </c>
      <c r="AI58" s="11" t="s">
        <v>58</v>
      </c>
      <c r="AJ58" s="26">
        <f t="shared" si="35"/>
        <v>0</v>
      </c>
      <c r="AK58" s="26">
        <f t="shared" si="36"/>
        <v>0</v>
      </c>
      <c r="AL58" s="26">
        <f t="shared" si="37"/>
        <v>0</v>
      </c>
      <c r="AN58" s="26">
        <v>12</v>
      </c>
      <c r="AO58" s="26">
        <f>G58*0.640833333</f>
        <v>0</v>
      </c>
      <c r="AP58" s="26">
        <f>G58*(1-0.640833333)</f>
        <v>0</v>
      </c>
      <c r="AQ58" s="29" t="s">
        <v>90</v>
      </c>
      <c r="AV58" s="26">
        <f t="shared" si="40"/>
        <v>0</v>
      </c>
      <c r="AW58" s="26">
        <f t="shared" si="41"/>
        <v>0</v>
      </c>
      <c r="AX58" s="26">
        <f t="shared" si="42"/>
        <v>0</v>
      </c>
      <c r="AY58" s="29" t="s">
        <v>160</v>
      </c>
      <c r="AZ58" s="29" t="s">
        <v>109</v>
      </c>
      <c r="BA58" s="11" t="s">
        <v>61</v>
      </c>
      <c r="BB58" s="30">
        <v>100002</v>
      </c>
      <c r="BC58" s="26">
        <f t="shared" si="43"/>
        <v>0</v>
      </c>
      <c r="BD58" s="26">
        <f t="shared" si="44"/>
        <v>0</v>
      </c>
      <c r="BE58" s="26">
        <v>0</v>
      </c>
      <c r="BF58" s="26">
        <f>58</f>
        <v>58</v>
      </c>
      <c r="BH58" s="26">
        <f t="shared" si="45"/>
        <v>0</v>
      </c>
      <c r="BI58" s="26">
        <f t="shared" si="46"/>
        <v>0</v>
      </c>
      <c r="BJ58" s="26">
        <f t="shared" si="47"/>
        <v>0</v>
      </c>
      <c r="BK58" s="26"/>
      <c r="BL58" s="26">
        <v>722</v>
      </c>
      <c r="BW58" s="26">
        <v>12</v>
      </c>
      <c r="BX58" s="5" t="s">
        <v>198</v>
      </c>
    </row>
    <row r="59" spans="1:76" x14ac:dyDescent="0.25">
      <c r="A59" s="2" t="s">
        <v>199</v>
      </c>
      <c r="B59" s="3" t="s">
        <v>200</v>
      </c>
      <c r="C59" s="96" t="s">
        <v>201</v>
      </c>
      <c r="D59" s="91"/>
      <c r="E59" s="3" t="s">
        <v>69</v>
      </c>
      <c r="F59" s="26">
        <v>11.4</v>
      </c>
      <c r="G59" s="27">
        <v>0</v>
      </c>
      <c r="H59" s="26">
        <f t="shared" si="24"/>
        <v>0</v>
      </c>
      <c r="I59" s="26">
        <f t="shared" si="25"/>
        <v>0</v>
      </c>
      <c r="J59" s="26">
        <f t="shared" si="26"/>
        <v>0</v>
      </c>
      <c r="K59" s="28" t="s">
        <v>65</v>
      </c>
      <c r="Z59" s="26">
        <f t="shared" si="27"/>
        <v>0</v>
      </c>
      <c r="AB59" s="26">
        <f t="shared" si="28"/>
        <v>0</v>
      </c>
      <c r="AC59" s="26">
        <f t="shared" si="29"/>
        <v>0</v>
      </c>
      <c r="AD59" s="26">
        <f t="shared" si="30"/>
        <v>0</v>
      </c>
      <c r="AE59" s="26">
        <f t="shared" si="31"/>
        <v>0</v>
      </c>
      <c r="AF59" s="26">
        <f t="shared" si="32"/>
        <v>0</v>
      </c>
      <c r="AG59" s="26">
        <f t="shared" si="33"/>
        <v>0</v>
      </c>
      <c r="AH59" s="26">
        <f t="shared" si="34"/>
        <v>0</v>
      </c>
      <c r="AI59" s="11" t="s">
        <v>58</v>
      </c>
      <c r="AJ59" s="26">
        <f t="shared" si="35"/>
        <v>0</v>
      </c>
      <c r="AK59" s="26">
        <f t="shared" si="36"/>
        <v>0</v>
      </c>
      <c r="AL59" s="26">
        <f t="shared" si="37"/>
        <v>0</v>
      </c>
      <c r="AN59" s="26">
        <v>12</v>
      </c>
      <c r="AO59" s="26">
        <f>G59*0.681448598</f>
        <v>0</v>
      </c>
      <c r="AP59" s="26">
        <f>G59*(1-0.681448598)</f>
        <v>0</v>
      </c>
      <c r="AQ59" s="29" t="s">
        <v>90</v>
      </c>
      <c r="AV59" s="26">
        <f t="shared" si="40"/>
        <v>0</v>
      </c>
      <c r="AW59" s="26">
        <f t="shared" si="41"/>
        <v>0</v>
      </c>
      <c r="AX59" s="26">
        <f t="shared" si="42"/>
        <v>0</v>
      </c>
      <c r="AY59" s="29" t="s">
        <v>160</v>
      </c>
      <c r="AZ59" s="29" t="s">
        <v>109</v>
      </c>
      <c r="BA59" s="11" t="s">
        <v>61</v>
      </c>
      <c r="BB59" s="30">
        <v>100002</v>
      </c>
      <c r="BC59" s="26">
        <f t="shared" si="43"/>
        <v>0</v>
      </c>
      <c r="BD59" s="26">
        <f t="shared" si="44"/>
        <v>0</v>
      </c>
      <c r="BE59" s="26">
        <v>0</v>
      </c>
      <c r="BF59" s="26">
        <f>59</f>
        <v>59</v>
      </c>
      <c r="BH59" s="26">
        <f t="shared" si="45"/>
        <v>0</v>
      </c>
      <c r="BI59" s="26">
        <f t="shared" si="46"/>
        <v>0</v>
      </c>
      <c r="BJ59" s="26">
        <f t="shared" si="47"/>
        <v>0</v>
      </c>
      <c r="BK59" s="26"/>
      <c r="BL59" s="26">
        <v>722</v>
      </c>
      <c r="BW59" s="26">
        <v>12</v>
      </c>
      <c r="BX59" s="5" t="s">
        <v>201</v>
      </c>
    </row>
    <row r="60" spans="1:76" x14ac:dyDescent="0.25">
      <c r="A60" s="2" t="s">
        <v>202</v>
      </c>
      <c r="B60" s="3" t="s">
        <v>203</v>
      </c>
      <c r="C60" s="96" t="s">
        <v>204</v>
      </c>
      <c r="D60" s="91"/>
      <c r="E60" s="3" t="s">
        <v>93</v>
      </c>
      <c r="F60" s="26">
        <v>7</v>
      </c>
      <c r="G60" s="27">
        <v>0</v>
      </c>
      <c r="H60" s="26">
        <f t="shared" si="24"/>
        <v>0</v>
      </c>
      <c r="I60" s="26">
        <f t="shared" si="25"/>
        <v>0</v>
      </c>
      <c r="J60" s="26">
        <f t="shared" si="26"/>
        <v>0</v>
      </c>
      <c r="K60" s="28" t="s">
        <v>65</v>
      </c>
      <c r="Z60" s="26">
        <f t="shared" si="27"/>
        <v>0</v>
      </c>
      <c r="AB60" s="26">
        <f t="shared" si="28"/>
        <v>0</v>
      </c>
      <c r="AC60" s="26">
        <f t="shared" si="29"/>
        <v>0</v>
      </c>
      <c r="AD60" s="26">
        <f t="shared" si="30"/>
        <v>0</v>
      </c>
      <c r="AE60" s="26">
        <f t="shared" si="31"/>
        <v>0</v>
      </c>
      <c r="AF60" s="26">
        <f t="shared" si="32"/>
        <v>0</v>
      </c>
      <c r="AG60" s="26">
        <f t="shared" si="33"/>
        <v>0</v>
      </c>
      <c r="AH60" s="26">
        <f t="shared" si="34"/>
        <v>0</v>
      </c>
      <c r="AI60" s="11" t="s">
        <v>58</v>
      </c>
      <c r="AJ60" s="26">
        <f t="shared" si="35"/>
        <v>0</v>
      </c>
      <c r="AK60" s="26">
        <f t="shared" si="36"/>
        <v>0</v>
      </c>
      <c r="AL60" s="26">
        <f t="shared" si="37"/>
        <v>0</v>
      </c>
      <c r="AN60" s="26">
        <v>12</v>
      </c>
      <c r="AO60" s="26">
        <f>G60*0</f>
        <v>0</v>
      </c>
      <c r="AP60" s="26">
        <f>G60*(1-0)</f>
        <v>0</v>
      </c>
      <c r="AQ60" s="29" t="s">
        <v>90</v>
      </c>
      <c r="AV60" s="26">
        <f t="shared" si="40"/>
        <v>0</v>
      </c>
      <c r="AW60" s="26">
        <f t="shared" si="41"/>
        <v>0</v>
      </c>
      <c r="AX60" s="26">
        <f t="shared" si="42"/>
        <v>0</v>
      </c>
      <c r="AY60" s="29" t="s">
        <v>160</v>
      </c>
      <c r="AZ60" s="29" t="s">
        <v>109</v>
      </c>
      <c r="BA60" s="11" t="s">
        <v>61</v>
      </c>
      <c r="BB60" s="30">
        <v>100002</v>
      </c>
      <c r="BC60" s="26">
        <f t="shared" si="43"/>
        <v>0</v>
      </c>
      <c r="BD60" s="26">
        <f t="shared" si="44"/>
        <v>0</v>
      </c>
      <c r="BE60" s="26">
        <v>0</v>
      </c>
      <c r="BF60" s="26">
        <f>60</f>
        <v>60</v>
      </c>
      <c r="BH60" s="26">
        <f t="shared" si="45"/>
        <v>0</v>
      </c>
      <c r="BI60" s="26">
        <f t="shared" si="46"/>
        <v>0</v>
      </c>
      <c r="BJ60" s="26">
        <f t="shared" si="47"/>
        <v>0</v>
      </c>
      <c r="BK60" s="26"/>
      <c r="BL60" s="26">
        <v>722</v>
      </c>
      <c r="BW60" s="26">
        <v>12</v>
      </c>
      <c r="BX60" s="5" t="s">
        <v>204</v>
      </c>
    </row>
    <row r="61" spans="1:76" x14ac:dyDescent="0.25">
      <c r="A61" s="2" t="s">
        <v>205</v>
      </c>
      <c r="B61" s="3" t="s">
        <v>206</v>
      </c>
      <c r="C61" s="96" t="s">
        <v>207</v>
      </c>
      <c r="D61" s="91"/>
      <c r="E61" s="3" t="s">
        <v>93</v>
      </c>
      <c r="F61" s="26">
        <v>12</v>
      </c>
      <c r="G61" s="27">
        <v>0</v>
      </c>
      <c r="H61" s="26">
        <f t="shared" si="24"/>
        <v>0</v>
      </c>
      <c r="I61" s="26">
        <f t="shared" si="25"/>
        <v>0</v>
      </c>
      <c r="J61" s="26">
        <f t="shared" si="26"/>
        <v>0</v>
      </c>
      <c r="K61" s="28" t="s">
        <v>65</v>
      </c>
      <c r="Z61" s="26">
        <f t="shared" si="27"/>
        <v>0</v>
      </c>
      <c r="AB61" s="26">
        <f t="shared" si="28"/>
        <v>0</v>
      </c>
      <c r="AC61" s="26">
        <f t="shared" si="29"/>
        <v>0</v>
      </c>
      <c r="AD61" s="26">
        <f t="shared" si="30"/>
        <v>0</v>
      </c>
      <c r="AE61" s="26">
        <f t="shared" si="31"/>
        <v>0</v>
      </c>
      <c r="AF61" s="26">
        <f t="shared" si="32"/>
        <v>0</v>
      </c>
      <c r="AG61" s="26">
        <f t="shared" si="33"/>
        <v>0</v>
      </c>
      <c r="AH61" s="26">
        <f t="shared" si="34"/>
        <v>0</v>
      </c>
      <c r="AI61" s="11" t="s">
        <v>58</v>
      </c>
      <c r="AJ61" s="26">
        <f t="shared" si="35"/>
        <v>0</v>
      </c>
      <c r="AK61" s="26">
        <f t="shared" si="36"/>
        <v>0</v>
      </c>
      <c r="AL61" s="26">
        <f t="shared" si="37"/>
        <v>0</v>
      </c>
      <c r="AN61" s="26">
        <v>12</v>
      </c>
      <c r="AO61" s="26">
        <f>G61*0</f>
        <v>0</v>
      </c>
      <c r="AP61" s="26">
        <f>G61*(1-0)</f>
        <v>0</v>
      </c>
      <c r="AQ61" s="29" t="s">
        <v>90</v>
      </c>
      <c r="AV61" s="26">
        <f t="shared" si="40"/>
        <v>0</v>
      </c>
      <c r="AW61" s="26">
        <f t="shared" si="41"/>
        <v>0</v>
      </c>
      <c r="AX61" s="26">
        <f t="shared" si="42"/>
        <v>0</v>
      </c>
      <c r="AY61" s="29" t="s">
        <v>160</v>
      </c>
      <c r="AZ61" s="29" t="s">
        <v>109</v>
      </c>
      <c r="BA61" s="11" t="s">
        <v>61</v>
      </c>
      <c r="BB61" s="30">
        <v>100002</v>
      </c>
      <c r="BC61" s="26">
        <f t="shared" si="43"/>
        <v>0</v>
      </c>
      <c r="BD61" s="26">
        <f t="shared" si="44"/>
        <v>0</v>
      </c>
      <c r="BE61" s="26">
        <v>0</v>
      </c>
      <c r="BF61" s="26">
        <f>61</f>
        <v>61</v>
      </c>
      <c r="BH61" s="26">
        <f t="shared" si="45"/>
        <v>0</v>
      </c>
      <c r="BI61" s="26">
        <f t="shared" si="46"/>
        <v>0</v>
      </c>
      <c r="BJ61" s="26">
        <f t="shared" si="47"/>
        <v>0</v>
      </c>
      <c r="BK61" s="26"/>
      <c r="BL61" s="26">
        <v>722</v>
      </c>
      <c r="BW61" s="26">
        <v>12</v>
      </c>
      <c r="BX61" s="5" t="s">
        <v>207</v>
      </c>
    </row>
    <row r="62" spans="1:76" x14ac:dyDescent="0.25">
      <c r="A62" s="2" t="s">
        <v>208</v>
      </c>
      <c r="B62" s="3" t="s">
        <v>209</v>
      </c>
      <c r="C62" s="96" t="s">
        <v>210</v>
      </c>
      <c r="D62" s="91"/>
      <c r="E62" s="3" t="s">
        <v>93</v>
      </c>
      <c r="F62" s="26">
        <v>1</v>
      </c>
      <c r="G62" s="27">
        <v>0</v>
      </c>
      <c r="H62" s="26">
        <f t="shared" si="24"/>
        <v>0</v>
      </c>
      <c r="I62" s="26">
        <f t="shared" si="25"/>
        <v>0</v>
      </c>
      <c r="J62" s="26">
        <f t="shared" si="26"/>
        <v>0</v>
      </c>
      <c r="K62" s="28" t="s">
        <v>65</v>
      </c>
      <c r="Z62" s="26">
        <f t="shared" si="27"/>
        <v>0</v>
      </c>
      <c r="AB62" s="26">
        <f t="shared" si="28"/>
        <v>0</v>
      </c>
      <c r="AC62" s="26">
        <f t="shared" si="29"/>
        <v>0</v>
      </c>
      <c r="AD62" s="26">
        <f t="shared" si="30"/>
        <v>0</v>
      </c>
      <c r="AE62" s="26">
        <f t="shared" si="31"/>
        <v>0</v>
      </c>
      <c r="AF62" s="26">
        <f t="shared" si="32"/>
        <v>0</v>
      </c>
      <c r="AG62" s="26">
        <f t="shared" si="33"/>
        <v>0</v>
      </c>
      <c r="AH62" s="26">
        <f t="shared" si="34"/>
        <v>0</v>
      </c>
      <c r="AI62" s="11" t="s">
        <v>58</v>
      </c>
      <c r="AJ62" s="26">
        <f t="shared" si="35"/>
        <v>0</v>
      </c>
      <c r="AK62" s="26">
        <f t="shared" si="36"/>
        <v>0</v>
      </c>
      <c r="AL62" s="26">
        <f t="shared" si="37"/>
        <v>0</v>
      </c>
      <c r="AN62" s="26">
        <v>12</v>
      </c>
      <c r="AO62" s="26">
        <f>G62*0</f>
        <v>0</v>
      </c>
      <c r="AP62" s="26">
        <f>G62*(1-0)</f>
        <v>0</v>
      </c>
      <c r="AQ62" s="29" t="s">
        <v>90</v>
      </c>
      <c r="AV62" s="26">
        <f t="shared" si="40"/>
        <v>0</v>
      </c>
      <c r="AW62" s="26">
        <f t="shared" si="41"/>
        <v>0</v>
      </c>
      <c r="AX62" s="26">
        <f t="shared" si="42"/>
        <v>0</v>
      </c>
      <c r="AY62" s="29" t="s">
        <v>160</v>
      </c>
      <c r="AZ62" s="29" t="s">
        <v>109</v>
      </c>
      <c r="BA62" s="11" t="s">
        <v>61</v>
      </c>
      <c r="BB62" s="30">
        <v>100002</v>
      </c>
      <c r="BC62" s="26">
        <f t="shared" si="43"/>
        <v>0</v>
      </c>
      <c r="BD62" s="26">
        <f t="shared" si="44"/>
        <v>0</v>
      </c>
      <c r="BE62" s="26">
        <v>0</v>
      </c>
      <c r="BF62" s="26">
        <f>62</f>
        <v>62</v>
      </c>
      <c r="BH62" s="26">
        <f t="shared" si="45"/>
        <v>0</v>
      </c>
      <c r="BI62" s="26">
        <f t="shared" si="46"/>
        <v>0</v>
      </c>
      <c r="BJ62" s="26">
        <f t="shared" si="47"/>
        <v>0</v>
      </c>
      <c r="BK62" s="26"/>
      <c r="BL62" s="26">
        <v>722</v>
      </c>
      <c r="BW62" s="26">
        <v>12</v>
      </c>
      <c r="BX62" s="5" t="s">
        <v>210</v>
      </c>
    </row>
    <row r="63" spans="1:76" ht="25.5" x14ac:dyDescent="0.25">
      <c r="A63" s="2" t="s">
        <v>211</v>
      </c>
      <c r="B63" s="3" t="s">
        <v>212</v>
      </c>
      <c r="C63" s="96" t="s">
        <v>213</v>
      </c>
      <c r="D63" s="91"/>
      <c r="E63" s="3" t="s">
        <v>69</v>
      </c>
      <c r="F63" s="26">
        <v>316.8</v>
      </c>
      <c r="G63" s="27">
        <v>0</v>
      </c>
      <c r="H63" s="26">
        <f t="shared" si="24"/>
        <v>0</v>
      </c>
      <c r="I63" s="26">
        <f t="shared" si="25"/>
        <v>0</v>
      </c>
      <c r="J63" s="26">
        <f t="shared" si="26"/>
        <v>0</v>
      </c>
      <c r="K63" s="28" t="s">
        <v>65</v>
      </c>
      <c r="Z63" s="26">
        <f t="shared" si="27"/>
        <v>0</v>
      </c>
      <c r="AB63" s="26">
        <f t="shared" si="28"/>
        <v>0</v>
      </c>
      <c r="AC63" s="26">
        <f t="shared" si="29"/>
        <v>0</v>
      </c>
      <c r="AD63" s="26">
        <f t="shared" si="30"/>
        <v>0</v>
      </c>
      <c r="AE63" s="26">
        <f t="shared" si="31"/>
        <v>0</v>
      </c>
      <c r="AF63" s="26">
        <f t="shared" si="32"/>
        <v>0</v>
      </c>
      <c r="AG63" s="26">
        <f t="shared" si="33"/>
        <v>0</v>
      </c>
      <c r="AH63" s="26">
        <f t="shared" si="34"/>
        <v>0</v>
      </c>
      <c r="AI63" s="11" t="s">
        <v>58</v>
      </c>
      <c r="AJ63" s="26">
        <f t="shared" si="35"/>
        <v>0</v>
      </c>
      <c r="AK63" s="26">
        <f t="shared" si="36"/>
        <v>0</v>
      </c>
      <c r="AL63" s="26">
        <f t="shared" si="37"/>
        <v>0</v>
      </c>
      <c r="AN63" s="26">
        <v>12</v>
      </c>
      <c r="AO63" s="26">
        <f>G63*0.433822443</f>
        <v>0</v>
      </c>
      <c r="AP63" s="26">
        <f>G63*(1-0.433822443)</f>
        <v>0</v>
      </c>
      <c r="AQ63" s="29" t="s">
        <v>90</v>
      </c>
      <c r="AV63" s="26">
        <f t="shared" si="40"/>
        <v>0</v>
      </c>
      <c r="AW63" s="26">
        <f t="shared" si="41"/>
        <v>0</v>
      </c>
      <c r="AX63" s="26">
        <f t="shared" si="42"/>
        <v>0</v>
      </c>
      <c r="AY63" s="29" t="s">
        <v>160</v>
      </c>
      <c r="AZ63" s="29" t="s">
        <v>109</v>
      </c>
      <c r="BA63" s="11" t="s">
        <v>61</v>
      </c>
      <c r="BB63" s="30">
        <v>100002</v>
      </c>
      <c r="BC63" s="26">
        <f t="shared" si="43"/>
        <v>0</v>
      </c>
      <c r="BD63" s="26">
        <f t="shared" si="44"/>
        <v>0</v>
      </c>
      <c r="BE63" s="26">
        <v>0</v>
      </c>
      <c r="BF63" s="26">
        <f>63</f>
        <v>63</v>
      </c>
      <c r="BH63" s="26">
        <f t="shared" si="45"/>
        <v>0</v>
      </c>
      <c r="BI63" s="26">
        <f t="shared" si="46"/>
        <v>0</v>
      </c>
      <c r="BJ63" s="26">
        <f t="shared" si="47"/>
        <v>0</v>
      </c>
      <c r="BK63" s="26"/>
      <c r="BL63" s="26">
        <v>722</v>
      </c>
      <c r="BW63" s="26">
        <v>12</v>
      </c>
      <c r="BX63" s="5" t="s">
        <v>213</v>
      </c>
    </row>
    <row r="64" spans="1:76" ht="25.5" x14ac:dyDescent="0.25">
      <c r="A64" s="2" t="s">
        <v>214</v>
      </c>
      <c r="B64" s="3" t="s">
        <v>212</v>
      </c>
      <c r="C64" s="96" t="s">
        <v>213</v>
      </c>
      <c r="D64" s="91"/>
      <c r="E64" s="3" t="s">
        <v>69</v>
      </c>
      <c r="F64" s="26">
        <v>249.3</v>
      </c>
      <c r="G64" s="27">
        <v>0</v>
      </c>
      <c r="H64" s="26">
        <f t="shared" si="24"/>
        <v>0</v>
      </c>
      <c r="I64" s="26">
        <f t="shared" si="25"/>
        <v>0</v>
      </c>
      <c r="J64" s="26">
        <f t="shared" si="26"/>
        <v>0</v>
      </c>
      <c r="K64" s="28" t="s">
        <v>65</v>
      </c>
      <c r="Z64" s="26">
        <f t="shared" si="27"/>
        <v>0</v>
      </c>
      <c r="AB64" s="26">
        <f t="shared" si="28"/>
        <v>0</v>
      </c>
      <c r="AC64" s="26">
        <f t="shared" si="29"/>
        <v>0</v>
      </c>
      <c r="AD64" s="26">
        <f t="shared" si="30"/>
        <v>0</v>
      </c>
      <c r="AE64" s="26">
        <f t="shared" si="31"/>
        <v>0</v>
      </c>
      <c r="AF64" s="26">
        <f t="shared" si="32"/>
        <v>0</v>
      </c>
      <c r="AG64" s="26">
        <f t="shared" si="33"/>
        <v>0</v>
      </c>
      <c r="AH64" s="26">
        <f t="shared" si="34"/>
        <v>0</v>
      </c>
      <c r="AI64" s="11" t="s">
        <v>58</v>
      </c>
      <c r="AJ64" s="26">
        <f t="shared" si="35"/>
        <v>0</v>
      </c>
      <c r="AK64" s="26">
        <f t="shared" si="36"/>
        <v>0</v>
      </c>
      <c r="AL64" s="26">
        <f t="shared" si="37"/>
        <v>0</v>
      </c>
      <c r="AN64" s="26">
        <v>12</v>
      </c>
      <c r="AO64" s="26">
        <f>G64*0.43382242</f>
        <v>0</v>
      </c>
      <c r="AP64" s="26">
        <f>G64*(1-0.43382242)</f>
        <v>0</v>
      </c>
      <c r="AQ64" s="29" t="s">
        <v>90</v>
      </c>
      <c r="AV64" s="26">
        <f t="shared" si="40"/>
        <v>0</v>
      </c>
      <c r="AW64" s="26">
        <f t="shared" si="41"/>
        <v>0</v>
      </c>
      <c r="AX64" s="26">
        <f t="shared" si="42"/>
        <v>0</v>
      </c>
      <c r="AY64" s="29" t="s">
        <v>160</v>
      </c>
      <c r="AZ64" s="29" t="s">
        <v>109</v>
      </c>
      <c r="BA64" s="11" t="s">
        <v>61</v>
      </c>
      <c r="BB64" s="30">
        <v>100002</v>
      </c>
      <c r="BC64" s="26">
        <f t="shared" si="43"/>
        <v>0</v>
      </c>
      <c r="BD64" s="26">
        <f t="shared" si="44"/>
        <v>0</v>
      </c>
      <c r="BE64" s="26">
        <v>0</v>
      </c>
      <c r="BF64" s="26">
        <f>64</f>
        <v>64</v>
      </c>
      <c r="BH64" s="26">
        <f t="shared" si="45"/>
        <v>0</v>
      </c>
      <c r="BI64" s="26">
        <f t="shared" si="46"/>
        <v>0</v>
      </c>
      <c r="BJ64" s="26">
        <f t="shared" si="47"/>
        <v>0</v>
      </c>
      <c r="BK64" s="26"/>
      <c r="BL64" s="26">
        <v>722</v>
      </c>
      <c r="BW64" s="26">
        <v>12</v>
      </c>
      <c r="BX64" s="5" t="s">
        <v>213</v>
      </c>
    </row>
    <row r="65" spans="1:76" ht="25.5" x14ac:dyDescent="0.25">
      <c r="A65" s="2" t="s">
        <v>215</v>
      </c>
      <c r="B65" s="3" t="s">
        <v>216</v>
      </c>
      <c r="C65" s="96" t="s">
        <v>217</v>
      </c>
      <c r="D65" s="91"/>
      <c r="E65" s="3" t="s">
        <v>69</v>
      </c>
      <c r="F65" s="26">
        <v>30.12</v>
      </c>
      <c r="G65" s="27">
        <v>0</v>
      </c>
      <c r="H65" s="26">
        <f t="shared" si="24"/>
        <v>0</v>
      </c>
      <c r="I65" s="26">
        <f t="shared" si="25"/>
        <v>0</v>
      </c>
      <c r="J65" s="26">
        <f t="shared" si="26"/>
        <v>0</v>
      </c>
      <c r="K65" s="28" t="s">
        <v>65</v>
      </c>
      <c r="Z65" s="26">
        <f t="shared" si="27"/>
        <v>0</v>
      </c>
      <c r="AB65" s="26">
        <f t="shared" si="28"/>
        <v>0</v>
      </c>
      <c r="AC65" s="26">
        <f t="shared" si="29"/>
        <v>0</v>
      </c>
      <c r="AD65" s="26">
        <f t="shared" si="30"/>
        <v>0</v>
      </c>
      <c r="AE65" s="26">
        <f t="shared" si="31"/>
        <v>0</v>
      </c>
      <c r="AF65" s="26">
        <f t="shared" si="32"/>
        <v>0</v>
      </c>
      <c r="AG65" s="26">
        <f t="shared" si="33"/>
        <v>0</v>
      </c>
      <c r="AH65" s="26">
        <f t="shared" si="34"/>
        <v>0</v>
      </c>
      <c r="AI65" s="11" t="s">
        <v>58</v>
      </c>
      <c r="AJ65" s="26">
        <f t="shared" si="35"/>
        <v>0</v>
      </c>
      <c r="AK65" s="26">
        <f t="shared" si="36"/>
        <v>0</v>
      </c>
      <c r="AL65" s="26">
        <f t="shared" si="37"/>
        <v>0</v>
      </c>
      <c r="AN65" s="26">
        <v>12</v>
      </c>
      <c r="AO65" s="26">
        <f>G65*0.499111111</f>
        <v>0</v>
      </c>
      <c r="AP65" s="26">
        <f>G65*(1-0.499111111)</f>
        <v>0</v>
      </c>
      <c r="AQ65" s="29" t="s">
        <v>90</v>
      </c>
      <c r="AV65" s="26">
        <f t="shared" si="40"/>
        <v>0</v>
      </c>
      <c r="AW65" s="26">
        <f t="shared" si="41"/>
        <v>0</v>
      </c>
      <c r="AX65" s="26">
        <f t="shared" si="42"/>
        <v>0</v>
      </c>
      <c r="AY65" s="29" t="s">
        <v>160</v>
      </c>
      <c r="AZ65" s="29" t="s">
        <v>109</v>
      </c>
      <c r="BA65" s="11" t="s">
        <v>61</v>
      </c>
      <c r="BB65" s="30">
        <v>100002</v>
      </c>
      <c r="BC65" s="26">
        <f t="shared" si="43"/>
        <v>0</v>
      </c>
      <c r="BD65" s="26">
        <f t="shared" si="44"/>
        <v>0</v>
      </c>
      <c r="BE65" s="26">
        <v>0</v>
      </c>
      <c r="BF65" s="26">
        <f>65</f>
        <v>65</v>
      </c>
      <c r="BH65" s="26">
        <f t="shared" si="45"/>
        <v>0</v>
      </c>
      <c r="BI65" s="26">
        <f t="shared" si="46"/>
        <v>0</v>
      </c>
      <c r="BJ65" s="26">
        <f t="shared" si="47"/>
        <v>0</v>
      </c>
      <c r="BK65" s="26"/>
      <c r="BL65" s="26">
        <v>722</v>
      </c>
      <c r="BW65" s="26">
        <v>12</v>
      </c>
      <c r="BX65" s="5" t="s">
        <v>217</v>
      </c>
    </row>
    <row r="66" spans="1:76" ht="25.5" x14ac:dyDescent="0.25">
      <c r="A66" s="2" t="s">
        <v>218</v>
      </c>
      <c r="B66" s="3" t="s">
        <v>219</v>
      </c>
      <c r="C66" s="96" t="s">
        <v>220</v>
      </c>
      <c r="D66" s="91"/>
      <c r="E66" s="3" t="s">
        <v>69</v>
      </c>
      <c r="F66" s="26">
        <v>33.6</v>
      </c>
      <c r="G66" s="27">
        <v>0</v>
      </c>
      <c r="H66" s="26">
        <f t="shared" si="24"/>
        <v>0</v>
      </c>
      <c r="I66" s="26">
        <f t="shared" si="25"/>
        <v>0</v>
      </c>
      <c r="J66" s="26">
        <f t="shared" si="26"/>
        <v>0</v>
      </c>
      <c r="K66" s="28" t="s">
        <v>65</v>
      </c>
      <c r="Z66" s="26">
        <f t="shared" si="27"/>
        <v>0</v>
      </c>
      <c r="AB66" s="26">
        <f t="shared" si="28"/>
        <v>0</v>
      </c>
      <c r="AC66" s="26">
        <f t="shared" si="29"/>
        <v>0</v>
      </c>
      <c r="AD66" s="26">
        <f t="shared" si="30"/>
        <v>0</v>
      </c>
      <c r="AE66" s="26">
        <f t="shared" si="31"/>
        <v>0</v>
      </c>
      <c r="AF66" s="26">
        <f t="shared" si="32"/>
        <v>0</v>
      </c>
      <c r="AG66" s="26">
        <f t="shared" si="33"/>
        <v>0</v>
      </c>
      <c r="AH66" s="26">
        <f t="shared" si="34"/>
        <v>0</v>
      </c>
      <c r="AI66" s="11" t="s">
        <v>58</v>
      </c>
      <c r="AJ66" s="26">
        <f t="shared" si="35"/>
        <v>0</v>
      </c>
      <c r="AK66" s="26">
        <f t="shared" si="36"/>
        <v>0</v>
      </c>
      <c r="AL66" s="26">
        <f t="shared" si="37"/>
        <v>0</v>
      </c>
      <c r="AN66" s="26">
        <v>12</v>
      </c>
      <c r="AO66" s="26">
        <f>G66*0.578547486</f>
        <v>0</v>
      </c>
      <c r="AP66" s="26">
        <f>G66*(1-0.578547486)</f>
        <v>0</v>
      </c>
      <c r="AQ66" s="29" t="s">
        <v>90</v>
      </c>
      <c r="AV66" s="26">
        <f t="shared" si="40"/>
        <v>0</v>
      </c>
      <c r="AW66" s="26">
        <f t="shared" si="41"/>
        <v>0</v>
      </c>
      <c r="AX66" s="26">
        <f t="shared" si="42"/>
        <v>0</v>
      </c>
      <c r="AY66" s="29" t="s">
        <v>160</v>
      </c>
      <c r="AZ66" s="29" t="s">
        <v>109</v>
      </c>
      <c r="BA66" s="11" t="s">
        <v>61</v>
      </c>
      <c r="BB66" s="30">
        <v>100002</v>
      </c>
      <c r="BC66" s="26">
        <f t="shared" si="43"/>
        <v>0</v>
      </c>
      <c r="BD66" s="26">
        <f t="shared" si="44"/>
        <v>0</v>
      </c>
      <c r="BE66" s="26">
        <v>0</v>
      </c>
      <c r="BF66" s="26">
        <f>66</f>
        <v>66</v>
      </c>
      <c r="BH66" s="26">
        <f t="shared" si="45"/>
        <v>0</v>
      </c>
      <c r="BI66" s="26">
        <f t="shared" si="46"/>
        <v>0</v>
      </c>
      <c r="BJ66" s="26">
        <f t="shared" si="47"/>
        <v>0</v>
      </c>
      <c r="BK66" s="26"/>
      <c r="BL66" s="26">
        <v>722</v>
      </c>
      <c r="BW66" s="26">
        <v>12</v>
      </c>
      <c r="BX66" s="5" t="s">
        <v>220</v>
      </c>
    </row>
    <row r="67" spans="1:76" ht="25.5" x14ac:dyDescent="0.25">
      <c r="A67" s="2" t="s">
        <v>221</v>
      </c>
      <c r="B67" s="3" t="s">
        <v>222</v>
      </c>
      <c r="C67" s="96" t="s">
        <v>223</v>
      </c>
      <c r="D67" s="91"/>
      <c r="E67" s="3" t="s">
        <v>69</v>
      </c>
      <c r="F67" s="26">
        <v>33.6</v>
      </c>
      <c r="G67" s="27">
        <v>0</v>
      </c>
      <c r="H67" s="26">
        <f t="shared" si="24"/>
        <v>0</v>
      </c>
      <c r="I67" s="26">
        <f t="shared" si="25"/>
        <v>0</v>
      </c>
      <c r="J67" s="26">
        <f t="shared" si="26"/>
        <v>0</v>
      </c>
      <c r="K67" s="28" t="s">
        <v>65</v>
      </c>
      <c r="Z67" s="26">
        <f t="shared" si="27"/>
        <v>0</v>
      </c>
      <c r="AB67" s="26">
        <f t="shared" si="28"/>
        <v>0</v>
      </c>
      <c r="AC67" s="26">
        <f t="shared" si="29"/>
        <v>0</v>
      </c>
      <c r="AD67" s="26">
        <f t="shared" si="30"/>
        <v>0</v>
      </c>
      <c r="AE67" s="26">
        <f t="shared" si="31"/>
        <v>0</v>
      </c>
      <c r="AF67" s="26">
        <f t="shared" si="32"/>
        <v>0</v>
      </c>
      <c r="AG67" s="26">
        <f t="shared" si="33"/>
        <v>0</v>
      </c>
      <c r="AH67" s="26">
        <f t="shared" si="34"/>
        <v>0</v>
      </c>
      <c r="AI67" s="11" t="s">
        <v>58</v>
      </c>
      <c r="AJ67" s="26">
        <f t="shared" si="35"/>
        <v>0</v>
      </c>
      <c r="AK67" s="26">
        <f t="shared" si="36"/>
        <v>0</v>
      </c>
      <c r="AL67" s="26">
        <f t="shared" si="37"/>
        <v>0</v>
      </c>
      <c r="AN67" s="26">
        <v>12</v>
      </c>
      <c r="AO67" s="26">
        <f>G67*0.679694377</f>
        <v>0</v>
      </c>
      <c r="AP67" s="26">
        <f>G67*(1-0.679694377)</f>
        <v>0</v>
      </c>
      <c r="AQ67" s="29" t="s">
        <v>90</v>
      </c>
      <c r="AV67" s="26">
        <f t="shared" si="40"/>
        <v>0</v>
      </c>
      <c r="AW67" s="26">
        <f t="shared" si="41"/>
        <v>0</v>
      </c>
      <c r="AX67" s="26">
        <f t="shared" si="42"/>
        <v>0</v>
      </c>
      <c r="AY67" s="29" t="s">
        <v>160</v>
      </c>
      <c r="AZ67" s="29" t="s">
        <v>109</v>
      </c>
      <c r="BA67" s="11" t="s">
        <v>61</v>
      </c>
      <c r="BB67" s="30">
        <v>100002</v>
      </c>
      <c r="BC67" s="26">
        <f t="shared" si="43"/>
        <v>0</v>
      </c>
      <c r="BD67" s="26">
        <f t="shared" si="44"/>
        <v>0</v>
      </c>
      <c r="BE67" s="26">
        <v>0</v>
      </c>
      <c r="BF67" s="26">
        <f>67</f>
        <v>67</v>
      </c>
      <c r="BH67" s="26">
        <f t="shared" si="45"/>
        <v>0</v>
      </c>
      <c r="BI67" s="26">
        <f t="shared" si="46"/>
        <v>0</v>
      </c>
      <c r="BJ67" s="26">
        <f t="shared" si="47"/>
        <v>0</v>
      </c>
      <c r="BK67" s="26"/>
      <c r="BL67" s="26">
        <v>722</v>
      </c>
      <c r="BW67" s="26">
        <v>12</v>
      </c>
      <c r="BX67" s="5" t="s">
        <v>223</v>
      </c>
    </row>
    <row r="68" spans="1:76" ht="25.5" x14ac:dyDescent="0.25">
      <c r="A68" s="2" t="s">
        <v>224</v>
      </c>
      <c r="B68" s="3" t="s">
        <v>225</v>
      </c>
      <c r="C68" s="96" t="s">
        <v>226</v>
      </c>
      <c r="D68" s="91"/>
      <c r="E68" s="3" t="s">
        <v>69</v>
      </c>
      <c r="F68" s="26">
        <v>146.19999999999999</v>
      </c>
      <c r="G68" s="27">
        <v>0</v>
      </c>
      <c r="H68" s="26">
        <f t="shared" si="24"/>
        <v>0</v>
      </c>
      <c r="I68" s="26">
        <f t="shared" si="25"/>
        <v>0</v>
      </c>
      <c r="J68" s="26">
        <f t="shared" si="26"/>
        <v>0</v>
      </c>
      <c r="K68" s="28" t="s">
        <v>65</v>
      </c>
      <c r="Z68" s="26">
        <f t="shared" si="27"/>
        <v>0</v>
      </c>
      <c r="AB68" s="26">
        <f t="shared" si="28"/>
        <v>0</v>
      </c>
      <c r="AC68" s="26">
        <f t="shared" si="29"/>
        <v>0</v>
      </c>
      <c r="AD68" s="26">
        <f t="shared" si="30"/>
        <v>0</v>
      </c>
      <c r="AE68" s="26">
        <f t="shared" si="31"/>
        <v>0</v>
      </c>
      <c r="AF68" s="26">
        <f t="shared" si="32"/>
        <v>0</v>
      </c>
      <c r="AG68" s="26">
        <f t="shared" si="33"/>
        <v>0</v>
      </c>
      <c r="AH68" s="26">
        <f t="shared" si="34"/>
        <v>0</v>
      </c>
      <c r="AI68" s="11" t="s">
        <v>58</v>
      </c>
      <c r="AJ68" s="26">
        <f t="shared" si="35"/>
        <v>0</v>
      </c>
      <c r="AK68" s="26">
        <f t="shared" si="36"/>
        <v>0</v>
      </c>
      <c r="AL68" s="26">
        <f t="shared" si="37"/>
        <v>0</v>
      </c>
      <c r="AN68" s="26">
        <v>12</v>
      </c>
      <c r="AO68" s="26">
        <f>G68*0.677040715</f>
        <v>0</v>
      </c>
      <c r="AP68" s="26">
        <f>G68*(1-0.677040715)</f>
        <v>0</v>
      </c>
      <c r="AQ68" s="29" t="s">
        <v>90</v>
      </c>
      <c r="AV68" s="26">
        <f t="shared" si="40"/>
        <v>0</v>
      </c>
      <c r="AW68" s="26">
        <f t="shared" si="41"/>
        <v>0</v>
      </c>
      <c r="AX68" s="26">
        <f t="shared" si="42"/>
        <v>0</v>
      </c>
      <c r="AY68" s="29" t="s">
        <v>160</v>
      </c>
      <c r="AZ68" s="29" t="s">
        <v>109</v>
      </c>
      <c r="BA68" s="11" t="s">
        <v>61</v>
      </c>
      <c r="BB68" s="30">
        <v>100002</v>
      </c>
      <c r="BC68" s="26">
        <f t="shared" si="43"/>
        <v>0</v>
      </c>
      <c r="BD68" s="26">
        <f t="shared" si="44"/>
        <v>0</v>
      </c>
      <c r="BE68" s="26">
        <v>0</v>
      </c>
      <c r="BF68" s="26">
        <f>68</f>
        <v>68</v>
      </c>
      <c r="BH68" s="26">
        <f t="shared" si="45"/>
        <v>0</v>
      </c>
      <c r="BI68" s="26">
        <f t="shared" si="46"/>
        <v>0</v>
      </c>
      <c r="BJ68" s="26">
        <f t="shared" si="47"/>
        <v>0</v>
      </c>
      <c r="BK68" s="26"/>
      <c r="BL68" s="26">
        <v>722</v>
      </c>
      <c r="BW68" s="26">
        <v>12</v>
      </c>
      <c r="BX68" s="5" t="s">
        <v>226</v>
      </c>
    </row>
    <row r="69" spans="1:76" ht="25.5" x14ac:dyDescent="0.25">
      <c r="A69" s="2" t="s">
        <v>227</v>
      </c>
      <c r="B69" s="3" t="s">
        <v>228</v>
      </c>
      <c r="C69" s="96" t="s">
        <v>229</v>
      </c>
      <c r="D69" s="91"/>
      <c r="E69" s="3" t="s">
        <v>69</v>
      </c>
      <c r="F69" s="26">
        <v>17.899999999999999</v>
      </c>
      <c r="G69" s="27">
        <v>0</v>
      </c>
      <c r="H69" s="26">
        <f t="shared" si="24"/>
        <v>0</v>
      </c>
      <c r="I69" s="26">
        <f t="shared" si="25"/>
        <v>0</v>
      </c>
      <c r="J69" s="26">
        <f t="shared" si="26"/>
        <v>0</v>
      </c>
      <c r="K69" s="28" t="s">
        <v>65</v>
      </c>
      <c r="Z69" s="26">
        <f t="shared" si="27"/>
        <v>0</v>
      </c>
      <c r="AB69" s="26">
        <f t="shared" si="28"/>
        <v>0</v>
      </c>
      <c r="AC69" s="26">
        <f t="shared" si="29"/>
        <v>0</v>
      </c>
      <c r="AD69" s="26">
        <f t="shared" si="30"/>
        <v>0</v>
      </c>
      <c r="AE69" s="26">
        <f t="shared" si="31"/>
        <v>0</v>
      </c>
      <c r="AF69" s="26">
        <f t="shared" si="32"/>
        <v>0</v>
      </c>
      <c r="AG69" s="26">
        <f t="shared" si="33"/>
        <v>0</v>
      </c>
      <c r="AH69" s="26">
        <f t="shared" si="34"/>
        <v>0</v>
      </c>
      <c r="AI69" s="11" t="s">
        <v>58</v>
      </c>
      <c r="AJ69" s="26">
        <f t="shared" si="35"/>
        <v>0</v>
      </c>
      <c r="AK69" s="26">
        <f t="shared" si="36"/>
        <v>0</v>
      </c>
      <c r="AL69" s="26">
        <f t="shared" si="37"/>
        <v>0</v>
      </c>
      <c r="AN69" s="26">
        <v>12</v>
      </c>
      <c r="AO69" s="26">
        <f>G69*0.734723375</f>
        <v>0</v>
      </c>
      <c r="AP69" s="26">
        <f>G69*(1-0.734723375)</f>
        <v>0</v>
      </c>
      <c r="AQ69" s="29" t="s">
        <v>90</v>
      </c>
      <c r="AV69" s="26">
        <f t="shared" si="40"/>
        <v>0</v>
      </c>
      <c r="AW69" s="26">
        <f t="shared" si="41"/>
        <v>0</v>
      </c>
      <c r="AX69" s="26">
        <f t="shared" si="42"/>
        <v>0</v>
      </c>
      <c r="AY69" s="29" t="s">
        <v>160</v>
      </c>
      <c r="AZ69" s="29" t="s">
        <v>109</v>
      </c>
      <c r="BA69" s="11" t="s">
        <v>61</v>
      </c>
      <c r="BB69" s="30">
        <v>100002</v>
      </c>
      <c r="BC69" s="26">
        <f t="shared" si="43"/>
        <v>0</v>
      </c>
      <c r="BD69" s="26">
        <f t="shared" si="44"/>
        <v>0</v>
      </c>
      <c r="BE69" s="26">
        <v>0</v>
      </c>
      <c r="BF69" s="26">
        <f>69</f>
        <v>69</v>
      </c>
      <c r="BH69" s="26">
        <f t="shared" si="45"/>
        <v>0</v>
      </c>
      <c r="BI69" s="26">
        <f t="shared" si="46"/>
        <v>0</v>
      </c>
      <c r="BJ69" s="26">
        <f t="shared" si="47"/>
        <v>0</v>
      </c>
      <c r="BK69" s="26"/>
      <c r="BL69" s="26">
        <v>722</v>
      </c>
      <c r="BW69" s="26">
        <v>12</v>
      </c>
      <c r="BX69" s="5" t="s">
        <v>229</v>
      </c>
    </row>
    <row r="70" spans="1:76" x14ac:dyDescent="0.25">
      <c r="A70" s="2" t="s">
        <v>230</v>
      </c>
      <c r="B70" s="3" t="s">
        <v>231</v>
      </c>
      <c r="C70" s="96" t="s">
        <v>232</v>
      </c>
      <c r="D70" s="91"/>
      <c r="E70" s="3" t="s">
        <v>69</v>
      </c>
      <c r="F70" s="26">
        <v>376.8</v>
      </c>
      <c r="G70" s="27">
        <v>0</v>
      </c>
      <c r="H70" s="26">
        <f t="shared" si="24"/>
        <v>0</v>
      </c>
      <c r="I70" s="26">
        <f t="shared" si="25"/>
        <v>0</v>
      </c>
      <c r="J70" s="26">
        <f t="shared" si="26"/>
        <v>0</v>
      </c>
      <c r="K70" s="28" t="s">
        <v>65</v>
      </c>
      <c r="Z70" s="26">
        <f t="shared" si="27"/>
        <v>0</v>
      </c>
      <c r="AB70" s="26">
        <f t="shared" si="28"/>
        <v>0</v>
      </c>
      <c r="AC70" s="26">
        <f t="shared" si="29"/>
        <v>0</v>
      </c>
      <c r="AD70" s="26">
        <f t="shared" si="30"/>
        <v>0</v>
      </c>
      <c r="AE70" s="26">
        <f t="shared" si="31"/>
        <v>0</v>
      </c>
      <c r="AF70" s="26">
        <f t="shared" si="32"/>
        <v>0</v>
      </c>
      <c r="AG70" s="26">
        <f t="shared" si="33"/>
        <v>0</v>
      </c>
      <c r="AH70" s="26">
        <f t="shared" si="34"/>
        <v>0</v>
      </c>
      <c r="AI70" s="11" t="s">
        <v>58</v>
      </c>
      <c r="AJ70" s="26">
        <f t="shared" si="35"/>
        <v>0</v>
      </c>
      <c r="AK70" s="26">
        <f t="shared" si="36"/>
        <v>0</v>
      </c>
      <c r="AL70" s="26">
        <f t="shared" si="37"/>
        <v>0</v>
      </c>
      <c r="AN70" s="26">
        <v>12</v>
      </c>
      <c r="AO70" s="26">
        <f>G70*0.23068262</f>
        <v>0</v>
      </c>
      <c r="AP70" s="26">
        <f>G70*(1-0.23068262)</f>
        <v>0</v>
      </c>
      <c r="AQ70" s="29" t="s">
        <v>90</v>
      </c>
      <c r="AV70" s="26">
        <f t="shared" si="40"/>
        <v>0</v>
      </c>
      <c r="AW70" s="26">
        <f t="shared" si="41"/>
        <v>0</v>
      </c>
      <c r="AX70" s="26">
        <f t="shared" si="42"/>
        <v>0</v>
      </c>
      <c r="AY70" s="29" t="s">
        <v>160</v>
      </c>
      <c r="AZ70" s="29" t="s">
        <v>109</v>
      </c>
      <c r="BA70" s="11" t="s">
        <v>61</v>
      </c>
      <c r="BB70" s="30">
        <v>100002</v>
      </c>
      <c r="BC70" s="26">
        <f t="shared" si="43"/>
        <v>0</v>
      </c>
      <c r="BD70" s="26">
        <f t="shared" si="44"/>
        <v>0</v>
      </c>
      <c r="BE70" s="26">
        <v>0</v>
      </c>
      <c r="BF70" s="26">
        <f>70</f>
        <v>70</v>
      </c>
      <c r="BH70" s="26">
        <f t="shared" si="45"/>
        <v>0</v>
      </c>
      <c r="BI70" s="26">
        <f t="shared" si="46"/>
        <v>0</v>
      </c>
      <c r="BJ70" s="26">
        <f t="shared" si="47"/>
        <v>0</v>
      </c>
      <c r="BK70" s="26"/>
      <c r="BL70" s="26">
        <v>722</v>
      </c>
      <c r="BW70" s="26">
        <v>12</v>
      </c>
      <c r="BX70" s="5" t="s">
        <v>232</v>
      </c>
    </row>
    <row r="71" spans="1:76" ht="13.5" customHeight="1" x14ac:dyDescent="0.25">
      <c r="A71" s="36"/>
      <c r="B71" s="37" t="s">
        <v>233</v>
      </c>
      <c r="C71" s="118" t="s">
        <v>234</v>
      </c>
      <c r="D71" s="119"/>
      <c r="E71" s="119"/>
      <c r="F71" s="119"/>
      <c r="G71" s="120"/>
      <c r="H71" s="119"/>
      <c r="I71" s="119"/>
      <c r="J71" s="119"/>
      <c r="K71" s="121"/>
    </row>
    <row r="72" spans="1:76" x14ac:dyDescent="0.25">
      <c r="A72" s="2" t="s">
        <v>235</v>
      </c>
      <c r="B72" s="3" t="s">
        <v>236</v>
      </c>
      <c r="C72" s="96" t="s">
        <v>232</v>
      </c>
      <c r="D72" s="91"/>
      <c r="E72" s="3" t="s">
        <v>69</v>
      </c>
      <c r="F72" s="26">
        <v>4.2</v>
      </c>
      <c r="G72" s="27">
        <v>0</v>
      </c>
      <c r="H72" s="26">
        <f>F72*AO72</f>
        <v>0</v>
      </c>
      <c r="I72" s="26">
        <f>F72*AP72</f>
        <v>0</v>
      </c>
      <c r="J72" s="26">
        <f>F72*G72</f>
        <v>0</v>
      </c>
      <c r="K72" s="28" t="s">
        <v>65</v>
      </c>
      <c r="Z72" s="26">
        <f>IF(AQ72="5",BJ72,0)</f>
        <v>0</v>
      </c>
      <c r="AB72" s="26">
        <f>IF(AQ72="1",BH72,0)</f>
        <v>0</v>
      </c>
      <c r="AC72" s="26">
        <f>IF(AQ72="1",BI72,0)</f>
        <v>0</v>
      </c>
      <c r="AD72" s="26">
        <f>IF(AQ72="7",BH72,0)</f>
        <v>0</v>
      </c>
      <c r="AE72" s="26">
        <f>IF(AQ72="7",BI72,0)</f>
        <v>0</v>
      </c>
      <c r="AF72" s="26">
        <f>IF(AQ72="2",BH72,0)</f>
        <v>0</v>
      </c>
      <c r="AG72" s="26">
        <f>IF(AQ72="2",BI72,0)</f>
        <v>0</v>
      </c>
      <c r="AH72" s="26">
        <f>IF(AQ72="0",BJ72,0)</f>
        <v>0</v>
      </c>
      <c r="AI72" s="11" t="s">
        <v>58</v>
      </c>
      <c r="AJ72" s="26">
        <f>IF(AN72=0,J72,0)</f>
        <v>0</v>
      </c>
      <c r="AK72" s="26">
        <f>IF(AN72=12,J72,0)</f>
        <v>0</v>
      </c>
      <c r="AL72" s="26">
        <f>IF(AN72=21,J72,0)</f>
        <v>0</v>
      </c>
      <c r="AN72" s="26">
        <v>12</v>
      </c>
      <c r="AO72" s="26">
        <f>G72*0.336695157</f>
        <v>0</v>
      </c>
      <c r="AP72" s="26">
        <f>G72*(1-0.336695157)</f>
        <v>0</v>
      </c>
      <c r="AQ72" s="29" t="s">
        <v>90</v>
      </c>
      <c r="AV72" s="26">
        <f>AW72+AX72</f>
        <v>0</v>
      </c>
      <c r="AW72" s="26">
        <f>F72*AO72</f>
        <v>0</v>
      </c>
      <c r="AX72" s="26">
        <f>F72*AP72</f>
        <v>0</v>
      </c>
      <c r="AY72" s="29" t="s">
        <v>160</v>
      </c>
      <c r="AZ72" s="29" t="s">
        <v>109</v>
      </c>
      <c r="BA72" s="11" t="s">
        <v>61</v>
      </c>
      <c r="BB72" s="30">
        <v>100002</v>
      </c>
      <c r="BC72" s="26">
        <f>AW72+AX72</f>
        <v>0</v>
      </c>
      <c r="BD72" s="26">
        <f>G72/(100-BE72)*100</f>
        <v>0</v>
      </c>
      <c r="BE72" s="26">
        <v>0</v>
      </c>
      <c r="BF72" s="26">
        <f>72</f>
        <v>72</v>
      </c>
      <c r="BH72" s="26">
        <f>F72*AO72</f>
        <v>0</v>
      </c>
      <c r="BI72" s="26">
        <f>F72*AP72</f>
        <v>0</v>
      </c>
      <c r="BJ72" s="26">
        <f>F72*G72</f>
        <v>0</v>
      </c>
      <c r="BK72" s="26"/>
      <c r="BL72" s="26">
        <v>722</v>
      </c>
      <c r="BW72" s="26">
        <v>12</v>
      </c>
      <c r="BX72" s="5" t="s">
        <v>232</v>
      </c>
    </row>
    <row r="73" spans="1:76" ht="13.5" customHeight="1" x14ac:dyDescent="0.25">
      <c r="A73" s="36"/>
      <c r="B73" s="37" t="s">
        <v>233</v>
      </c>
      <c r="C73" s="118" t="s">
        <v>237</v>
      </c>
      <c r="D73" s="119"/>
      <c r="E73" s="119"/>
      <c r="F73" s="119"/>
      <c r="G73" s="120"/>
      <c r="H73" s="119"/>
      <c r="I73" s="119"/>
      <c r="J73" s="119"/>
      <c r="K73" s="121"/>
    </row>
    <row r="74" spans="1:76" x14ac:dyDescent="0.25">
      <c r="A74" s="2" t="s">
        <v>238</v>
      </c>
      <c r="B74" s="3" t="s">
        <v>239</v>
      </c>
      <c r="C74" s="96" t="s">
        <v>232</v>
      </c>
      <c r="D74" s="91"/>
      <c r="E74" s="3" t="s">
        <v>69</v>
      </c>
      <c r="F74" s="26">
        <v>11.3</v>
      </c>
      <c r="G74" s="27">
        <v>0</v>
      </c>
      <c r="H74" s="26">
        <f>F74*AO74</f>
        <v>0</v>
      </c>
      <c r="I74" s="26">
        <f>F74*AP74</f>
        <v>0</v>
      </c>
      <c r="J74" s="26">
        <f>F74*G74</f>
        <v>0</v>
      </c>
      <c r="K74" s="28" t="s">
        <v>65</v>
      </c>
      <c r="Z74" s="26">
        <f>IF(AQ74="5",BJ74,0)</f>
        <v>0</v>
      </c>
      <c r="AB74" s="26">
        <f>IF(AQ74="1",BH74,0)</f>
        <v>0</v>
      </c>
      <c r="AC74" s="26">
        <f>IF(AQ74="1",BI74,0)</f>
        <v>0</v>
      </c>
      <c r="AD74" s="26">
        <f>IF(AQ74="7",BH74,0)</f>
        <v>0</v>
      </c>
      <c r="AE74" s="26">
        <f>IF(AQ74="7",BI74,0)</f>
        <v>0</v>
      </c>
      <c r="AF74" s="26">
        <f>IF(AQ74="2",BH74,0)</f>
        <v>0</v>
      </c>
      <c r="AG74" s="26">
        <f>IF(AQ74="2",BI74,0)</f>
        <v>0</v>
      </c>
      <c r="AH74" s="26">
        <f>IF(AQ74="0",BJ74,0)</f>
        <v>0</v>
      </c>
      <c r="AI74" s="11" t="s">
        <v>58</v>
      </c>
      <c r="AJ74" s="26">
        <f>IF(AN74=0,J74,0)</f>
        <v>0</v>
      </c>
      <c r="AK74" s="26">
        <f>IF(AN74=12,J74,0)</f>
        <v>0</v>
      </c>
      <c r="AL74" s="26">
        <f>IF(AN74=21,J74,0)</f>
        <v>0</v>
      </c>
      <c r="AN74" s="26">
        <v>12</v>
      </c>
      <c r="AO74" s="26">
        <f>G74*0.363155216</f>
        <v>0</v>
      </c>
      <c r="AP74" s="26">
        <f>G74*(1-0.363155216)</f>
        <v>0</v>
      </c>
      <c r="AQ74" s="29" t="s">
        <v>90</v>
      </c>
      <c r="AV74" s="26">
        <f>AW74+AX74</f>
        <v>0</v>
      </c>
      <c r="AW74" s="26">
        <f>F74*AO74</f>
        <v>0</v>
      </c>
      <c r="AX74" s="26">
        <f>F74*AP74</f>
        <v>0</v>
      </c>
      <c r="AY74" s="29" t="s">
        <v>160</v>
      </c>
      <c r="AZ74" s="29" t="s">
        <v>109</v>
      </c>
      <c r="BA74" s="11" t="s">
        <v>61</v>
      </c>
      <c r="BB74" s="30">
        <v>100002</v>
      </c>
      <c r="BC74" s="26">
        <f>AW74+AX74</f>
        <v>0</v>
      </c>
      <c r="BD74" s="26">
        <f>G74/(100-BE74)*100</f>
        <v>0</v>
      </c>
      <c r="BE74" s="26">
        <v>0</v>
      </c>
      <c r="BF74" s="26">
        <f>74</f>
        <v>74</v>
      </c>
      <c r="BH74" s="26">
        <f>F74*AO74</f>
        <v>0</v>
      </c>
      <c r="BI74" s="26">
        <f>F74*AP74</f>
        <v>0</v>
      </c>
      <c r="BJ74" s="26">
        <f>F74*G74</f>
        <v>0</v>
      </c>
      <c r="BK74" s="26"/>
      <c r="BL74" s="26">
        <v>722</v>
      </c>
      <c r="BW74" s="26">
        <v>12</v>
      </c>
      <c r="BX74" s="5" t="s">
        <v>232</v>
      </c>
    </row>
    <row r="75" spans="1:76" ht="13.5" customHeight="1" x14ac:dyDescent="0.25">
      <c r="A75" s="36"/>
      <c r="B75" s="37" t="s">
        <v>233</v>
      </c>
      <c r="C75" s="118" t="s">
        <v>240</v>
      </c>
      <c r="D75" s="119"/>
      <c r="E75" s="119"/>
      <c r="F75" s="119"/>
      <c r="G75" s="120"/>
      <c r="H75" s="119"/>
      <c r="I75" s="119"/>
      <c r="J75" s="119"/>
      <c r="K75" s="121"/>
    </row>
    <row r="76" spans="1:76" x14ac:dyDescent="0.25">
      <c r="A76" s="2" t="s">
        <v>241</v>
      </c>
      <c r="B76" s="3" t="s">
        <v>242</v>
      </c>
      <c r="C76" s="96" t="s">
        <v>243</v>
      </c>
      <c r="D76" s="91"/>
      <c r="E76" s="3" t="s">
        <v>69</v>
      </c>
      <c r="F76" s="26">
        <v>30.12</v>
      </c>
      <c r="G76" s="27">
        <v>0</v>
      </c>
      <c r="H76" s="26">
        <f>F76*AO76</f>
        <v>0</v>
      </c>
      <c r="I76" s="26">
        <f>F76*AP76</f>
        <v>0</v>
      </c>
      <c r="J76" s="26">
        <f>F76*G76</f>
        <v>0</v>
      </c>
      <c r="K76" s="28" t="s">
        <v>65</v>
      </c>
      <c r="Z76" s="26">
        <f>IF(AQ76="5",BJ76,0)</f>
        <v>0</v>
      </c>
      <c r="AB76" s="26">
        <f>IF(AQ76="1",BH76,0)</f>
        <v>0</v>
      </c>
      <c r="AC76" s="26">
        <f>IF(AQ76="1",BI76,0)</f>
        <v>0</v>
      </c>
      <c r="AD76" s="26">
        <f>IF(AQ76="7",BH76,0)</f>
        <v>0</v>
      </c>
      <c r="AE76" s="26">
        <f>IF(AQ76="7",BI76,0)</f>
        <v>0</v>
      </c>
      <c r="AF76" s="26">
        <f>IF(AQ76="2",BH76,0)</f>
        <v>0</v>
      </c>
      <c r="AG76" s="26">
        <f>IF(AQ76="2",BI76,0)</f>
        <v>0</v>
      </c>
      <c r="AH76" s="26">
        <f>IF(AQ76="0",BJ76,0)</f>
        <v>0</v>
      </c>
      <c r="AI76" s="11" t="s">
        <v>58</v>
      </c>
      <c r="AJ76" s="26">
        <f>IF(AN76=0,J76,0)</f>
        <v>0</v>
      </c>
      <c r="AK76" s="26">
        <f>IF(AN76=12,J76,0)</f>
        <v>0</v>
      </c>
      <c r="AL76" s="26">
        <f>IF(AN76=21,J76,0)</f>
        <v>0</v>
      </c>
      <c r="AN76" s="26">
        <v>12</v>
      </c>
      <c r="AO76" s="26">
        <f>G76*0.28836913</f>
        <v>0</v>
      </c>
      <c r="AP76" s="26">
        <f>G76*(1-0.28836913)</f>
        <v>0</v>
      </c>
      <c r="AQ76" s="29" t="s">
        <v>90</v>
      </c>
      <c r="AV76" s="26">
        <f>AW76+AX76</f>
        <v>0</v>
      </c>
      <c r="AW76" s="26">
        <f>F76*AO76</f>
        <v>0</v>
      </c>
      <c r="AX76" s="26">
        <f>F76*AP76</f>
        <v>0</v>
      </c>
      <c r="AY76" s="29" t="s">
        <v>160</v>
      </c>
      <c r="AZ76" s="29" t="s">
        <v>109</v>
      </c>
      <c r="BA76" s="11" t="s">
        <v>61</v>
      </c>
      <c r="BB76" s="30">
        <v>100002</v>
      </c>
      <c r="BC76" s="26">
        <f>AW76+AX76</f>
        <v>0</v>
      </c>
      <c r="BD76" s="26">
        <f>G76/(100-BE76)*100</f>
        <v>0</v>
      </c>
      <c r="BE76" s="26">
        <v>0</v>
      </c>
      <c r="BF76" s="26">
        <f>76</f>
        <v>76</v>
      </c>
      <c r="BH76" s="26">
        <f>F76*AO76</f>
        <v>0</v>
      </c>
      <c r="BI76" s="26">
        <f>F76*AP76</f>
        <v>0</v>
      </c>
      <c r="BJ76" s="26">
        <f>F76*G76</f>
        <v>0</v>
      </c>
      <c r="BK76" s="26"/>
      <c r="BL76" s="26">
        <v>722</v>
      </c>
      <c r="BW76" s="26">
        <v>12</v>
      </c>
      <c r="BX76" s="5" t="s">
        <v>243</v>
      </c>
    </row>
    <row r="77" spans="1:76" ht="13.5" customHeight="1" x14ac:dyDescent="0.25">
      <c r="A77" s="36"/>
      <c r="B77" s="37" t="s">
        <v>233</v>
      </c>
      <c r="C77" s="118" t="s">
        <v>244</v>
      </c>
      <c r="D77" s="119"/>
      <c r="E77" s="119"/>
      <c r="F77" s="119"/>
      <c r="G77" s="120"/>
      <c r="H77" s="119"/>
      <c r="I77" s="119"/>
      <c r="J77" s="119"/>
      <c r="K77" s="121"/>
    </row>
    <row r="78" spans="1:76" x14ac:dyDescent="0.25">
      <c r="A78" s="2" t="s">
        <v>245</v>
      </c>
      <c r="B78" s="3" t="s">
        <v>246</v>
      </c>
      <c r="C78" s="96" t="s">
        <v>243</v>
      </c>
      <c r="D78" s="91"/>
      <c r="E78" s="3" t="s">
        <v>69</v>
      </c>
      <c r="F78" s="26">
        <v>33.6</v>
      </c>
      <c r="G78" s="27">
        <v>0</v>
      </c>
      <c r="H78" s="26">
        <f>F78*AO78</f>
        <v>0</v>
      </c>
      <c r="I78" s="26">
        <f>F78*AP78</f>
        <v>0</v>
      </c>
      <c r="J78" s="26">
        <f>F78*G78</f>
        <v>0</v>
      </c>
      <c r="K78" s="28" t="s">
        <v>65</v>
      </c>
      <c r="Z78" s="26">
        <f>IF(AQ78="5",BJ78,0)</f>
        <v>0</v>
      </c>
      <c r="AB78" s="26">
        <f>IF(AQ78="1",BH78,0)</f>
        <v>0</v>
      </c>
      <c r="AC78" s="26">
        <f>IF(AQ78="1",BI78,0)</f>
        <v>0</v>
      </c>
      <c r="AD78" s="26">
        <f>IF(AQ78="7",BH78,0)</f>
        <v>0</v>
      </c>
      <c r="AE78" s="26">
        <f>IF(AQ78="7",BI78,0)</f>
        <v>0</v>
      </c>
      <c r="AF78" s="26">
        <f>IF(AQ78="2",BH78,0)</f>
        <v>0</v>
      </c>
      <c r="AG78" s="26">
        <f>IF(AQ78="2",BI78,0)</f>
        <v>0</v>
      </c>
      <c r="AH78" s="26">
        <f>IF(AQ78="0",BJ78,0)</f>
        <v>0</v>
      </c>
      <c r="AI78" s="11" t="s">
        <v>58</v>
      </c>
      <c r="AJ78" s="26">
        <f>IF(AN78=0,J78,0)</f>
        <v>0</v>
      </c>
      <c r="AK78" s="26">
        <f>IF(AN78=12,J78,0)</f>
        <v>0</v>
      </c>
      <c r="AL78" s="26">
        <f>IF(AN78=21,J78,0)</f>
        <v>0</v>
      </c>
      <c r="AN78" s="26">
        <v>12</v>
      </c>
      <c r="AO78" s="26">
        <f>G78*0.31125</f>
        <v>0</v>
      </c>
      <c r="AP78" s="26">
        <f>G78*(1-0.31125)</f>
        <v>0</v>
      </c>
      <c r="AQ78" s="29" t="s">
        <v>90</v>
      </c>
      <c r="AV78" s="26">
        <f>AW78+AX78</f>
        <v>0</v>
      </c>
      <c r="AW78" s="26">
        <f>F78*AO78</f>
        <v>0</v>
      </c>
      <c r="AX78" s="26">
        <f>F78*AP78</f>
        <v>0</v>
      </c>
      <c r="AY78" s="29" t="s">
        <v>160</v>
      </c>
      <c r="AZ78" s="29" t="s">
        <v>109</v>
      </c>
      <c r="BA78" s="11" t="s">
        <v>61</v>
      </c>
      <c r="BB78" s="30">
        <v>100002</v>
      </c>
      <c r="BC78" s="26">
        <f>AW78+AX78</f>
        <v>0</v>
      </c>
      <c r="BD78" s="26">
        <f>G78/(100-BE78)*100</f>
        <v>0</v>
      </c>
      <c r="BE78" s="26">
        <v>0</v>
      </c>
      <c r="BF78" s="26">
        <f>78</f>
        <v>78</v>
      </c>
      <c r="BH78" s="26">
        <f>F78*AO78</f>
        <v>0</v>
      </c>
      <c r="BI78" s="26">
        <f>F78*AP78</f>
        <v>0</v>
      </c>
      <c r="BJ78" s="26">
        <f>F78*G78</f>
        <v>0</v>
      </c>
      <c r="BK78" s="26"/>
      <c r="BL78" s="26">
        <v>722</v>
      </c>
      <c r="BW78" s="26">
        <v>12</v>
      </c>
      <c r="BX78" s="5" t="s">
        <v>243</v>
      </c>
    </row>
    <row r="79" spans="1:76" ht="13.5" customHeight="1" x14ac:dyDescent="0.25">
      <c r="A79" s="36"/>
      <c r="B79" s="37" t="s">
        <v>233</v>
      </c>
      <c r="C79" s="118" t="s">
        <v>247</v>
      </c>
      <c r="D79" s="119"/>
      <c r="E79" s="119"/>
      <c r="F79" s="119"/>
      <c r="G79" s="120"/>
      <c r="H79" s="119"/>
      <c r="I79" s="119"/>
      <c r="J79" s="119"/>
      <c r="K79" s="121"/>
    </row>
    <row r="80" spans="1:76" x14ac:dyDescent="0.25">
      <c r="A80" s="2" t="s">
        <v>248</v>
      </c>
      <c r="B80" s="3" t="s">
        <v>249</v>
      </c>
      <c r="C80" s="96" t="s">
        <v>243</v>
      </c>
      <c r="D80" s="91"/>
      <c r="E80" s="3" t="s">
        <v>69</v>
      </c>
      <c r="F80" s="26">
        <v>33.6</v>
      </c>
      <c r="G80" s="27">
        <v>0</v>
      </c>
      <c r="H80" s="26">
        <f>F80*AO80</f>
        <v>0</v>
      </c>
      <c r="I80" s="26">
        <f>F80*AP80</f>
        <v>0</v>
      </c>
      <c r="J80" s="26">
        <f>F80*G80</f>
        <v>0</v>
      </c>
      <c r="K80" s="28" t="s">
        <v>65</v>
      </c>
      <c r="Z80" s="26">
        <f>IF(AQ80="5",BJ80,0)</f>
        <v>0</v>
      </c>
      <c r="AB80" s="26">
        <f>IF(AQ80="1",BH80,0)</f>
        <v>0</v>
      </c>
      <c r="AC80" s="26">
        <f>IF(AQ80="1",BI80,0)</f>
        <v>0</v>
      </c>
      <c r="AD80" s="26">
        <f>IF(AQ80="7",BH80,0)</f>
        <v>0</v>
      </c>
      <c r="AE80" s="26">
        <f>IF(AQ80="7",BI80,0)</f>
        <v>0</v>
      </c>
      <c r="AF80" s="26">
        <f>IF(AQ80="2",BH80,0)</f>
        <v>0</v>
      </c>
      <c r="AG80" s="26">
        <f>IF(AQ80="2",BI80,0)</f>
        <v>0</v>
      </c>
      <c r="AH80" s="26">
        <f>IF(AQ80="0",BJ80,0)</f>
        <v>0</v>
      </c>
      <c r="AI80" s="11" t="s">
        <v>58</v>
      </c>
      <c r="AJ80" s="26">
        <f>IF(AN80=0,J80,0)</f>
        <v>0</v>
      </c>
      <c r="AK80" s="26">
        <f>IF(AN80=12,J80,0)</f>
        <v>0</v>
      </c>
      <c r="AL80" s="26">
        <f>IF(AN80=21,J80,0)</f>
        <v>0</v>
      </c>
      <c r="AN80" s="26">
        <v>12</v>
      </c>
      <c r="AO80" s="26">
        <f>G80*0.325584542</f>
        <v>0</v>
      </c>
      <c r="AP80" s="26">
        <f>G80*(1-0.325584542)</f>
        <v>0</v>
      </c>
      <c r="AQ80" s="29" t="s">
        <v>90</v>
      </c>
      <c r="AV80" s="26">
        <f>AW80+AX80</f>
        <v>0</v>
      </c>
      <c r="AW80" s="26">
        <f>F80*AO80</f>
        <v>0</v>
      </c>
      <c r="AX80" s="26">
        <f>F80*AP80</f>
        <v>0</v>
      </c>
      <c r="AY80" s="29" t="s">
        <v>160</v>
      </c>
      <c r="AZ80" s="29" t="s">
        <v>109</v>
      </c>
      <c r="BA80" s="11" t="s">
        <v>61</v>
      </c>
      <c r="BB80" s="30">
        <v>100002</v>
      </c>
      <c r="BC80" s="26">
        <f>AW80+AX80</f>
        <v>0</v>
      </c>
      <c r="BD80" s="26">
        <f>G80/(100-BE80)*100</f>
        <v>0</v>
      </c>
      <c r="BE80" s="26">
        <v>0</v>
      </c>
      <c r="BF80" s="26">
        <f>80</f>
        <v>80</v>
      </c>
      <c r="BH80" s="26">
        <f>F80*AO80</f>
        <v>0</v>
      </c>
      <c r="BI80" s="26">
        <f>F80*AP80</f>
        <v>0</v>
      </c>
      <c r="BJ80" s="26">
        <f>F80*G80</f>
        <v>0</v>
      </c>
      <c r="BK80" s="26"/>
      <c r="BL80" s="26">
        <v>722</v>
      </c>
      <c r="BW80" s="26">
        <v>12</v>
      </c>
      <c r="BX80" s="5" t="s">
        <v>243</v>
      </c>
    </row>
    <row r="81" spans="1:76" ht="13.5" customHeight="1" x14ac:dyDescent="0.25">
      <c r="A81" s="36"/>
      <c r="B81" s="37" t="s">
        <v>233</v>
      </c>
      <c r="C81" s="118" t="s">
        <v>250</v>
      </c>
      <c r="D81" s="119"/>
      <c r="E81" s="119"/>
      <c r="F81" s="119"/>
      <c r="G81" s="120"/>
      <c r="H81" s="119"/>
      <c r="I81" s="119"/>
      <c r="J81" s="119"/>
      <c r="K81" s="121"/>
    </row>
    <row r="82" spans="1:76" x14ac:dyDescent="0.25">
      <c r="A82" s="2" t="s">
        <v>251</v>
      </c>
      <c r="B82" s="3" t="s">
        <v>252</v>
      </c>
      <c r="C82" s="96" t="s">
        <v>243</v>
      </c>
      <c r="D82" s="91"/>
      <c r="E82" s="3" t="s">
        <v>69</v>
      </c>
      <c r="F82" s="26">
        <v>144.69999999999999</v>
      </c>
      <c r="G82" s="27">
        <v>0</v>
      </c>
      <c r="H82" s="26">
        <f>F82*AO82</f>
        <v>0</v>
      </c>
      <c r="I82" s="26">
        <f>F82*AP82</f>
        <v>0</v>
      </c>
      <c r="J82" s="26">
        <f>F82*G82</f>
        <v>0</v>
      </c>
      <c r="K82" s="28" t="s">
        <v>65</v>
      </c>
      <c r="Z82" s="26">
        <f>IF(AQ82="5",BJ82,0)</f>
        <v>0</v>
      </c>
      <c r="AB82" s="26">
        <f>IF(AQ82="1",BH82,0)</f>
        <v>0</v>
      </c>
      <c r="AC82" s="26">
        <f>IF(AQ82="1",BI82,0)</f>
        <v>0</v>
      </c>
      <c r="AD82" s="26">
        <f>IF(AQ82="7",BH82,0)</f>
        <v>0</v>
      </c>
      <c r="AE82" s="26">
        <f>IF(AQ82="7",BI82,0)</f>
        <v>0</v>
      </c>
      <c r="AF82" s="26">
        <f>IF(AQ82="2",BH82,0)</f>
        <v>0</v>
      </c>
      <c r="AG82" s="26">
        <f>IF(AQ82="2",BI82,0)</f>
        <v>0</v>
      </c>
      <c r="AH82" s="26">
        <f>IF(AQ82="0",BJ82,0)</f>
        <v>0</v>
      </c>
      <c r="AI82" s="11" t="s">
        <v>58</v>
      </c>
      <c r="AJ82" s="26">
        <f>IF(AN82=0,J82,0)</f>
        <v>0</v>
      </c>
      <c r="AK82" s="26">
        <f>IF(AN82=12,J82,0)</f>
        <v>0</v>
      </c>
      <c r="AL82" s="26">
        <f>IF(AN82=21,J82,0)</f>
        <v>0</v>
      </c>
      <c r="AN82" s="26">
        <v>12</v>
      </c>
      <c r="AO82" s="26">
        <f>G82*0.351147541</f>
        <v>0</v>
      </c>
      <c r="AP82" s="26">
        <f>G82*(1-0.351147541)</f>
        <v>0</v>
      </c>
      <c r="AQ82" s="29" t="s">
        <v>90</v>
      </c>
      <c r="AV82" s="26">
        <f>AW82+AX82</f>
        <v>0</v>
      </c>
      <c r="AW82" s="26">
        <f>F82*AO82</f>
        <v>0</v>
      </c>
      <c r="AX82" s="26">
        <f>F82*AP82</f>
        <v>0</v>
      </c>
      <c r="AY82" s="29" t="s">
        <v>160</v>
      </c>
      <c r="AZ82" s="29" t="s">
        <v>109</v>
      </c>
      <c r="BA82" s="11" t="s">
        <v>61</v>
      </c>
      <c r="BB82" s="30">
        <v>100002</v>
      </c>
      <c r="BC82" s="26">
        <f>AW82+AX82</f>
        <v>0</v>
      </c>
      <c r="BD82" s="26">
        <f>G82/(100-BE82)*100</f>
        <v>0</v>
      </c>
      <c r="BE82" s="26">
        <v>0</v>
      </c>
      <c r="BF82" s="26">
        <f>82</f>
        <v>82</v>
      </c>
      <c r="BH82" s="26">
        <f>F82*AO82</f>
        <v>0</v>
      </c>
      <c r="BI82" s="26">
        <f>F82*AP82</f>
        <v>0</v>
      </c>
      <c r="BJ82" s="26">
        <f>F82*G82</f>
        <v>0</v>
      </c>
      <c r="BK82" s="26"/>
      <c r="BL82" s="26">
        <v>722</v>
      </c>
      <c r="BW82" s="26">
        <v>12</v>
      </c>
      <c r="BX82" s="5" t="s">
        <v>243</v>
      </c>
    </row>
    <row r="83" spans="1:76" ht="13.5" customHeight="1" x14ac:dyDescent="0.25">
      <c r="A83" s="36"/>
      <c r="B83" s="37" t="s">
        <v>233</v>
      </c>
      <c r="C83" s="118" t="s">
        <v>253</v>
      </c>
      <c r="D83" s="119"/>
      <c r="E83" s="119"/>
      <c r="F83" s="119"/>
      <c r="G83" s="120"/>
      <c r="H83" s="119"/>
      <c r="I83" s="119"/>
      <c r="J83" s="119"/>
      <c r="K83" s="121"/>
    </row>
    <row r="84" spans="1:76" x14ac:dyDescent="0.25">
      <c r="A84" s="2" t="s">
        <v>78</v>
      </c>
      <c r="B84" s="3" t="s">
        <v>254</v>
      </c>
      <c r="C84" s="96" t="s">
        <v>243</v>
      </c>
      <c r="D84" s="91"/>
      <c r="E84" s="3" t="s">
        <v>69</v>
      </c>
      <c r="F84" s="26">
        <v>13</v>
      </c>
      <c r="G84" s="27">
        <v>0</v>
      </c>
      <c r="H84" s="26">
        <f>F84*AO84</f>
        <v>0</v>
      </c>
      <c r="I84" s="26">
        <f>F84*AP84</f>
        <v>0</v>
      </c>
      <c r="J84" s="26">
        <f>F84*G84</f>
        <v>0</v>
      </c>
      <c r="K84" s="28" t="s">
        <v>65</v>
      </c>
      <c r="Z84" s="26">
        <f>IF(AQ84="5",BJ84,0)</f>
        <v>0</v>
      </c>
      <c r="AB84" s="26">
        <f>IF(AQ84="1",BH84,0)</f>
        <v>0</v>
      </c>
      <c r="AC84" s="26">
        <f>IF(AQ84="1",BI84,0)</f>
        <v>0</v>
      </c>
      <c r="AD84" s="26">
        <f>IF(AQ84="7",BH84,0)</f>
        <v>0</v>
      </c>
      <c r="AE84" s="26">
        <f>IF(AQ84="7",BI84,0)</f>
        <v>0</v>
      </c>
      <c r="AF84" s="26">
        <f>IF(AQ84="2",BH84,0)</f>
        <v>0</v>
      </c>
      <c r="AG84" s="26">
        <f>IF(AQ84="2",BI84,0)</f>
        <v>0</v>
      </c>
      <c r="AH84" s="26">
        <f>IF(AQ84="0",BJ84,0)</f>
        <v>0</v>
      </c>
      <c r="AI84" s="11" t="s">
        <v>58</v>
      </c>
      <c r="AJ84" s="26">
        <f>IF(AN84=0,J84,0)</f>
        <v>0</v>
      </c>
      <c r="AK84" s="26">
        <f>IF(AN84=12,J84,0)</f>
        <v>0</v>
      </c>
      <c r="AL84" s="26">
        <f>IF(AN84=21,J84,0)</f>
        <v>0</v>
      </c>
      <c r="AN84" s="26">
        <v>12</v>
      </c>
      <c r="AO84" s="26">
        <f>G84*0.344169014</f>
        <v>0</v>
      </c>
      <c r="AP84" s="26">
        <f>G84*(1-0.344169014)</f>
        <v>0</v>
      </c>
      <c r="AQ84" s="29" t="s">
        <v>90</v>
      </c>
      <c r="AV84" s="26">
        <f>AW84+AX84</f>
        <v>0</v>
      </c>
      <c r="AW84" s="26">
        <f>F84*AO84</f>
        <v>0</v>
      </c>
      <c r="AX84" s="26">
        <f>F84*AP84</f>
        <v>0</v>
      </c>
      <c r="AY84" s="29" t="s">
        <v>160</v>
      </c>
      <c r="AZ84" s="29" t="s">
        <v>109</v>
      </c>
      <c r="BA84" s="11" t="s">
        <v>61</v>
      </c>
      <c r="BB84" s="30">
        <v>100002</v>
      </c>
      <c r="BC84" s="26">
        <f>AW84+AX84</f>
        <v>0</v>
      </c>
      <c r="BD84" s="26">
        <f>G84/(100-BE84)*100</f>
        <v>0</v>
      </c>
      <c r="BE84" s="26">
        <v>0</v>
      </c>
      <c r="BF84" s="26">
        <f>84</f>
        <v>84</v>
      </c>
      <c r="BH84" s="26">
        <f>F84*AO84</f>
        <v>0</v>
      </c>
      <c r="BI84" s="26">
        <f>F84*AP84</f>
        <v>0</v>
      </c>
      <c r="BJ84" s="26">
        <f>F84*G84</f>
        <v>0</v>
      </c>
      <c r="BK84" s="26"/>
      <c r="BL84" s="26">
        <v>722</v>
      </c>
      <c r="BW84" s="26">
        <v>12</v>
      </c>
      <c r="BX84" s="5" t="s">
        <v>243</v>
      </c>
    </row>
    <row r="85" spans="1:76" ht="13.5" customHeight="1" x14ac:dyDescent="0.25">
      <c r="A85" s="36"/>
      <c r="B85" s="37" t="s">
        <v>233</v>
      </c>
      <c r="C85" s="118" t="s">
        <v>237</v>
      </c>
      <c r="D85" s="119"/>
      <c r="E85" s="119"/>
      <c r="F85" s="119"/>
      <c r="G85" s="120"/>
      <c r="H85" s="119"/>
      <c r="I85" s="119"/>
      <c r="J85" s="119"/>
      <c r="K85" s="121"/>
    </row>
    <row r="86" spans="1:76" x14ac:dyDescent="0.25">
      <c r="A86" s="2" t="s">
        <v>255</v>
      </c>
      <c r="B86" s="3" t="s">
        <v>256</v>
      </c>
      <c r="C86" s="96" t="s">
        <v>257</v>
      </c>
      <c r="D86" s="91"/>
      <c r="E86" s="3" t="s">
        <v>69</v>
      </c>
      <c r="F86" s="26">
        <v>316.8</v>
      </c>
      <c r="G86" s="27">
        <v>0</v>
      </c>
      <c r="H86" s="26">
        <f>F86*AO86</f>
        <v>0</v>
      </c>
      <c r="I86" s="26">
        <f>F86*AP86</f>
        <v>0</v>
      </c>
      <c r="J86" s="26">
        <f>F86*G86</f>
        <v>0</v>
      </c>
      <c r="K86" s="28" t="s">
        <v>65</v>
      </c>
      <c r="Z86" s="26">
        <f>IF(AQ86="5",BJ86,0)</f>
        <v>0</v>
      </c>
      <c r="AB86" s="26">
        <f>IF(AQ86="1",BH86,0)</f>
        <v>0</v>
      </c>
      <c r="AC86" s="26">
        <f>IF(AQ86="1",BI86,0)</f>
        <v>0</v>
      </c>
      <c r="AD86" s="26">
        <f>IF(AQ86="7",BH86,0)</f>
        <v>0</v>
      </c>
      <c r="AE86" s="26">
        <f>IF(AQ86="7",BI86,0)</f>
        <v>0</v>
      </c>
      <c r="AF86" s="26">
        <f>IF(AQ86="2",BH86,0)</f>
        <v>0</v>
      </c>
      <c r="AG86" s="26">
        <f>IF(AQ86="2",BI86,0)</f>
        <v>0</v>
      </c>
      <c r="AH86" s="26">
        <f>IF(AQ86="0",BJ86,0)</f>
        <v>0</v>
      </c>
      <c r="AI86" s="11" t="s">
        <v>58</v>
      </c>
      <c r="AJ86" s="26">
        <f>IF(AN86=0,J86,0)</f>
        <v>0</v>
      </c>
      <c r="AK86" s="26">
        <f>IF(AN86=12,J86,0)</f>
        <v>0</v>
      </c>
      <c r="AL86" s="26">
        <f>IF(AN86=21,J86,0)</f>
        <v>0</v>
      </c>
      <c r="AN86" s="26">
        <v>12</v>
      </c>
      <c r="AO86" s="26">
        <f>G86*0.39691589</f>
        <v>0</v>
      </c>
      <c r="AP86" s="26">
        <f>G86*(1-0.39691589)</f>
        <v>0</v>
      </c>
      <c r="AQ86" s="29" t="s">
        <v>90</v>
      </c>
      <c r="AV86" s="26">
        <f>AW86+AX86</f>
        <v>0</v>
      </c>
      <c r="AW86" s="26">
        <f>F86*AO86</f>
        <v>0</v>
      </c>
      <c r="AX86" s="26">
        <f>F86*AP86</f>
        <v>0</v>
      </c>
      <c r="AY86" s="29" t="s">
        <v>160</v>
      </c>
      <c r="AZ86" s="29" t="s">
        <v>109</v>
      </c>
      <c r="BA86" s="11" t="s">
        <v>61</v>
      </c>
      <c r="BB86" s="30">
        <v>100002</v>
      </c>
      <c r="BC86" s="26">
        <f>AW86+AX86</f>
        <v>0</v>
      </c>
      <c r="BD86" s="26">
        <f>G86/(100-BE86)*100</f>
        <v>0</v>
      </c>
      <c r="BE86" s="26">
        <v>0</v>
      </c>
      <c r="BF86" s="26">
        <f>86</f>
        <v>86</v>
      </c>
      <c r="BH86" s="26">
        <f>F86*AO86</f>
        <v>0</v>
      </c>
      <c r="BI86" s="26">
        <f>F86*AP86</f>
        <v>0</v>
      </c>
      <c r="BJ86" s="26">
        <f>F86*G86</f>
        <v>0</v>
      </c>
      <c r="BK86" s="26"/>
      <c r="BL86" s="26">
        <v>722</v>
      </c>
      <c r="BW86" s="26">
        <v>12</v>
      </c>
      <c r="BX86" s="5" t="s">
        <v>257</v>
      </c>
    </row>
    <row r="87" spans="1:76" ht="13.5" customHeight="1" x14ac:dyDescent="0.25">
      <c r="A87" s="36"/>
      <c r="B87" s="37" t="s">
        <v>233</v>
      </c>
      <c r="C87" s="118" t="s">
        <v>234</v>
      </c>
      <c r="D87" s="119"/>
      <c r="E87" s="119"/>
      <c r="F87" s="119"/>
      <c r="G87" s="120"/>
      <c r="H87" s="119"/>
      <c r="I87" s="119"/>
      <c r="J87" s="119"/>
      <c r="K87" s="121"/>
    </row>
    <row r="88" spans="1:76" x14ac:dyDescent="0.25">
      <c r="A88" s="2" t="s">
        <v>258</v>
      </c>
      <c r="B88" s="3" t="s">
        <v>256</v>
      </c>
      <c r="C88" s="96" t="s">
        <v>257</v>
      </c>
      <c r="D88" s="91"/>
      <c r="E88" s="3" t="s">
        <v>69</v>
      </c>
      <c r="F88" s="26">
        <v>200</v>
      </c>
      <c r="G88" s="27">
        <v>0</v>
      </c>
      <c r="H88" s="26">
        <f>F88*AO88</f>
        <v>0</v>
      </c>
      <c r="I88" s="26">
        <f>F88*AP88</f>
        <v>0</v>
      </c>
      <c r="J88" s="26">
        <f>F88*G88</f>
        <v>0</v>
      </c>
      <c r="K88" s="28" t="s">
        <v>65</v>
      </c>
      <c r="Z88" s="26">
        <f>IF(AQ88="5",BJ88,0)</f>
        <v>0</v>
      </c>
      <c r="AB88" s="26">
        <f>IF(AQ88="1",BH88,0)</f>
        <v>0</v>
      </c>
      <c r="AC88" s="26">
        <f>IF(AQ88="1",BI88,0)</f>
        <v>0</v>
      </c>
      <c r="AD88" s="26">
        <f>IF(AQ88="7",BH88,0)</f>
        <v>0</v>
      </c>
      <c r="AE88" s="26">
        <f>IF(AQ88="7",BI88,0)</f>
        <v>0</v>
      </c>
      <c r="AF88" s="26">
        <f>IF(AQ88="2",BH88,0)</f>
        <v>0</v>
      </c>
      <c r="AG88" s="26">
        <f>IF(AQ88="2",BI88,0)</f>
        <v>0</v>
      </c>
      <c r="AH88" s="26">
        <f>IF(AQ88="0",BJ88,0)</f>
        <v>0</v>
      </c>
      <c r="AI88" s="11" t="s">
        <v>58</v>
      </c>
      <c r="AJ88" s="26">
        <f>IF(AN88=0,J88,0)</f>
        <v>0</v>
      </c>
      <c r="AK88" s="26">
        <f>IF(AN88=12,J88,0)</f>
        <v>0</v>
      </c>
      <c r="AL88" s="26">
        <f>IF(AN88=21,J88,0)</f>
        <v>0</v>
      </c>
      <c r="AN88" s="26">
        <v>12</v>
      </c>
      <c r="AO88" s="26">
        <f>G88*0.39691591</f>
        <v>0</v>
      </c>
      <c r="AP88" s="26">
        <f>G88*(1-0.39691591)</f>
        <v>0</v>
      </c>
      <c r="AQ88" s="29" t="s">
        <v>90</v>
      </c>
      <c r="AV88" s="26">
        <f>AW88+AX88</f>
        <v>0</v>
      </c>
      <c r="AW88" s="26">
        <f>F88*AO88</f>
        <v>0</v>
      </c>
      <c r="AX88" s="26">
        <f>F88*AP88</f>
        <v>0</v>
      </c>
      <c r="AY88" s="29" t="s">
        <v>160</v>
      </c>
      <c r="AZ88" s="29" t="s">
        <v>109</v>
      </c>
      <c r="BA88" s="11" t="s">
        <v>61</v>
      </c>
      <c r="BB88" s="30">
        <v>100002</v>
      </c>
      <c r="BC88" s="26">
        <f>AW88+AX88</f>
        <v>0</v>
      </c>
      <c r="BD88" s="26">
        <f>G88/(100-BE88)*100</f>
        <v>0</v>
      </c>
      <c r="BE88" s="26">
        <v>0</v>
      </c>
      <c r="BF88" s="26">
        <f>88</f>
        <v>88</v>
      </c>
      <c r="BH88" s="26">
        <f>F88*AO88</f>
        <v>0</v>
      </c>
      <c r="BI88" s="26">
        <f>F88*AP88</f>
        <v>0</v>
      </c>
      <c r="BJ88" s="26">
        <f>F88*G88</f>
        <v>0</v>
      </c>
      <c r="BK88" s="26"/>
      <c r="BL88" s="26">
        <v>722</v>
      </c>
      <c r="BW88" s="26">
        <v>12</v>
      </c>
      <c r="BX88" s="5" t="s">
        <v>257</v>
      </c>
    </row>
    <row r="89" spans="1:76" ht="13.5" customHeight="1" x14ac:dyDescent="0.25">
      <c r="A89" s="36"/>
      <c r="B89" s="37" t="s">
        <v>233</v>
      </c>
      <c r="C89" s="118" t="s">
        <v>234</v>
      </c>
      <c r="D89" s="119"/>
      <c r="E89" s="119"/>
      <c r="F89" s="119"/>
      <c r="G89" s="120"/>
      <c r="H89" s="119"/>
      <c r="I89" s="119"/>
      <c r="J89" s="119"/>
      <c r="K89" s="121"/>
    </row>
    <row r="90" spans="1:76" x14ac:dyDescent="0.25">
      <c r="A90" s="2" t="s">
        <v>259</v>
      </c>
      <c r="B90" s="3" t="s">
        <v>260</v>
      </c>
      <c r="C90" s="96" t="s">
        <v>257</v>
      </c>
      <c r="D90" s="91"/>
      <c r="E90" s="3" t="s">
        <v>69</v>
      </c>
      <c r="F90" s="26">
        <v>30.12</v>
      </c>
      <c r="G90" s="27">
        <v>0</v>
      </c>
      <c r="H90" s="26">
        <f>F90*AO90</f>
        <v>0</v>
      </c>
      <c r="I90" s="26">
        <f>F90*AP90</f>
        <v>0</v>
      </c>
      <c r="J90" s="26">
        <f>F90*G90</f>
        <v>0</v>
      </c>
      <c r="K90" s="28" t="s">
        <v>65</v>
      </c>
      <c r="Z90" s="26">
        <f>IF(AQ90="5",BJ90,0)</f>
        <v>0</v>
      </c>
      <c r="AB90" s="26">
        <f>IF(AQ90="1",BH90,0)</f>
        <v>0</v>
      </c>
      <c r="AC90" s="26">
        <f>IF(AQ90="1",BI90,0)</f>
        <v>0</v>
      </c>
      <c r="AD90" s="26">
        <f>IF(AQ90="7",BH90,0)</f>
        <v>0</v>
      </c>
      <c r="AE90" s="26">
        <f>IF(AQ90="7",BI90,0)</f>
        <v>0</v>
      </c>
      <c r="AF90" s="26">
        <f>IF(AQ90="2",BH90,0)</f>
        <v>0</v>
      </c>
      <c r="AG90" s="26">
        <f>IF(AQ90="2",BI90,0)</f>
        <v>0</v>
      </c>
      <c r="AH90" s="26">
        <f>IF(AQ90="0",BJ90,0)</f>
        <v>0</v>
      </c>
      <c r="AI90" s="11" t="s">
        <v>58</v>
      </c>
      <c r="AJ90" s="26">
        <f>IF(AN90=0,J90,0)</f>
        <v>0</v>
      </c>
      <c r="AK90" s="26">
        <f>IF(AN90=12,J90,0)</f>
        <v>0</v>
      </c>
      <c r="AL90" s="26">
        <f>IF(AN90=21,J90,0)</f>
        <v>0</v>
      </c>
      <c r="AN90" s="26">
        <v>12</v>
      </c>
      <c r="AO90" s="26">
        <f>G90*0.426837776</f>
        <v>0</v>
      </c>
      <c r="AP90" s="26">
        <f>G90*(1-0.426837776)</f>
        <v>0</v>
      </c>
      <c r="AQ90" s="29" t="s">
        <v>90</v>
      </c>
      <c r="AV90" s="26">
        <f>AW90+AX90</f>
        <v>0</v>
      </c>
      <c r="AW90" s="26">
        <f>F90*AO90</f>
        <v>0</v>
      </c>
      <c r="AX90" s="26">
        <f>F90*AP90</f>
        <v>0</v>
      </c>
      <c r="AY90" s="29" t="s">
        <v>160</v>
      </c>
      <c r="AZ90" s="29" t="s">
        <v>109</v>
      </c>
      <c r="BA90" s="11" t="s">
        <v>61</v>
      </c>
      <c r="BB90" s="30">
        <v>100002</v>
      </c>
      <c r="BC90" s="26">
        <f>AW90+AX90</f>
        <v>0</v>
      </c>
      <c r="BD90" s="26">
        <f>G90/(100-BE90)*100</f>
        <v>0</v>
      </c>
      <c r="BE90" s="26">
        <v>0</v>
      </c>
      <c r="BF90" s="26">
        <f>90</f>
        <v>90</v>
      </c>
      <c r="BH90" s="26">
        <f>F90*AO90</f>
        <v>0</v>
      </c>
      <c r="BI90" s="26">
        <f>F90*AP90</f>
        <v>0</v>
      </c>
      <c r="BJ90" s="26">
        <f>F90*G90</f>
        <v>0</v>
      </c>
      <c r="BK90" s="26"/>
      <c r="BL90" s="26">
        <v>722</v>
      </c>
      <c r="BW90" s="26">
        <v>12</v>
      </c>
      <c r="BX90" s="5" t="s">
        <v>257</v>
      </c>
    </row>
    <row r="91" spans="1:76" ht="13.5" customHeight="1" x14ac:dyDescent="0.25">
      <c r="A91" s="36"/>
      <c r="B91" s="37" t="s">
        <v>233</v>
      </c>
      <c r="C91" s="118" t="s">
        <v>244</v>
      </c>
      <c r="D91" s="119"/>
      <c r="E91" s="119"/>
      <c r="F91" s="119"/>
      <c r="G91" s="120"/>
      <c r="H91" s="119"/>
      <c r="I91" s="119"/>
      <c r="J91" s="119"/>
      <c r="K91" s="121"/>
    </row>
    <row r="92" spans="1:76" x14ac:dyDescent="0.25">
      <c r="A92" s="2" t="s">
        <v>261</v>
      </c>
      <c r="B92" s="3" t="s">
        <v>262</v>
      </c>
      <c r="C92" s="96" t="s">
        <v>257</v>
      </c>
      <c r="D92" s="91"/>
      <c r="E92" s="3" t="s">
        <v>69</v>
      </c>
      <c r="F92" s="26">
        <v>33.6</v>
      </c>
      <c r="G92" s="27">
        <v>0</v>
      </c>
      <c r="H92" s="26">
        <f>F92*AO92</f>
        <v>0</v>
      </c>
      <c r="I92" s="26">
        <f>F92*AP92</f>
        <v>0</v>
      </c>
      <c r="J92" s="26">
        <f>F92*G92</f>
        <v>0</v>
      </c>
      <c r="K92" s="28" t="s">
        <v>65</v>
      </c>
      <c r="Z92" s="26">
        <f>IF(AQ92="5",BJ92,0)</f>
        <v>0</v>
      </c>
      <c r="AB92" s="26">
        <f>IF(AQ92="1",BH92,0)</f>
        <v>0</v>
      </c>
      <c r="AC92" s="26">
        <f>IF(AQ92="1",BI92,0)</f>
        <v>0</v>
      </c>
      <c r="AD92" s="26">
        <f>IF(AQ92="7",BH92,0)</f>
        <v>0</v>
      </c>
      <c r="AE92" s="26">
        <f>IF(AQ92="7",BI92,0)</f>
        <v>0</v>
      </c>
      <c r="AF92" s="26">
        <f>IF(AQ92="2",BH92,0)</f>
        <v>0</v>
      </c>
      <c r="AG92" s="26">
        <f>IF(AQ92="2",BI92,0)</f>
        <v>0</v>
      </c>
      <c r="AH92" s="26">
        <f>IF(AQ92="0",BJ92,0)</f>
        <v>0</v>
      </c>
      <c r="AI92" s="11" t="s">
        <v>58</v>
      </c>
      <c r="AJ92" s="26">
        <f>IF(AN92=0,J92,0)</f>
        <v>0</v>
      </c>
      <c r="AK92" s="26">
        <f>IF(AN92=12,J92,0)</f>
        <v>0</v>
      </c>
      <c r="AL92" s="26">
        <f>IF(AN92=21,J92,0)</f>
        <v>0</v>
      </c>
      <c r="AN92" s="26">
        <v>12</v>
      </c>
      <c r="AO92" s="26">
        <f>G92*0.435836177</f>
        <v>0</v>
      </c>
      <c r="AP92" s="26">
        <f>G92*(1-0.435836177)</f>
        <v>0</v>
      </c>
      <c r="AQ92" s="29" t="s">
        <v>90</v>
      </c>
      <c r="AV92" s="26">
        <f>AW92+AX92</f>
        <v>0</v>
      </c>
      <c r="AW92" s="26">
        <f>F92*AO92</f>
        <v>0</v>
      </c>
      <c r="AX92" s="26">
        <f>F92*AP92</f>
        <v>0</v>
      </c>
      <c r="AY92" s="29" t="s">
        <v>160</v>
      </c>
      <c r="AZ92" s="29" t="s">
        <v>109</v>
      </c>
      <c r="BA92" s="11" t="s">
        <v>61</v>
      </c>
      <c r="BB92" s="30">
        <v>100002</v>
      </c>
      <c r="BC92" s="26">
        <f>AW92+AX92</f>
        <v>0</v>
      </c>
      <c r="BD92" s="26">
        <f>G92/(100-BE92)*100</f>
        <v>0</v>
      </c>
      <c r="BE92" s="26">
        <v>0</v>
      </c>
      <c r="BF92" s="26">
        <f>92</f>
        <v>92</v>
      </c>
      <c r="BH92" s="26">
        <f>F92*AO92</f>
        <v>0</v>
      </c>
      <c r="BI92" s="26">
        <f>F92*AP92</f>
        <v>0</v>
      </c>
      <c r="BJ92" s="26">
        <f>F92*G92</f>
        <v>0</v>
      </c>
      <c r="BK92" s="26"/>
      <c r="BL92" s="26">
        <v>722</v>
      </c>
      <c r="BW92" s="26">
        <v>12</v>
      </c>
      <c r="BX92" s="5" t="s">
        <v>257</v>
      </c>
    </row>
    <row r="93" spans="1:76" ht="13.5" customHeight="1" x14ac:dyDescent="0.25">
      <c r="A93" s="36"/>
      <c r="B93" s="37" t="s">
        <v>233</v>
      </c>
      <c r="C93" s="118" t="s">
        <v>247</v>
      </c>
      <c r="D93" s="119"/>
      <c r="E93" s="119"/>
      <c r="F93" s="119"/>
      <c r="G93" s="120"/>
      <c r="H93" s="119"/>
      <c r="I93" s="119"/>
      <c r="J93" s="119"/>
      <c r="K93" s="121"/>
    </row>
    <row r="94" spans="1:76" x14ac:dyDescent="0.25">
      <c r="A94" s="2" t="s">
        <v>263</v>
      </c>
      <c r="B94" s="3" t="s">
        <v>264</v>
      </c>
      <c r="C94" s="96" t="s">
        <v>257</v>
      </c>
      <c r="D94" s="91"/>
      <c r="E94" s="3" t="s">
        <v>69</v>
      </c>
      <c r="F94" s="26">
        <v>33.6</v>
      </c>
      <c r="G94" s="27">
        <v>0</v>
      </c>
      <c r="H94" s="26">
        <f>F94*AO94</f>
        <v>0</v>
      </c>
      <c r="I94" s="26">
        <f>F94*AP94</f>
        <v>0</v>
      </c>
      <c r="J94" s="26">
        <f>F94*G94</f>
        <v>0</v>
      </c>
      <c r="K94" s="28" t="s">
        <v>65</v>
      </c>
      <c r="Z94" s="26">
        <f>IF(AQ94="5",BJ94,0)</f>
        <v>0</v>
      </c>
      <c r="AB94" s="26">
        <f>IF(AQ94="1",BH94,0)</f>
        <v>0</v>
      </c>
      <c r="AC94" s="26">
        <f>IF(AQ94="1",BI94,0)</f>
        <v>0</v>
      </c>
      <c r="AD94" s="26">
        <f>IF(AQ94="7",BH94,0)</f>
        <v>0</v>
      </c>
      <c r="AE94" s="26">
        <f>IF(AQ94="7",BI94,0)</f>
        <v>0</v>
      </c>
      <c r="AF94" s="26">
        <f>IF(AQ94="2",BH94,0)</f>
        <v>0</v>
      </c>
      <c r="AG94" s="26">
        <f>IF(AQ94="2",BI94,0)</f>
        <v>0</v>
      </c>
      <c r="AH94" s="26">
        <f>IF(AQ94="0",BJ94,0)</f>
        <v>0</v>
      </c>
      <c r="AI94" s="11" t="s">
        <v>58</v>
      </c>
      <c r="AJ94" s="26">
        <f>IF(AN94=0,J94,0)</f>
        <v>0</v>
      </c>
      <c r="AK94" s="26">
        <f>IF(AN94=12,J94,0)</f>
        <v>0</v>
      </c>
      <c r="AL94" s="26">
        <f>IF(AN94=21,J94,0)</f>
        <v>0</v>
      </c>
      <c r="AN94" s="26">
        <v>12</v>
      </c>
      <c r="AO94" s="26">
        <f>G94*0.439359228</f>
        <v>0</v>
      </c>
      <c r="AP94" s="26">
        <f>G94*(1-0.439359228)</f>
        <v>0</v>
      </c>
      <c r="AQ94" s="29" t="s">
        <v>90</v>
      </c>
      <c r="AV94" s="26">
        <f>AW94+AX94</f>
        <v>0</v>
      </c>
      <c r="AW94" s="26">
        <f>F94*AO94</f>
        <v>0</v>
      </c>
      <c r="AX94" s="26">
        <f>F94*AP94</f>
        <v>0</v>
      </c>
      <c r="AY94" s="29" t="s">
        <v>160</v>
      </c>
      <c r="AZ94" s="29" t="s">
        <v>109</v>
      </c>
      <c r="BA94" s="11" t="s">
        <v>61</v>
      </c>
      <c r="BB94" s="30">
        <v>100002</v>
      </c>
      <c r="BC94" s="26">
        <f>AW94+AX94</f>
        <v>0</v>
      </c>
      <c r="BD94" s="26">
        <f>G94/(100-BE94)*100</f>
        <v>0</v>
      </c>
      <c r="BE94" s="26">
        <v>0</v>
      </c>
      <c r="BF94" s="26">
        <f>94</f>
        <v>94</v>
      </c>
      <c r="BH94" s="26">
        <f>F94*AO94</f>
        <v>0</v>
      </c>
      <c r="BI94" s="26">
        <f>F94*AP94</f>
        <v>0</v>
      </c>
      <c r="BJ94" s="26">
        <f>F94*G94</f>
        <v>0</v>
      </c>
      <c r="BK94" s="26"/>
      <c r="BL94" s="26">
        <v>722</v>
      </c>
      <c r="BW94" s="26">
        <v>12</v>
      </c>
      <c r="BX94" s="5" t="s">
        <v>257</v>
      </c>
    </row>
    <row r="95" spans="1:76" ht="13.5" customHeight="1" x14ac:dyDescent="0.25">
      <c r="A95" s="36"/>
      <c r="B95" s="37" t="s">
        <v>233</v>
      </c>
      <c r="C95" s="118" t="s">
        <v>250</v>
      </c>
      <c r="D95" s="119"/>
      <c r="E95" s="119"/>
      <c r="F95" s="119"/>
      <c r="G95" s="120"/>
      <c r="H95" s="119"/>
      <c r="I95" s="119"/>
      <c r="J95" s="119"/>
      <c r="K95" s="121"/>
    </row>
    <row r="96" spans="1:76" x14ac:dyDescent="0.25">
      <c r="A96" s="2" t="s">
        <v>265</v>
      </c>
      <c r="B96" s="3" t="s">
        <v>266</v>
      </c>
      <c r="C96" s="96" t="s">
        <v>257</v>
      </c>
      <c r="D96" s="91"/>
      <c r="E96" s="3" t="s">
        <v>69</v>
      </c>
      <c r="F96" s="26">
        <v>116</v>
      </c>
      <c r="G96" s="27">
        <v>0</v>
      </c>
      <c r="H96" s="26">
        <f>F96*AO96</f>
        <v>0</v>
      </c>
      <c r="I96" s="26">
        <f>F96*AP96</f>
        <v>0</v>
      </c>
      <c r="J96" s="26">
        <f>F96*G96</f>
        <v>0</v>
      </c>
      <c r="K96" s="28" t="s">
        <v>65</v>
      </c>
      <c r="Z96" s="26">
        <f>IF(AQ96="5",BJ96,0)</f>
        <v>0</v>
      </c>
      <c r="AB96" s="26">
        <f>IF(AQ96="1",BH96,0)</f>
        <v>0</v>
      </c>
      <c r="AC96" s="26">
        <f>IF(AQ96="1",BI96,0)</f>
        <v>0</v>
      </c>
      <c r="AD96" s="26">
        <f>IF(AQ96="7",BH96,0)</f>
        <v>0</v>
      </c>
      <c r="AE96" s="26">
        <f>IF(AQ96="7",BI96,0)</f>
        <v>0</v>
      </c>
      <c r="AF96" s="26">
        <f>IF(AQ96="2",BH96,0)</f>
        <v>0</v>
      </c>
      <c r="AG96" s="26">
        <f>IF(AQ96="2",BI96,0)</f>
        <v>0</v>
      </c>
      <c r="AH96" s="26">
        <f>IF(AQ96="0",BJ96,0)</f>
        <v>0</v>
      </c>
      <c r="AI96" s="11" t="s">
        <v>58</v>
      </c>
      <c r="AJ96" s="26">
        <f>IF(AN96=0,J96,0)</f>
        <v>0</v>
      </c>
      <c r="AK96" s="26">
        <f>IF(AN96=12,J96,0)</f>
        <v>0</v>
      </c>
      <c r="AL96" s="26">
        <f>IF(AN96=21,J96,0)</f>
        <v>0</v>
      </c>
      <c r="AN96" s="26">
        <v>12</v>
      </c>
      <c r="AO96" s="26">
        <f>G96*0.456318681</f>
        <v>0</v>
      </c>
      <c r="AP96" s="26">
        <f>G96*(1-0.456318681)</f>
        <v>0</v>
      </c>
      <c r="AQ96" s="29" t="s">
        <v>90</v>
      </c>
      <c r="AV96" s="26">
        <f>AW96+AX96</f>
        <v>0</v>
      </c>
      <c r="AW96" s="26">
        <f>F96*AO96</f>
        <v>0</v>
      </c>
      <c r="AX96" s="26">
        <f>F96*AP96</f>
        <v>0</v>
      </c>
      <c r="AY96" s="29" t="s">
        <v>160</v>
      </c>
      <c r="AZ96" s="29" t="s">
        <v>109</v>
      </c>
      <c r="BA96" s="11" t="s">
        <v>61</v>
      </c>
      <c r="BB96" s="30">
        <v>100002</v>
      </c>
      <c r="BC96" s="26">
        <f>AW96+AX96</f>
        <v>0</v>
      </c>
      <c r="BD96" s="26">
        <f>G96/(100-BE96)*100</f>
        <v>0</v>
      </c>
      <c r="BE96" s="26">
        <v>0</v>
      </c>
      <c r="BF96" s="26">
        <f>96</f>
        <v>96</v>
      </c>
      <c r="BH96" s="26">
        <f>F96*AO96</f>
        <v>0</v>
      </c>
      <c r="BI96" s="26">
        <f>F96*AP96</f>
        <v>0</v>
      </c>
      <c r="BJ96" s="26">
        <f>F96*G96</f>
        <v>0</v>
      </c>
      <c r="BK96" s="26"/>
      <c r="BL96" s="26">
        <v>722</v>
      </c>
      <c r="BW96" s="26">
        <v>12</v>
      </c>
      <c r="BX96" s="5" t="s">
        <v>257</v>
      </c>
    </row>
    <row r="97" spans="1:76" ht="13.5" customHeight="1" x14ac:dyDescent="0.25">
      <c r="A97" s="36"/>
      <c r="B97" s="37" t="s">
        <v>233</v>
      </c>
      <c r="C97" s="118" t="s">
        <v>253</v>
      </c>
      <c r="D97" s="119"/>
      <c r="E97" s="119"/>
      <c r="F97" s="119"/>
      <c r="G97" s="120"/>
      <c r="H97" s="119"/>
      <c r="I97" s="119"/>
      <c r="J97" s="119"/>
      <c r="K97" s="121"/>
    </row>
    <row r="98" spans="1:76" x14ac:dyDescent="0.25">
      <c r="A98" s="2" t="s">
        <v>267</v>
      </c>
      <c r="B98" s="3" t="s">
        <v>268</v>
      </c>
      <c r="C98" s="96" t="s">
        <v>257</v>
      </c>
      <c r="D98" s="91"/>
      <c r="E98" s="3" t="s">
        <v>69</v>
      </c>
      <c r="F98" s="26">
        <v>70</v>
      </c>
      <c r="G98" s="27">
        <v>0</v>
      </c>
      <c r="H98" s="26">
        <f>F98*AO98</f>
        <v>0</v>
      </c>
      <c r="I98" s="26">
        <f>F98*AP98</f>
        <v>0</v>
      </c>
      <c r="J98" s="26">
        <f>F98*G98</f>
        <v>0</v>
      </c>
      <c r="K98" s="28" t="s">
        <v>65</v>
      </c>
      <c r="Z98" s="26">
        <f>IF(AQ98="5",BJ98,0)</f>
        <v>0</v>
      </c>
      <c r="AB98" s="26">
        <f>IF(AQ98="1",BH98,0)</f>
        <v>0</v>
      </c>
      <c r="AC98" s="26">
        <f>IF(AQ98="1",BI98,0)</f>
        <v>0</v>
      </c>
      <c r="AD98" s="26">
        <f>IF(AQ98="7",BH98,0)</f>
        <v>0</v>
      </c>
      <c r="AE98" s="26">
        <f>IF(AQ98="7",BI98,0)</f>
        <v>0</v>
      </c>
      <c r="AF98" s="26">
        <f>IF(AQ98="2",BH98,0)</f>
        <v>0</v>
      </c>
      <c r="AG98" s="26">
        <f>IF(AQ98="2",BI98,0)</f>
        <v>0</v>
      </c>
      <c r="AH98" s="26">
        <f>IF(AQ98="0",BJ98,0)</f>
        <v>0</v>
      </c>
      <c r="AI98" s="11" t="s">
        <v>58</v>
      </c>
      <c r="AJ98" s="26">
        <f>IF(AN98=0,J98,0)</f>
        <v>0</v>
      </c>
      <c r="AK98" s="26">
        <f>IF(AN98=12,J98,0)</f>
        <v>0</v>
      </c>
      <c r="AL98" s="26">
        <f>IF(AN98=21,J98,0)</f>
        <v>0</v>
      </c>
      <c r="AN98" s="26">
        <v>12</v>
      </c>
      <c r="AO98" s="26">
        <f>G98*0.5977433</f>
        <v>0</v>
      </c>
      <c r="AP98" s="26">
        <f>G98*(1-0.5977433)</f>
        <v>0</v>
      </c>
      <c r="AQ98" s="29" t="s">
        <v>90</v>
      </c>
      <c r="AV98" s="26">
        <f>AW98+AX98</f>
        <v>0</v>
      </c>
      <c r="AW98" s="26">
        <f>F98*AO98</f>
        <v>0</v>
      </c>
      <c r="AX98" s="26">
        <f>F98*AP98</f>
        <v>0</v>
      </c>
      <c r="AY98" s="29" t="s">
        <v>160</v>
      </c>
      <c r="AZ98" s="29" t="s">
        <v>109</v>
      </c>
      <c r="BA98" s="11" t="s">
        <v>61</v>
      </c>
      <c r="BB98" s="30">
        <v>100002</v>
      </c>
      <c r="BC98" s="26">
        <f>AW98+AX98</f>
        <v>0</v>
      </c>
      <c r="BD98" s="26">
        <f>G98/(100-BE98)*100</f>
        <v>0</v>
      </c>
      <c r="BE98" s="26">
        <v>0</v>
      </c>
      <c r="BF98" s="26">
        <f>98</f>
        <v>98</v>
      </c>
      <c r="BH98" s="26">
        <f>F98*AO98</f>
        <v>0</v>
      </c>
      <c r="BI98" s="26">
        <f>F98*AP98</f>
        <v>0</v>
      </c>
      <c r="BJ98" s="26">
        <f>F98*G98</f>
        <v>0</v>
      </c>
      <c r="BK98" s="26"/>
      <c r="BL98" s="26">
        <v>722</v>
      </c>
      <c r="BW98" s="26">
        <v>12</v>
      </c>
      <c r="BX98" s="5" t="s">
        <v>257</v>
      </c>
    </row>
    <row r="99" spans="1:76" ht="13.5" customHeight="1" x14ac:dyDescent="0.25">
      <c r="A99" s="36"/>
      <c r="B99" s="37" t="s">
        <v>233</v>
      </c>
      <c r="C99" s="118" t="s">
        <v>269</v>
      </c>
      <c r="D99" s="119"/>
      <c r="E99" s="119"/>
      <c r="F99" s="119"/>
      <c r="G99" s="120"/>
      <c r="H99" s="119"/>
      <c r="I99" s="119"/>
      <c r="J99" s="119"/>
      <c r="K99" s="121"/>
    </row>
    <row r="100" spans="1:76" x14ac:dyDescent="0.25">
      <c r="A100" s="2" t="s">
        <v>270</v>
      </c>
      <c r="B100" s="3" t="s">
        <v>271</v>
      </c>
      <c r="C100" s="96" t="s">
        <v>272</v>
      </c>
      <c r="D100" s="91"/>
      <c r="E100" s="3" t="s">
        <v>69</v>
      </c>
      <c r="F100" s="26">
        <v>152.5</v>
      </c>
      <c r="G100" s="27">
        <v>0</v>
      </c>
      <c r="H100" s="26">
        <f t="shared" ref="H100:H130" si="48">F100*AO100</f>
        <v>0</v>
      </c>
      <c r="I100" s="26">
        <f t="shared" ref="I100:I130" si="49">F100*AP100</f>
        <v>0</v>
      </c>
      <c r="J100" s="26">
        <f t="shared" ref="J100:J130" si="50">F100*G100</f>
        <v>0</v>
      </c>
      <c r="K100" s="28" t="s">
        <v>65</v>
      </c>
      <c r="Z100" s="26">
        <f t="shared" ref="Z100:Z130" si="51">IF(AQ100="5",BJ100,0)</f>
        <v>0</v>
      </c>
      <c r="AB100" s="26">
        <f t="shared" ref="AB100:AB130" si="52">IF(AQ100="1",BH100,0)</f>
        <v>0</v>
      </c>
      <c r="AC100" s="26">
        <f t="shared" ref="AC100:AC130" si="53">IF(AQ100="1",BI100,0)</f>
        <v>0</v>
      </c>
      <c r="AD100" s="26">
        <f t="shared" ref="AD100:AD130" si="54">IF(AQ100="7",BH100,0)</f>
        <v>0</v>
      </c>
      <c r="AE100" s="26">
        <f t="shared" ref="AE100:AE130" si="55">IF(AQ100="7",BI100,0)</f>
        <v>0</v>
      </c>
      <c r="AF100" s="26">
        <f t="shared" ref="AF100:AF130" si="56">IF(AQ100="2",BH100,0)</f>
        <v>0</v>
      </c>
      <c r="AG100" s="26">
        <f t="shared" ref="AG100:AG130" si="57">IF(AQ100="2",BI100,0)</f>
        <v>0</v>
      </c>
      <c r="AH100" s="26">
        <f t="shared" ref="AH100:AH130" si="58">IF(AQ100="0",BJ100,0)</f>
        <v>0</v>
      </c>
      <c r="AI100" s="11" t="s">
        <v>58</v>
      </c>
      <c r="AJ100" s="26">
        <f t="shared" ref="AJ100:AJ130" si="59">IF(AN100=0,J100,0)</f>
        <v>0</v>
      </c>
      <c r="AK100" s="26">
        <f t="shared" ref="AK100:AK130" si="60">IF(AN100=12,J100,0)</f>
        <v>0</v>
      </c>
      <c r="AL100" s="26">
        <f t="shared" ref="AL100:AL130" si="61">IF(AN100=21,J100,0)</f>
        <v>0</v>
      </c>
      <c r="AN100" s="26">
        <v>12</v>
      </c>
      <c r="AO100" s="26">
        <f>G100*0</f>
        <v>0</v>
      </c>
      <c r="AP100" s="26">
        <f>G100*(1-0)</f>
        <v>0</v>
      </c>
      <c r="AQ100" s="29" t="s">
        <v>90</v>
      </c>
      <c r="AV100" s="26">
        <f t="shared" ref="AV100:AV130" si="62">AW100+AX100</f>
        <v>0</v>
      </c>
      <c r="AW100" s="26">
        <f t="shared" ref="AW100:AW130" si="63">F100*AO100</f>
        <v>0</v>
      </c>
      <c r="AX100" s="26">
        <f t="shared" ref="AX100:AX130" si="64">F100*AP100</f>
        <v>0</v>
      </c>
      <c r="AY100" s="29" t="s">
        <v>160</v>
      </c>
      <c r="AZ100" s="29" t="s">
        <v>109</v>
      </c>
      <c r="BA100" s="11" t="s">
        <v>61</v>
      </c>
      <c r="BB100" s="30">
        <v>100002</v>
      </c>
      <c r="BC100" s="26">
        <f t="shared" ref="BC100:BC130" si="65">AW100+AX100</f>
        <v>0</v>
      </c>
      <c r="BD100" s="26">
        <f t="shared" ref="BD100:BD130" si="66">G100/(100-BE100)*100</f>
        <v>0</v>
      </c>
      <c r="BE100" s="26">
        <v>0</v>
      </c>
      <c r="BF100" s="26">
        <f>100</f>
        <v>100</v>
      </c>
      <c r="BH100" s="26">
        <f t="shared" ref="BH100:BH130" si="67">F100*AO100</f>
        <v>0</v>
      </c>
      <c r="BI100" s="26">
        <f t="shared" ref="BI100:BI130" si="68">F100*AP100</f>
        <v>0</v>
      </c>
      <c r="BJ100" s="26">
        <f t="shared" ref="BJ100:BJ130" si="69">F100*G100</f>
        <v>0</v>
      </c>
      <c r="BK100" s="26"/>
      <c r="BL100" s="26">
        <v>722</v>
      </c>
      <c r="BW100" s="26">
        <v>12</v>
      </c>
      <c r="BX100" s="5" t="s">
        <v>272</v>
      </c>
    </row>
    <row r="101" spans="1:76" x14ac:dyDescent="0.25">
      <c r="A101" s="2" t="s">
        <v>273</v>
      </c>
      <c r="B101" s="3" t="s">
        <v>274</v>
      </c>
      <c r="C101" s="96" t="s">
        <v>275</v>
      </c>
      <c r="D101" s="91"/>
      <c r="E101" s="3" t="s">
        <v>69</v>
      </c>
      <c r="F101" s="26">
        <v>49.3</v>
      </c>
      <c r="G101" s="27">
        <v>0</v>
      </c>
      <c r="H101" s="26">
        <f t="shared" si="48"/>
        <v>0</v>
      </c>
      <c r="I101" s="26">
        <f t="shared" si="49"/>
        <v>0</v>
      </c>
      <c r="J101" s="26">
        <f t="shared" si="50"/>
        <v>0</v>
      </c>
      <c r="K101" s="28" t="s">
        <v>65</v>
      </c>
      <c r="Z101" s="26">
        <f t="shared" si="51"/>
        <v>0</v>
      </c>
      <c r="AB101" s="26">
        <f t="shared" si="52"/>
        <v>0</v>
      </c>
      <c r="AC101" s="26">
        <f t="shared" si="53"/>
        <v>0</v>
      </c>
      <c r="AD101" s="26">
        <f t="shared" si="54"/>
        <v>0</v>
      </c>
      <c r="AE101" s="26">
        <f t="shared" si="55"/>
        <v>0</v>
      </c>
      <c r="AF101" s="26">
        <f t="shared" si="56"/>
        <v>0</v>
      </c>
      <c r="AG101" s="26">
        <f t="shared" si="57"/>
        <v>0</v>
      </c>
      <c r="AH101" s="26">
        <f t="shared" si="58"/>
        <v>0</v>
      </c>
      <c r="AI101" s="11" t="s">
        <v>58</v>
      </c>
      <c r="AJ101" s="26">
        <f t="shared" si="59"/>
        <v>0</v>
      </c>
      <c r="AK101" s="26">
        <f t="shared" si="60"/>
        <v>0</v>
      </c>
      <c r="AL101" s="26">
        <f t="shared" si="61"/>
        <v>0</v>
      </c>
      <c r="AN101" s="26">
        <v>12</v>
      </c>
      <c r="AO101" s="26">
        <f>G101*1</f>
        <v>0</v>
      </c>
      <c r="AP101" s="26">
        <f>G101*(1-1)</f>
        <v>0</v>
      </c>
      <c r="AQ101" s="29" t="s">
        <v>90</v>
      </c>
      <c r="AV101" s="26">
        <f t="shared" si="62"/>
        <v>0</v>
      </c>
      <c r="AW101" s="26">
        <f t="shared" si="63"/>
        <v>0</v>
      </c>
      <c r="AX101" s="26">
        <f t="shared" si="64"/>
        <v>0</v>
      </c>
      <c r="AY101" s="29" t="s">
        <v>160</v>
      </c>
      <c r="AZ101" s="29" t="s">
        <v>109</v>
      </c>
      <c r="BA101" s="11" t="s">
        <v>61</v>
      </c>
      <c r="BC101" s="26">
        <f t="shared" si="65"/>
        <v>0</v>
      </c>
      <c r="BD101" s="26">
        <f t="shared" si="66"/>
        <v>0</v>
      </c>
      <c r="BE101" s="26">
        <v>0</v>
      </c>
      <c r="BF101" s="26">
        <f>101</f>
        <v>101</v>
      </c>
      <c r="BH101" s="26">
        <f t="shared" si="67"/>
        <v>0</v>
      </c>
      <c r="BI101" s="26">
        <f t="shared" si="68"/>
        <v>0</v>
      </c>
      <c r="BJ101" s="26">
        <f t="shared" si="69"/>
        <v>0</v>
      </c>
      <c r="BK101" s="26"/>
      <c r="BL101" s="26">
        <v>722</v>
      </c>
      <c r="BW101" s="26">
        <v>12</v>
      </c>
      <c r="BX101" s="5" t="s">
        <v>275</v>
      </c>
    </row>
    <row r="102" spans="1:76" x14ac:dyDescent="0.25">
      <c r="A102" s="2" t="s">
        <v>276</v>
      </c>
      <c r="B102" s="3" t="s">
        <v>277</v>
      </c>
      <c r="C102" s="96" t="s">
        <v>278</v>
      </c>
      <c r="D102" s="91"/>
      <c r="E102" s="3" t="s">
        <v>69</v>
      </c>
      <c r="F102" s="26">
        <v>88.8</v>
      </c>
      <c r="G102" s="27">
        <v>0</v>
      </c>
      <c r="H102" s="26">
        <f t="shared" si="48"/>
        <v>0</v>
      </c>
      <c r="I102" s="26">
        <f t="shared" si="49"/>
        <v>0</v>
      </c>
      <c r="J102" s="26">
        <f t="shared" si="50"/>
        <v>0</v>
      </c>
      <c r="K102" s="28" t="s">
        <v>65</v>
      </c>
      <c r="Z102" s="26">
        <f t="shared" si="51"/>
        <v>0</v>
      </c>
      <c r="AB102" s="26">
        <f t="shared" si="52"/>
        <v>0</v>
      </c>
      <c r="AC102" s="26">
        <f t="shared" si="53"/>
        <v>0</v>
      </c>
      <c r="AD102" s="26">
        <f t="shared" si="54"/>
        <v>0</v>
      </c>
      <c r="AE102" s="26">
        <f t="shared" si="55"/>
        <v>0</v>
      </c>
      <c r="AF102" s="26">
        <f t="shared" si="56"/>
        <v>0</v>
      </c>
      <c r="AG102" s="26">
        <f t="shared" si="57"/>
        <v>0</v>
      </c>
      <c r="AH102" s="26">
        <f t="shared" si="58"/>
        <v>0</v>
      </c>
      <c r="AI102" s="11" t="s">
        <v>58</v>
      </c>
      <c r="AJ102" s="26">
        <f t="shared" si="59"/>
        <v>0</v>
      </c>
      <c r="AK102" s="26">
        <f t="shared" si="60"/>
        <v>0</v>
      </c>
      <c r="AL102" s="26">
        <f t="shared" si="61"/>
        <v>0</v>
      </c>
      <c r="AN102" s="26">
        <v>12</v>
      </c>
      <c r="AO102" s="26">
        <f>G102*1</f>
        <v>0</v>
      </c>
      <c r="AP102" s="26">
        <f>G102*(1-1)</f>
        <v>0</v>
      </c>
      <c r="AQ102" s="29" t="s">
        <v>90</v>
      </c>
      <c r="AV102" s="26">
        <f t="shared" si="62"/>
        <v>0</v>
      </c>
      <c r="AW102" s="26">
        <f t="shared" si="63"/>
        <v>0</v>
      </c>
      <c r="AX102" s="26">
        <f t="shared" si="64"/>
        <v>0</v>
      </c>
      <c r="AY102" s="29" t="s">
        <v>160</v>
      </c>
      <c r="AZ102" s="29" t="s">
        <v>109</v>
      </c>
      <c r="BA102" s="11" t="s">
        <v>61</v>
      </c>
      <c r="BC102" s="26">
        <f t="shared" si="65"/>
        <v>0</v>
      </c>
      <c r="BD102" s="26">
        <f t="shared" si="66"/>
        <v>0</v>
      </c>
      <c r="BE102" s="26">
        <v>0</v>
      </c>
      <c r="BF102" s="26">
        <f>102</f>
        <v>102</v>
      </c>
      <c r="BH102" s="26">
        <f t="shared" si="67"/>
        <v>0</v>
      </c>
      <c r="BI102" s="26">
        <f t="shared" si="68"/>
        <v>0</v>
      </c>
      <c r="BJ102" s="26">
        <f t="shared" si="69"/>
        <v>0</v>
      </c>
      <c r="BK102" s="26"/>
      <c r="BL102" s="26">
        <v>722</v>
      </c>
      <c r="BW102" s="26">
        <v>12</v>
      </c>
      <c r="BX102" s="5" t="s">
        <v>278</v>
      </c>
    </row>
    <row r="103" spans="1:76" x14ac:dyDescent="0.25">
      <c r="A103" s="2" t="s">
        <v>279</v>
      </c>
      <c r="B103" s="3" t="s">
        <v>280</v>
      </c>
      <c r="C103" s="96" t="s">
        <v>281</v>
      </c>
      <c r="D103" s="91"/>
      <c r="E103" s="3" t="s">
        <v>69</v>
      </c>
      <c r="F103" s="26">
        <v>14.4</v>
      </c>
      <c r="G103" s="27">
        <v>0</v>
      </c>
      <c r="H103" s="26">
        <f t="shared" si="48"/>
        <v>0</v>
      </c>
      <c r="I103" s="26">
        <f t="shared" si="49"/>
        <v>0</v>
      </c>
      <c r="J103" s="26">
        <f t="shared" si="50"/>
        <v>0</v>
      </c>
      <c r="K103" s="28" t="s">
        <v>65</v>
      </c>
      <c r="Z103" s="26">
        <f t="shared" si="51"/>
        <v>0</v>
      </c>
      <c r="AB103" s="26">
        <f t="shared" si="52"/>
        <v>0</v>
      </c>
      <c r="AC103" s="26">
        <f t="shared" si="53"/>
        <v>0</v>
      </c>
      <c r="AD103" s="26">
        <f t="shared" si="54"/>
        <v>0</v>
      </c>
      <c r="AE103" s="26">
        <f t="shared" si="55"/>
        <v>0</v>
      </c>
      <c r="AF103" s="26">
        <f t="shared" si="56"/>
        <v>0</v>
      </c>
      <c r="AG103" s="26">
        <f t="shared" si="57"/>
        <v>0</v>
      </c>
      <c r="AH103" s="26">
        <f t="shared" si="58"/>
        <v>0</v>
      </c>
      <c r="AI103" s="11" t="s">
        <v>58</v>
      </c>
      <c r="AJ103" s="26">
        <f t="shared" si="59"/>
        <v>0</v>
      </c>
      <c r="AK103" s="26">
        <f t="shared" si="60"/>
        <v>0</v>
      </c>
      <c r="AL103" s="26">
        <f t="shared" si="61"/>
        <v>0</v>
      </c>
      <c r="AN103" s="26">
        <v>12</v>
      </c>
      <c r="AO103" s="26">
        <f>G103*1</f>
        <v>0</v>
      </c>
      <c r="AP103" s="26">
        <f>G103*(1-1)</f>
        <v>0</v>
      </c>
      <c r="AQ103" s="29" t="s">
        <v>90</v>
      </c>
      <c r="AV103" s="26">
        <f t="shared" si="62"/>
        <v>0</v>
      </c>
      <c r="AW103" s="26">
        <f t="shared" si="63"/>
        <v>0</v>
      </c>
      <c r="AX103" s="26">
        <f t="shared" si="64"/>
        <v>0</v>
      </c>
      <c r="AY103" s="29" t="s">
        <v>160</v>
      </c>
      <c r="AZ103" s="29" t="s">
        <v>109</v>
      </c>
      <c r="BA103" s="11" t="s">
        <v>61</v>
      </c>
      <c r="BC103" s="26">
        <f t="shared" si="65"/>
        <v>0</v>
      </c>
      <c r="BD103" s="26">
        <f t="shared" si="66"/>
        <v>0</v>
      </c>
      <c r="BE103" s="26">
        <v>0</v>
      </c>
      <c r="BF103" s="26">
        <f>103</f>
        <v>103</v>
      </c>
      <c r="BH103" s="26">
        <f t="shared" si="67"/>
        <v>0</v>
      </c>
      <c r="BI103" s="26">
        <f t="shared" si="68"/>
        <v>0</v>
      </c>
      <c r="BJ103" s="26">
        <f t="shared" si="69"/>
        <v>0</v>
      </c>
      <c r="BK103" s="26"/>
      <c r="BL103" s="26">
        <v>722</v>
      </c>
      <c r="BW103" s="26">
        <v>12</v>
      </c>
      <c r="BX103" s="5" t="s">
        <v>281</v>
      </c>
    </row>
    <row r="104" spans="1:76" x14ac:dyDescent="0.25">
      <c r="A104" s="2" t="s">
        <v>282</v>
      </c>
      <c r="B104" s="3" t="s">
        <v>283</v>
      </c>
      <c r="C104" s="96" t="s">
        <v>284</v>
      </c>
      <c r="D104" s="91"/>
      <c r="E104" s="3" t="s">
        <v>69</v>
      </c>
      <c r="F104" s="26">
        <v>57.6</v>
      </c>
      <c r="G104" s="27">
        <v>0</v>
      </c>
      <c r="H104" s="26">
        <f t="shared" si="48"/>
        <v>0</v>
      </c>
      <c r="I104" s="26">
        <f t="shared" si="49"/>
        <v>0</v>
      </c>
      <c r="J104" s="26">
        <f t="shared" si="50"/>
        <v>0</v>
      </c>
      <c r="K104" s="28" t="s">
        <v>65</v>
      </c>
      <c r="Z104" s="26">
        <f t="shared" si="51"/>
        <v>0</v>
      </c>
      <c r="AB104" s="26">
        <f t="shared" si="52"/>
        <v>0</v>
      </c>
      <c r="AC104" s="26">
        <f t="shared" si="53"/>
        <v>0</v>
      </c>
      <c r="AD104" s="26">
        <f t="shared" si="54"/>
        <v>0</v>
      </c>
      <c r="AE104" s="26">
        <f t="shared" si="55"/>
        <v>0</v>
      </c>
      <c r="AF104" s="26">
        <f t="shared" si="56"/>
        <v>0</v>
      </c>
      <c r="AG104" s="26">
        <f t="shared" si="57"/>
        <v>0</v>
      </c>
      <c r="AH104" s="26">
        <f t="shared" si="58"/>
        <v>0</v>
      </c>
      <c r="AI104" s="11" t="s">
        <v>58</v>
      </c>
      <c r="AJ104" s="26">
        <f t="shared" si="59"/>
        <v>0</v>
      </c>
      <c r="AK104" s="26">
        <f t="shared" si="60"/>
        <v>0</v>
      </c>
      <c r="AL104" s="26">
        <f t="shared" si="61"/>
        <v>0</v>
      </c>
      <c r="AN104" s="26">
        <v>12</v>
      </c>
      <c r="AO104" s="26">
        <f>G104*0</f>
        <v>0</v>
      </c>
      <c r="AP104" s="26">
        <f>G104*(1-0)</f>
        <v>0</v>
      </c>
      <c r="AQ104" s="29" t="s">
        <v>90</v>
      </c>
      <c r="AV104" s="26">
        <f t="shared" si="62"/>
        <v>0</v>
      </c>
      <c r="AW104" s="26">
        <f t="shared" si="63"/>
        <v>0</v>
      </c>
      <c r="AX104" s="26">
        <f t="shared" si="64"/>
        <v>0</v>
      </c>
      <c r="AY104" s="29" t="s">
        <v>160</v>
      </c>
      <c r="AZ104" s="29" t="s">
        <v>109</v>
      </c>
      <c r="BA104" s="11" t="s">
        <v>61</v>
      </c>
      <c r="BB104" s="30">
        <v>100002</v>
      </c>
      <c r="BC104" s="26">
        <f t="shared" si="65"/>
        <v>0</v>
      </c>
      <c r="BD104" s="26">
        <f t="shared" si="66"/>
        <v>0</v>
      </c>
      <c r="BE104" s="26">
        <v>0</v>
      </c>
      <c r="BF104" s="26">
        <f>104</f>
        <v>104</v>
      </c>
      <c r="BH104" s="26">
        <f t="shared" si="67"/>
        <v>0</v>
      </c>
      <c r="BI104" s="26">
        <f t="shared" si="68"/>
        <v>0</v>
      </c>
      <c r="BJ104" s="26">
        <f t="shared" si="69"/>
        <v>0</v>
      </c>
      <c r="BK104" s="26"/>
      <c r="BL104" s="26">
        <v>722</v>
      </c>
      <c r="BW104" s="26">
        <v>12</v>
      </c>
      <c r="BX104" s="5" t="s">
        <v>284</v>
      </c>
    </row>
    <row r="105" spans="1:76" x14ac:dyDescent="0.25">
      <c r="A105" s="2" t="s">
        <v>285</v>
      </c>
      <c r="B105" s="3" t="s">
        <v>286</v>
      </c>
      <c r="C105" s="96" t="s">
        <v>287</v>
      </c>
      <c r="D105" s="91"/>
      <c r="E105" s="3" t="s">
        <v>69</v>
      </c>
      <c r="F105" s="26">
        <v>31.68</v>
      </c>
      <c r="G105" s="27">
        <v>0</v>
      </c>
      <c r="H105" s="26">
        <f t="shared" si="48"/>
        <v>0</v>
      </c>
      <c r="I105" s="26">
        <f t="shared" si="49"/>
        <v>0</v>
      </c>
      <c r="J105" s="26">
        <f t="shared" si="50"/>
        <v>0</v>
      </c>
      <c r="K105" s="28" t="s">
        <v>65</v>
      </c>
      <c r="Z105" s="26">
        <f t="shared" si="51"/>
        <v>0</v>
      </c>
      <c r="AB105" s="26">
        <f t="shared" si="52"/>
        <v>0</v>
      </c>
      <c r="AC105" s="26">
        <f t="shared" si="53"/>
        <v>0</v>
      </c>
      <c r="AD105" s="26">
        <f t="shared" si="54"/>
        <v>0</v>
      </c>
      <c r="AE105" s="26">
        <f t="shared" si="55"/>
        <v>0</v>
      </c>
      <c r="AF105" s="26">
        <f t="shared" si="56"/>
        <v>0</v>
      </c>
      <c r="AG105" s="26">
        <f t="shared" si="57"/>
        <v>0</v>
      </c>
      <c r="AH105" s="26">
        <f t="shared" si="58"/>
        <v>0</v>
      </c>
      <c r="AI105" s="11" t="s">
        <v>58</v>
      </c>
      <c r="AJ105" s="26">
        <f t="shared" si="59"/>
        <v>0</v>
      </c>
      <c r="AK105" s="26">
        <f t="shared" si="60"/>
        <v>0</v>
      </c>
      <c r="AL105" s="26">
        <f t="shared" si="61"/>
        <v>0</v>
      </c>
      <c r="AN105" s="26">
        <v>12</v>
      </c>
      <c r="AO105" s="26">
        <f>G105*1</f>
        <v>0</v>
      </c>
      <c r="AP105" s="26">
        <f>G105*(1-1)</f>
        <v>0</v>
      </c>
      <c r="AQ105" s="29" t="s">
        <v>90</v>
      </c>
      <c r="AV105" s="26">
        <f t="shared" si="62"/>
        <v>0</v>
      </c>
      <c r="AW105" s="26">
        <f t="shared" si="63"/>
        <v>0</v>
      </c>
      <c r="AX105" s="26">
        <f t="shared" si="64"/>
        <v>0</v>
      </c>
      <c r="AY105" s="29" t="s">
        <v>160</v>
      </c>
      <c r="AZ105" s="29" t="s">
        <v>109</v>
      </c>
      <c r="BA105" s="11" t="s">
        <v>61</v>
      </c>
      <c r="BC105" s="26">
        <f t="shared" si="65"/>
        <v>0</v>
      </c>
      <c r="BD105" s="26">
        <f t="shared" si="66"/>
        <v>0</v>
      </c>
      <c r="BE105" s="26">
        <v>0</v>
      </c>
      <c r="BF105" s="26">
        <f>105</f>
        <v>105</v>
      </c>
      <c r="BH105" s="26">
        <f t="shared" si="67"/>
        <v>0</v>
      </c>
      <c r="BI105" s="26">
        <f t="shared" si="68"/>
        <v>0</v>
      </c>
      <c r="BJ105" s="26">
        <f t="shared" si="69"/>
        <v>0</v>
      </c>
      <c r="BK105" s="26"/>
      <c r="BL105" s="26">
        <v>722</v>
      </c>
      <c r="BW105" s="26">
        <v>12</v>
      </c>
      <c r="BX105" s="5" t="s">
        <v>287</v>
      </c>
    </row>
    <row r="106" spans="1:76" x14ac:dyDescent="0.25">
      <c r="A106" s="2" t="s">
        <v>288</v>
      </c>
      <c r="B106" s="3" t="s">
        <v>289</v>
      </c>
      <c r="C106" s="96" t="s">
        <v>290</v>
      </c>
      <c r="D106" s="91"/>
      <c r="E106" s="3" t="s">
        <v>69</v>
      </c>
      <c r="F106" s="26">
        <v>31.68</v>
      </c>
      <c r="G106" s="27">
        <v>0</v>
      </c>
      <c r="H106" s="26">
        <f t="shared" si="48"/>
        <v>0</v>
      </c>
      <c r="I106" s="26">
        <f t="shared" si="49"/>
        <v>0</v>
      </c>
      <c r="J106" s="26">
        <f t="shared" si="50"/>
        <v>0</v>
      </c>
      <c r="K106" s="28" t="s">
        <v>65</v>
      </c>
      <c r="Z106" s="26">
        <f t="shared" si="51"/>
        <v>0</v>
      </c>
      <c r="AB106" s="26">
        <f t="shared" si="52"/>
        <v>0</v>
      </c>
      <c r="AC106" s="26">
        <f t="shared" si="53"/>
        <v>0</v>
      </c>
      <c r="AD106" s="26">
        <f t="shared" si="54"/>
        <v>0</v>
      </c>
      <c r="AE106" s="26">
        <f t="shared" si="55"/>
        <v>0</v>
      </c>
      <c r="AF106" s="26">
        <f t="shared" si="56"/>
        <v>0</v>
      </c>
      <c r="AG106" s="26">
        <f t="shared" si="57"/>
        <v>0</v>
      </c>
      <c r="AH106" s="26">
        <f t="shared" si="58"/>
        <v>0</v>
      </c>
      <c r="AI106" s="11" t="s">
        <v>58</v>
      </c>
      <c r="AJ106" s="26">
        <f t="shared" si="59"/>
        <v>0</v>
      </c>
      <c r="AK106" s="26">
        <f t="shared" si="60"/>
        <v>0</v>
      </c>
      <c r="AL106" s="26">
        <f t="shared" si="61"/>
        <v>0</v>
      </c>
      <c r="AN106" s="26">
        <v>12</v>
      </c>
      <c r="AO106" s="26">
        <f>G106*1</f>
        <v>0</v>
      </c>
      <c r="AP106" s="26">
        <f>G106*(1-1)</f>
        <v>0</v>
      </c>
      <c r="AQ106" s="29" t="s">
        <v>90</v>
      </c>
      <c r="AV106" s="26">
        <f t="shared" si="62"/>
        <v>0</v>
      </c>
      <c r="AW106" s="26">
        <f t="shared" si="63"/>
        <v>0</v>
      </c>
      <c r="AX106" s="26">
        <f t="shared" si="64"/>
        <v>0</v>
      </c>
      <c r="AY106" s="29" t="s">
        <v>160</v>
      </c>
      <c r="AZ106" s="29" t="s">
        <v>109</v>
      </c>
      <c r="BA106" s="11" t="s">
        <v>61</v>
      </c>
      <c r="BC106" s="26">
        <f t="shared" si="65"/>
        <v>0</v>
      </c>
      <c r="BD106" s="26">
        <f t="shared" si="66"/>
        <v>0</v>
      </c>
      <c r="BE106" s="26">
        <v>0</v>
      </c>
      <c r="BF106" s="26">
        <f>106</f>
        <v>106</v>
      </c>
      <c r="BH106" s="26">
        <f t="shared" si="67"/>
        <v>0</v>
      </c>
      <c r="BI106" s="26">
        <f t="shared" si="68"/>
        <v>0</v>
      </c>
      <c r="BJ106" s="26">
        <f t="shared" si="69"/>
        <v>0</v>
      </c>
      <c r="BK106" s="26"/>
      <c r="BL106" s="26">
        <v>722</v>
      </c>
      <c r="BW106" s="26">
        <v>12</v>
      </c>
      <c r="BX106" s="5" t="s">
        <v>290</v>
      </c>
    </row>
    <row r="107" spans="1:76" x14ac:dyDescent="0.25">
      <c r="A107" s="2" t="s">
        <v>291</v>
      </c>
      <c r="B107" s="3" t="s">
        <v>292</v>
      </c>
      <c r="C107" s="96" t="s">
        <v>293</v>
      </c>
      <c r="D107" s="91"/>
      <c r="E107" s="3" t="s">
        <v>69</v>
      </c>
      <c r="F107" s="26">
        <v>153.69999999999999</v>
      </c>
      <c r="G107" s="27">
        <v>0</v>
      </c>
      <c r="H107" s="26">
        <f t="shared" si="48"/>
        <v>0</v>
      </c>
      <c r="I107" s="26">
        <f t="shared" si="49"/>
        <v>0</v>
      </c>
      <c r="J107" s="26">
        <f t="shared" si="50"/>
        <v>0</v>
      </c>
      <c r="K107" s="28" t="s">
        <v>65</v>
      </c>
      <c r="Z107" s="26">
        <f t="shared" si="51"/>
        <v>0</v>
      </c>
      <c r="AB107" s="26">
        <f t="shared" si="52"/>
        <v>0</v>
      </c>
      <c r="AC107" s="26">
        <f t="shared" si="53"/>
        <v>0</v>
      </c>
      <c r="AD107" s="26">
        <f t="shared" si="54"/>
        <v>0</v>
      </c>
      <c r="AE107" s="26">
        <f t="shared" si="55"/>
        <v>0</v>
      </c>
      <c r="AF107" s="26">
        <f t="shared" si="56"/>
        <v>0</v>
      </c>
      <c r="AG107" s="26">
        <f t="shared" si="57"/>
        <v>0</v>
      </c>
      <c r="AH107" s="26">
        <f t="shared" si="58"/>
        <v>0</v>
      </c>
      <c r="AI107" s="11" t="s">
        <v>58</v>
      </c>
      <c r="AJ107" s="26">
        <f t="shared" si="59"/>
        <v>0</v>
      </c>
      <c r="AK107" s="26">
        <f t="shared" si="60"/>
        <v>0</v>
      </c>
      <c r="AL107" s="26">
        <f t="shared" si="61"/>
        <v>0</v>
      </c>
      <c r="AN107" s="26">
        <v>12</v>
      </c>
      <c r="AO107" s="26">
        <f>G107*0</f>
        <v>0</v>
      </c>
      <c r="AP107" s="26">
        <f>G107*(1-0)</f>
        <v>0</v>
      </c>
      <c r="AQ107" s="29" t="s">
        <v>90</v>
      </c>
      <c r="AV107" s="26">
        <f t="shared" si="62"/>
        <v>0</v>
      </c>
      <c r="AW107" s="26">
        <f t="shared" si="63"/>
        <v>0</v>
      </c>
      <c r="AX107" s="26">
        <f t="shared" si="64"/>
        <v>0</v>
      </c>
      <c r="AY107" s="29" t="s">
        <v>160</v>
      </c>
      <c r="AZ107" s="29" t="s">
        <v>109</v>
      </c>
      <c r="BA107" s="11" t="s">
        <v>61</v>
      </c>
      <c r="BB107" s="30">
        <v>100002</v>
      </c>
      <c r="BC107" s="26">
        <f t="shared" si="65"/>
        <v>0</v>
      </c>
      <c r="BD107" s="26">
        <f t="shared" si="66"/>
        <v>0</v>
      </c>
      <c r="BE107" s="26">
        <v>0</v>
      </c>
      <c r="BF107" s="26">
        <f>107</f>
        <v>107</v>
      </c>
      <c r="BH107" s="26">
        <f t="shared" si="67"/>
        <v>0</v>
      </c>
      <c r="BI107" s="26">
        <f t="shared" si="68"/>
        <v>0</v>
      </c>
      <c r="BJ107" s="26">
        <f t="shared" si="69"/>
        <v>0</v>
      </c>
      <c r="BK107" s="26"/>
      <c r="BL107" s="26">
        <v>722</v>
      </c>
      <c r="BW107" s="26">
        <v>12</v>
      </c>
      <c r="BX107" s="5" t="s">
        <v>293</v>
      </c>
    </row>
    <row r="108" spans="1:76" x14ac:dyDescent="0.25">
      <c r="A108" s="2" t="s">
        <v>294</v>
      </c>
      <c r="B108" s="3" t="s">
        <v>295</v>
      </c>
      <c r="C108" s="96" t="s">
        <v>296</v>
      </c>
      <c r="D108" s="91"/>
      <c r="E108" s="3" t="s">
        <v>69</v>
      </c>
      <c r="F108" s="26">
        <v>30.2</v>
      </c>
      <c r="G108" s="27">
        <v>0</v>
      </c>
      <c r="H108" s="26">
        <f t="shared" si="48"/>
        <v>0</v>
      </c>
      <c r="I108" s="26">
        <f t="shared" si="49"/>
        <v>0</v>
      </c>
      <c r="J108" s="26">
        <f t="shared" si="50"/>
        <v>0</v>
      </c>
      <c r="K108" s="28" t="s">
        <v>65</v>
      </c>
      <c r="Z108" s="26">
        <f t="shared" si="51"/>
        <v>0</v>
      </c>
      <c r="AB108" s="26">
        <f t="shared" si="52"/>
        <v>0</v>
      </c>
      <c r="AC108" s="26">
        <f t="shared" si="53"/>
        <v>0</v>
      </c>
      <c r="AD108" s="26">
        <f t="shared" si="54"/>
        <v>0</v>
      </c>
      <c r="AE108" s="26">
        <f t="shared" si="55"/>
        <v>0</v>
      </c>
      <c r="AF108" s="26">
        <f t="shared" si="56"/>
        <v>0</v>
      </c>
      <c r="AG108" s="26">
        <f t="shared" si="57"/>
        <v>0</v>
      </c>
      <c r="AH108" s="26">
        <f t="shared" si="58"/>
        <v>0</v>
      </c>
      <c r="AI108" s="11" t="s">
        <v>58</v>
      </c>
      <c r="AJ108" s="26">
        <f t="shared" si="59"/>
        <v>0</v>
      </c>
      <c r="AK108" s="26">
        <f t="shared" si="60"/>
        <v>0</v>
      </c>
      <c r="AL108" s="26">
        <f t="shared" si="61"/>
        <v>0</v>
      </c>
      <c r="AN108" s="26">
        <v>12</v>
      </c>
      <c r="AO108" s="26">
        <f>G108*1</f>
        <v>0</v>
      </c>
      <c r="AP108" s="26">
        <f>G108*(1-1)</f>
        <v>0</v>
      </c>
      <c r="AQ108" s="29" t="s">
        <v>90</v>
      </c>
      <c r="AV108" s="26">
        <f t="shared" si="62"/>
        <v>0</v>
      </c>
      <c r="AW108" s="26">
        <f t="shared" si="63"/>
        <v>0</v>
      </c>
      <c r="AX108" s="26">
        <f t="shared" si="64"/>
        <v>0</v>
      </c>
      <c r="AY108" s="29" t="s">
        <v>160</v>
      </c>
      <c r="AZ108" s="29" t="s">
        <v>109</v>
      </c>
      <c r="BA108" s="11" t="s">
        <v>61</v>
      </c>
      <c r="BC108" s="26">
        <f t="shared" si="65"/>
        <v>0</v>
      </c>
      <c r="BD108" s="26">
        <f t="shared" si="66"/>
        <v>0</v>
      </c>
      <c r="BE108" s="26">
        <v>0</v>
      </c>
      <c r="BF108" s="26">
        <f>108</f>
        <v>108</v>
      </c>
      <c r="BH108" s="26">
        <f t="shared" si="67"/>
        <v>0</v>
      </c>
      <c r="BI108" s="26">
        <f t="shared" si="68"/>
        <v>0</v>
      </c>
      <c r="BJ108" s="26">
        <f t="shared" si="69"/>
        <v>0</v>
      </c>
      <c r="BK108" s="26"/>
      <c r="BL108" s="26">
        <v>722</v>
      </c>
      <c r="BW108" s="26">
        <v>12</v>
      </c>
      <c r="BX108" s="5" t="s">
        <v>296</v>
      </c>
    </row>
    <row r="109" spans="1:76" x14ac:dyDescent="0.25">
      <c r="A109" s="2" t="s">
        <v>297</v>
      </c>
      <c r="B109" s="3" t="s">
        <v>298</v>
      </c>
      <c r="C109" s="96" t="s">
        <v>299</v>
      </c>
      <c r="D109" s="91"/>
      <c r="E109" s="3" t="s">
        <v>69</v>
      </c>
      <c r="F109" s="26">
        <v>17.899999999999999</v>
      </c>
      <c r="G109" s="27">
        <v>0</v>
      </c>
      <c r="H109" s="26">
        <f t="shared" si="48"/>
        <v>0</v>
      </c>
      <c r="I109" s="26">
        <f t="shared" si="49"/>
        <v>0</v>
      </c>
      <c r="J109" s="26">
        <f t="shared" si="50"/>
        <v>0</v>
      </c>
      <c r="K109" s="28" t="s">
        <v>65</v>
      </c>
      <c r="Z109" s="26">
        <f t="shared" si="51"/>
        <v>0</v>
      </c>
      <c r="AB109" s="26">
        <f t="shared" si="52"/>
        <v>0</v>
      </c>
      <c r="AC109" s="26">
        <f t="shared" si="53"/>
        <v>0</v>
      </c>
      <c r="AD109" s="26">
        <f t="shared" si="54"/>
        <v>0</v>
      </c>
      <c r="AE109" s="26">
        <f t="shared" si="55"/>
        <v>0</v>
      </c>
      <c r="AF109" s="26">
        <f t="shared" si="56"/>
        <v>0</v>
      </c>
      <c r="AG109" s="26">
        <f t="shared" si="57"/>
        <v>0</v>
      </c>
      <c r="AH109" s="26">
        <f t="shared" si="58"/>
        <v>0</v>
      </c>
      <c r="AI109" s="11" t="s">
        <v>58</v>
      </c>
      <c r="AJ109" s="26">
        <f t="shared" si="59"/>
        <v>0</v>
      </c>
      <c r="AK109" s="26">
        <f t="shared" si="60"/>
        <v>0</v>
      </c>
      <c r="AL109" s="26">
        <f t="shared" si="61"/>
        <v>0</v>
      </c>
      <c r="AN109" s="26">
        <v>12</v>
      </c>
      <c r="AO109" s="26">
        <f>G109*1</f>
        <v>0</v>
      </c>
      <c r="AP109" s="26">
        <f>G109*(1-1)</f>
        <v>0</v>
      </c>
      <c r="AQ109" s="29" t="s">
        <v>90</v>
      </c>
      <c r="AV109" s="26">
        <f t="shared" si="62"/>
        <v>0</v>
      </c>
      <c r="AW109" s="26">
        <f t="shared" si="63"/>
        <v>0</v>
      </c>
      <c r="AX109" s="26">
        <f t="shared" si="64"/>
        <v>0</v>
      </c>
      <c r="AY109" s="29" t="s">
        <v>160</v>
      </c>
      <c r="AZ109" s="29" t="s">
        <v>109</v>
      </c>
      <c r="BA109" s="11" t="s">
        <v>61</v>
      </c>
      <c r="BC109" s="26">
        <f t="shared" si="65"/>
        <v>0</v>
      </c>
      <c r="BD109" s="26">
        <f t="shared" si="66"/>
        <v>0</v>
      </c>
      <c r="BE109" s="26">
        <v>0</v>
      </c>
      <c r="BF109" s="26">
        <f>109</f>
        <v>109</v>
      </c>
      <c r="BH109" s="26">
        <f t="shared" si="67"/>
        <v>0</v>
      </c>
      <c r="BI109" s="26">
        <f t="shared" si="68"/>
        <v>0</v>
      </c>
      <c r="BJ109" s="26">
        <f t="shared" si="69"/>
        <v>0</v>
      </c>
      <c r="BK109" s="26"/>
      <c r="BL109" s="26">
        <v>722</v>
      </c>
      <c r="BW109" s="26">
        <v>12</v>
      </c>
      <c r="BX109" s="5" t="s">
        <v>299</v>
      </c>
    </row>
    <row r="110" spans="1:76" x14ac:dyDescent="0.25">
      <c r="A110" s="2" t="s">
        <v>300</v>
      </c>
      <c r="B110" s="3" t="s">
        <v>301</v>
      </c>
      <c r="C110" s="96" t="s">
        <v>302</v>
      </c>
      <c r="D110" s="91"/>
      <c r="E110" s="3" t="s">
        <v>69</v>
      </c>
      <c r="F110" s="26">
        <v>116.16</v>
      </c>
      <c r="G110" s="27">
        <v>0</v>
      </c>
      <c r="H110" s="26">
        <f t="shared" si="48"/>
        <v>0</v>
      </c>
      <c r="I110" s="26">
        <f t="shared" si="49"/>
        <v>0</v>
      </c>
      <c r="J110" s="26">
        <f t="shared" si="50"/>
        <v>0</v>
      </c>
      <c r="K110" s="28" t="s">
        <v>65</v>
      </c>
      <c r="Z110" s="26">
        <f t="shared" si="51"/>
        <v>0</v>
      </c>
      <c r="AB110" s="26">
        <f t="shared" si="52"/>
        <v>0</v>
      </c>
      <c r="AC110" s="26">
        <f t="shared" si="53"/>
        <v>0</v>
      </c>
      <c r="AD110" s="26">
        <f t="shared" si="54"/>
        <v>0</v>
      </c>
      <c r="AE110" s="26">
        <f t="shared" si="55"/>
        <v>0</v>
      </c>
      <c r="AF110" s="26">
        <f t="shared" si="56"/>
        <v>0</v>
      </c>
      <c r="AG110" s="26">
        <f t="shared" si="57"/>
        <v>0</v>
      </c>
      <c r="AH110" s="26">
        <f t="shared" si="58"/>
        <v>0</v>
      </c>
      <c r="AI110" s="11" t="s">
        <v>58</v>
      </c>
      <c r="AJ110" s="26">
        <f t="shared" si="59"/>
        <v>0</v>
      </c>
      <c r="AK110" s="26">
        <f t="shared" si="60"/>
        <v>0</v>
      </c>
      <c r="AL110" s="26">
        <f t="shared" si="61"/>
        <v>0</v>
      </c>
      <c r="AN110" s="26">
        <v>12</v>
      </c>
      <c r="AO110" s="26">
        <f>G110*1</f>
        <v>0</v>
      </c>
      <c r="AP110" s="26">
        <f>G110*(1-1)</f>
        <v>0</v>
      </c>
      <c r="AQ110" s="29" t="s">
        <v>90</v>
      </c>
      <c r="AV110" s="26">
        <f t="shared" si="62"/>
        <v>0</v>
      </c>
      <c r="AW110" s="26">
        <f t="shared" si="63"/>
        <v>0</v>
      </c>
      <c r="AX110" s="26">
        <f t="shared" si="64"/>
        <v>0</v>
      </c>
      <c r="AY110" s="29" t="s">
        <v>160</v>
      </c>
      <c r="AZ110" s="29" t="s">
        <v>109</v>
      </c>
      <c r="BA110" s="11" t="s">
        <v>61</v>
      </c>
      <c r="BC110" s="26">
        <f t="shared" si="65"/>
        <v>0</v>
      </c>
      <c r="BD110" s="26">
        <f t="shared" si="66"/>
        <v>0</v>
      </c>
      <c r="BE110" s="26">
        <v>0</v>
      </c>
      <c r="BF110" s="26">
        <f>110</f>
        <v>110</v>
      </c>
      <c r="BH110" s="26">
        <f t="shared" si="67"/>
        <v>0</v>
      </c>
      <c r="BI110" s="26">
        <f t="shared" si="68"/>
        <v>0</v>
      </c>
      <c r="BJ110" s="26">
        <f t="shared" si="69"/>
        <v>0</v>
      </c>
      <c r="BK110" s="26"/>
      <c r="BL110" s="26">
        <v>722</v>
      </c>
      <c r="BW110" s="26">
        <v>12</v>
      </c>
      <c r="BX110" s="5" t="s">
        <v>302</v>
      </c>
    </row>
    <row r="111" spans="1:76" x14ac:dyDescent="0.25">
      <c r="A111" s="2" t="s">
        <v>303</v>
      </c>
      <c r="B111" s="3" t="s">
        <v>304</v>
      </c>
      <c r="C111" s="96" t="s">
        <v>305</v>
      </c>
      <c r="D111" s="91"/>
      <c r="E111" s="3" t="s">
        <v>93</v>
      </c>
      <c r="F111" s="26">
        <v>35</v>
      </c>
      <c r="G111" s="27">
        <v>0</v>
      </c>
      <c r="H111" s="26">
        <f t="shared" si="48"/>
        <v>0</v>
      </c>
      <c r="I111" s="26">
        <f t="shared" si="49"/>
        <v>0</v>
      </c>
      <c r="J111" s="26">
        <f t="shared" si="50"/>
        <v>0</v>
      </c>
      <c r="K111" s="28" t="s">
        <v>65</v>
      </c>
      <c r="Z111" s="26">
        <f t="shared" si="51"/>
        <v>0</v>
      </c>
      <c r="AB111" s="26">
        <f t="shared" si="52"/>
        <v>0</v>
      </c>
      <c r="AC111" s="26">
        <f t="shared" si="53"/>
        <v>0</v>
      </c>
      <c r="AD111" s="26">
        <f t="shared" si="54"/>
        <v>0</v>
      </c>
      <c r="AE111" s="26">
        <f t="shared" si="55"/>
        <v>0</v>
      </c>
      <c r="AF111" s="26">
        <f t="shared" si="56"/>
        <v>0</v>
      </c>
      <c r="AG111" s="26">
        <f t="shared" si="57"/>
        <v>0</v>
      </c>
      <c r="AH111" s="26">
        <f t="shared" si="58"/>
        <v>0</v>
      </c>
      <c r="AI111" s="11" t="s">
        <v>58</v>
      </c>
      <c r="AJ111" s="26">
        <f t="shared" si="59"/>
        <v>0</v>
      </c>
      <c r="AK111" s="26">
        <f t="shared" si="60"/>
        <v>0</v>
      </c>
      <c r="AL111" s="26">
        <f t="shared" si="61"/>
        <v>0</v>
      </c>
      <c r="AN111" s="26">
        <v>12</v>
      </c>
      <c r="AO111" s="26">
        <f t="shared" ref="AO111:AO116" si="70">G111*0</f>
        <v>0</v>
      </c>
      <c r="AP111" s="26">
        <f t="shared" ref="AP111:AP116" si="71">G111*(1-0)</f>
        <v>0</v>
      </c>
      <c r="AQ111" s="29" t="s">
        <v>90</v>
      </c>
      <c r="AV111" s="26">
        <f t="shared" si="62"/>
        <v>0</v>
      </c>
      <c r="AW111" s="26">
        <f t="shared" si="63"/>
        <v>0</v>
      </c>
      <c r="AX111" s="26">
        <f t="shared" si="64"/>
        <v>0</v>
      </c>
      <c r="AY111" s="29" t="s">
        <v>160</v>
      </c>
      <c r="AZ111" s="29" t="s">
        <v>109</v>
      </c>
      <c r="BA111" s="11" t="s">
        <v>61</v>
      </c>
      <c r="BB111" s="30">
        <v>100002</v>
      </c>
      <c r="BC111" s="26">
        <f t="shared" si="65"/>
        <v>0</v>
      </c>
      <c r="BD111" s="26">
        <f t="shared" si="66"/>
        <v>0</v>
      </c>
      <c r="BE111" s="26">
        <v>0</v>
      </c>
      <c r="BF111" s="26">
        <f>111</f>
        <v>111</v>
      </c>
      <c r="BH111" s="26">
        <f t="shared" si="67"/>
        <v>0</v>
      </c>
      <c r="BI111" s="26">
        <f t="shared" si="68"/>
        <v>0</v>
      </c>
      <c r="BJ111" s="26">
        <f t="shared" si="69"/>
        <v>0</v>
      </c>
      <c r="BK111" s="26"/>
      <c r="BL111" s="26">
        <v>722</v>
      </c>
      <c r="BW111" s="26">
        <v>12</v>
      </c>
      <c r="BX111" s="5" t="s">
        <v>305</v>
      </c>
    </row>
    <row r="112" spans="1:76" x14ac:dyDescent="0.25">
      <c r="A112" s="2" t="s">
        <v>306</v>
      </c>
      <c r="B112" s="3" t="s">
        <v>307</v>
      </c>
      <c r="C112" s="96" t="s">
        <v>308</v>
      </c>
      <c r="D112" s="91"/>
      <c r="E112" s="3" t="s">
        <v>93</v>
      </c>
      <c r="F112" s="26">
        <v>72</v>
      </c>
      <c r="G112" s="27">
        <v>0</v>
      </c>
      <c r="H112" s="26">
        <f t="shared" si="48"/>
        <v>0</v>
      </c>
      <c r="I112" s="26">
        <f t="shared" si="49"/>
        <v>0</v>
      </c>
      <c r="J112" s="26">
        <f t="shared" si="50"/>
        <v>0</v>
      </c>
      <c r="K112" s="28" t="s">
        <v>65</v>
      </c>
      <c r="Z112" s="26">
        <f t="shared" si="51"/>
        <v>0</v>
      </c>
      <c r="AB112" s="26">
        <f t="shared" si="52"/>
        <v>0</v>
      </c>
      <c r="AC112" s="26">
        <f t="shared" si="53"/>
        <v>0</v>
      </c>
      <c r="AD112" s="26">
        <f t="shared" si="54"/>
        <v>0</v>
      </c>
      <c r="AE112" s="26">
        <f t="shared" si="55"/>
        <v>0</v>
      </c>
      <c r="AF112" s="26">
        <f t="shared" si="56"/>
        <v>0</v>
      </c>
      <c r="AG112" s="26">
        <f t="shared" si="57"/>
        <v>0</v>
      </c>
      <c r="AH112" s="26">
        <f t="shared" si="58"/>
        <v>0</v>
      </c>
      <c r="AI112" s="11" t="s">
        <v>58</v>
      </c>
      <c r="AJ112" s="26">
        <f t="shared" si="59"/>
        <v>0</v>
      </c>
      <c r="AK112" s="26">
        <f t="shared" si="60"/>
        <v>0</v>
      </c>
      <c r="AL112" s="26">
        <f t="shared" si="61"/>
        <v>0</v>
      </c>
      <c r="AN112" s="26">
        <v>12</v>
      </c>
      <c r="AO112" s="26">
        <f t="shared" si="70"/>
        <v>0</v>
      </c>
      <c r="AP112" s="26">
        <f t="shared" si="71"/>
        <v>0</v>
      </c>
      <c r="AQ112" s="29" t="s">
        <v>90</v>
      </c>
      <c r="AV112" s="26">
        <f t="shared" si="62"/>
        <v>0</v>
      </c>
      <c r="AW112" s="26">
        <f t="shared" si="63"/>
        <v>0</v>
      </c>
      <c r="AX112" s="26">
        <f t="shared" si="64"/>
        <v>0</v>
      </c>
      <c r="AY112" s="29" t="s">
        <v>160</v>
      </c>
      <c r="AZ112" s="29" t="s">
        <v>109</v>
      </c>
      <c r="BA112" s="11" t="s">
        <v>61</v>
      </c>
      <c r="BB112" s="30">
        <v>100002</v>
      </c>
      <c r="BC112" s="26">
        <f t="shared" si="65"/>
        <v>0</v>
      </c>
      <c r="BD112" s="26">
        <f t="shared" si="66"/>
        <v>0</v>
      </c>
      <c r="BE112" s="26">
        <v>0</v>
      </c>
      <c r="BF112" s="26">
        <f>112</f>
        <v>112</v>
      </c>
      <c r="BH112" s="26">
        <f t="shared" si="67"/>
        <v>0</v>
      </c>
      <c r="BI112" s="26">
        <f t="shared" si="68"/>
        <v>0</v>
      </c>
      <c r="BJ112" s="26">
        <f t="shared" si="69"/>
        <v>0</v>
      </c>
      <c r="BK112" s="26"/>
      <c r="BL112" s="26">
        <v>722</v>
      </c>
      <c r="BW112" s="26">
        <v>12</v>
      </c>
      <c r="BX112" s="5" t="s">
        <v>308</v>
      </c>
    </row>
    <row r="113" spans="1:76" x14ac:dyDescent="0.25">
      <c r="A113" s="2" t="s">
        <v>309</v>
      </c>
      <c r="B113" s="3" t="s">
        <v>310</v>
      </c>
      <c r="C113" s="96" t="s">
        <v>311</v>
      </c>
      <c r="D113" s="91"/>
      <c r="E113" s="3" t="s">
        <v>93</v>
      </c>
      <c r="F113" s="26">
        <v>35</v>
      </c>
      <c r="G113" s="27">
        <v>0</v>
      </c>
      <c r="H113" s="26">
        <f t="shared" si="48"/>
        <v>0</v>
      </c>
      <c r="I113" s="26">
        <f t="shared" si="49"/>
        <v>0</v>
      </c>
      <c r="J113" s="26">
        <f t="shared" si="50"/>
        <v>0</v>
      </c>
      <c r="K113" s="28" t="s">
        <v>65</v>
      </c>
      <c r="Z113" s="26">
        <f t="shared" si="51"/>
        <v>0</v>
      </c>
      <c r="AB113" s="26">
        <f t="shared" si="52"/>
        <v>0</v>
      </c>
      <c r="AC113" s="26">
        <f t="shared" si="53"/>
        <v>0</v>
      </c>
      <c r="AD113" s="26">
        <f t="shared" si="54"/>
        <v>0</v>
      </c>
      <c r="AE113" s="26">
        <f t="shared" si="55"/>
        <v>0</v>
      </c>
      <c r="AF113" s="26">
        <f t="shared" si="56"/>
        <v>0</v>
      </c>
      <c r="AG113" s="26">
        <f t="shared" si="57"/>
        <v>0</v>
      </c>
      <c r="AH113" s="26">
        <f t="shared" si="58"/>
        <v>0</v>
      </c>
      <c r="AI113" s="11" t="s">
        <v>58</v>
      </c>
      <c r="AJ113" s="26">
        <f t="shared" si="59"/>
        <v>0</v>
      </c>
      <c r="AK113" s="26">
        <f t="shared" si="60"/>
        <v>0</v>
      </c>
      <c r="AL113" s="26">
        <f t="shared" si="61"/>
        <v>0</v>
      </c>
      <c r="AN113" s="26">
        <v>12</v>
      </c>
      <c r="AO113" s="26">
        <f t="shared" si="70"/>
        <v>0</v>
      </c>
      <c r="AP113" s="26">
        <f t="shared" si="71"/>
        <v>0</v>
      </c>
      <c r="AQ113" s="29" t="s">
        <v>90</v>
      </c>
      <c r="AV113" s="26">
        <f t="shared" si="62"/>
        <v>0</v>
      </c>
      <c r="AW113" s="26">
        <f t="shared" si="63"/>
        <v>0</v>
      </c>
      <c r="AX113" s="26">
        <f t="shared" si="64"/>
        <v>0</v>
      </c>
      <c r="AY113" s="29" t="s">
        <v>160</v>
      </c>
      <c r="AZ113" s="29" t="s">
        <v>109</v>
      </c>
      <c r="BA113" s="11" t="s">
        <v>61</v>
      </c>
      <c r="BB113" s="30">
        <v>100002</v>
      </c>
      <c r="BC113" s="26">
        <f t="shared" si="65"/>
        <v>0</v>
      </c>
      <c r="BD113" s="26">
        <f t="shared" si="66"/>
        <v>0</v>
      </c>
      <c r="BE113" s="26">
        <v>0</v>
      </c>
      <c r="BF113" s="26">
        <f>113</f>
        <v>113</v>
      </c>
      <c r="BH113" s="26">
        <f t="shared" si="67"/>
        <v>0</v>
      </c>
      <c r="BI113" s="26">
        <f t="shared" si="68"/>
        <v>0</v>
      </c>
      <c r="BJ113" s="26">
        <f t="shared" si="69"/>
        <v>0</v>
      </c>
      <c r="BK113" s="26"/>
      <c r="BL113" s="26">
        <v>722</v>
      </c>
      <c r="BW113" s="26">
        <v>12</v>
      </c>
      <c r="BX113" s="5" t="s">
        <v>311</v>
      </c>
    </row>
    <row r="114" spans="1:76" x14ac:dyDescent="0.25">
      <c r="A114" s="2" t="s">
        <v>312</v>
      </c>
      <c r="B114" s="3" t="s">
        <v>313</v>
      </c>
      <c r="C114" s="96" t="s">
        <v>314</v>
      </c>
      <c r="D114" s="91"/>
      <c r="E114" s="3" t="s">
        <v>93</v>
      </c>
      <c r="F114" s="26">
        <v>72</v>
      </c>
      <c r="G114" s="27">
        <v>0</v>
      </c>
      <c r="H114" s="26">
        <f t="shared" si="48"/>
        <v>0</v>
      </c>
      <c r="I114" s="26">
        <f t="shared" si="49"/>
        <v>0</v>
      </c>
      <c r="J114" s="26">
        <f t="shared" si="50"/>
        <v>0</v>
      </c>
      <c r="K114" s="28" t="s">
        <v>65</v>
      </c>
      <c r="Z114" s="26">
        <f t="shared" si="51"/>
        <v>0</v>
      </c>
      <c r="AB114" s="26">
        <f t="shared" si="52"/>
        <v>0</v>
      </c>
      <c r="AC114" s="26">
        <f t="shared" si="53"/>
        <v>0</v>
      </c>
      <c r="AD114" s="26">
        <f t="shared" si="54"/>
        <v>0</v>
      </c>
      <c r="AE114" s="26">
        <f t="shared" si="55"/>
        <v>0</v>
      </c>
      <c r="AF114" s="26">
        <f t="shared" si="56"/>
        <v>0</v>
      </c>
      <c r="AG114" s="26">
        <f t="shared" si="57"/>
        <v>0</v>
      </c>
      <c r="AH114" s="26">
        <f t="shared" si="58"/>
        <v>0</v>
      </c>
      <c r="AI114" s="11" t="s">
        <v>58</v>
      </c>
      <c r="AJ114" s="26">
        <f t="shared" si="59"/>
        <v>0</v>
      </c>
      <c r="AK114" s="26">
        <f t="shared" si="60"/>
        <v>0</v>
      </c>
      <c r="AL114" s="26">
        <f t="shared" si="61"/>
        <v>0</v>
      </c>
      <c r="AN114" s="26">
        <v>12</v>
      </c>
      <c r="AO114" s="26">
        <f t="shared" si="70"/>
        <v>0</v>
      </c>
      <c r="AP114" s="26">
        <f t="shared" si="71"/>
        <v>0</v>
      </c>
      <c r="AQ114" s="29" t="s">
        <v>90</v>
      </c>
      <c r="AV114" s="26">
        <f t="shared" si="62"/>
        <v>0</v>
      </c>
      <c r="AW114" s="26">
        <f t="shared" si="63"/>
        <v>0</v>
      </c>
      <c r="AX114" s="26">
        <f t="shared" si="64"/>
        <v>0</v>
      </c>
      <c r="AY114" s="29" t="s">
        <v>160</v>
      </c>
      <c r="AZ114" s="29" t="s">
        <v>109</v>
      </c>
      <c r="BA114" s="11" t="s">
        <v>61</v>
      </c>
      <c r="BB114" s="30">
        <v>100002</v>
      </c>
      <c r="BC114" s="26">
        <f t="shared" si="65"/>
        <v>0</v>
      </c>
      <c r="BD114" s="26">
        <f t="shared" si="66"/>
        <v>0</v>
      </c>
      <c r="BE114" s="26">
        <v>0</v>
      </c>
      <c r="BF114" s="26">
        <f>114</f>
        <v>114</v>
      </c>
      <c r="BH114" s="26">
        <f t="shared" si="67"/>
        <v>0</v>
      </c>
      <c r="BI114" s="26">
        <f t="shared" si="68"/>
        <v>0</v>
      </c>
      <c r="BJ114" s="26">
        <f t="shared" si="69"/>
        <v>0</v>
      </c>
      <c r="BK114" s="26"/>
      <c r="BL114" s="26">
        <v>722</v>
      </c>
      <c r="BW114" s="26">
        <v>12</v>
      </c>
      <c r="BX114" s="5" t="s">
        <v>314</v>
      </c>
    </row>
    <row r="115" spans="1:76" x14ac:dyDescent="0.25">
      <c r="A115" s="2" t="s">
        <v>315</v>
      </c>
      <c r="B115" s="3" t="s">
        <v>316</v>
      </c>
      <c r="C115" s="96" t="s">
        <v>317</v>
      </c>
      <c r="D115" s="91"/>
      <c r="E115" s="3" t="s">
        <v>93</v>
      </c>
      <c r="F115" s="26">
        <v>624</v>
      </c>
      <c r="G115" s="27">
        <v>0</v>
      </c>
      <c r="H115" s="26">
        <f t="shared" si="48"/>
        <v>0</v>
      </c>
      <c r="I115" s="26">
        <f t="shared" si="49"/>
        <v>0</v>
      </c>
      <c r="J115" s="26">
        <f t="shared" si="50"/>
        <v>0</v>
      </c>
      <c r="K115" s="28" t="s">
        <v>65</v>
      </c>
      <c r="Z115" s="26">
        <f t="shared" si="51"/>
        <v>0</v>
      </c>
      <c r="AB115" s="26">
        <f t="shared" si="52"/>
        <v>0</v>
      </c>
      <c r="AC115" s="26">
        <f t="shared" si="53"/>
        <v>0</v>
      </c>
      <c r="AD115" s="26">
        <f t="shared" si="54"/>
        <v>0</v>
      </c>
      <c r="AE115" s="26">
        <f t="shared" si="55"/>
        <v>0</v>
      </c>
      <c r="AF115" s="26">
        <f t="shared" si="56"/>
        <v>0</v>
      </c>
      <c r="AG115" s="26">
        <f t="shared" si="57"/>
        <v>0</v>
      </c>
      <c r="AH115" s="26">
        <f t="shared" si="58"/>
        <v>0</v>
      </c>
      <c r="AI115" s="11" t="s">
        <v>58</v>
      </c>
      <c r="AJ115" s="26">
        <f t="shared" si="59"/>
        <v>0</v>
      </c>
      <c r="AK115" s="26">
        <f t="shared" si="60"/>
        <v>0</v>
      </c>
      <c r="AL115" s="26">
        <f t="shared" si="61"/>
        <v>0</v>
      </c>
      <c r="AN115" s="26">
        <v>12</v>
      </c>
      <c r="AO115" s="26">
        <f t="shared" si="70"/>
        <v>0</v>
      </c>
      <c r="AP115" s="26">
        <f t="shared" si="71"/>
        <v>0</v>
      </c>
      <c r="AQ115" s="29" t="s">
        <v>90</v>
      </c>
      <c r="AV115" s="26">
        <f t="shared" si="62"/>
        <v>0</v>
      </c>
      <c r="AW115" s="26">
        <f t="shared" si="63"/>
        <v>0</v>
      </c>
      <c r="AX115" s="26">
        <f t="shared" si="64"/>
        <v>0</v>
      </c>
      <c r="AY115" s="29" t="s">
        <v>160</v>
      </c>
      <c r="AZ115" s="29" t="s">
        <v>109</v>
      </c>
      <c r="BA115" s="11" t="s">
        <v>61</v>
      </c>
      <c r="BB115" s="30">
        <v>100002</v>
      </c>
      <c r="BC115" s="26">
        <f t="shared" si="65"/>
        <v>0</v>
      </c>
      <c r="BD115" s="26">
        <f t="shared" si="66"/>
        <v>0</v>
      </c>
      <c r="BE115" s="26">
        <v>0</v>
      </c>
      <c r="BF115" s="26">
        <f>115</f>
        <v>115</v>
      </c>
      <c r="BH115" s="26">
        <f t="shared" si="67"/>
        <v>0</v>
      </c>
      <c r="BI115" s="26">
        <f t="shared" si="68"/>
        <v>0</v>
      </c>
      <c r="BJ115" s="26">
        <f t="shared" si="69"/>
        <v>0</v>
      </c>
      <c r="BK115" s="26"/>
      <c r="BL115" s="26">
        <v>722</v>
      </c>
      <c r="BW115" s="26">
        <v>12</v>
      </c>
      <c r="BX115" s="5" t="s">
        <v>317</v>
      </c>
    </row>
    <row r="116" spans="1:76" x14ac:dyDescent="0.25">
      <c r="A116" s="2" t="s">
        <v>318</v>
      </c>
      <c r="B116" s="3" t="s">
        <v>319</v>
      </c>
      <c r="C116" s="96" t="s">
        <v>320</v>
      </c>
      <c r="D116" s="91"/>
      <c r="E116" s="3" t="s">
        <v>93</v>
      </c>
      <c r="F116" s="26">
        <v>165</v>
      </c>
      <c r="G116" s="27">
        <v>0</v>
      </c>
      <c r="H116" s="26">
        <f t="shared" si="48"/>
        <v>0</v>
      </c>
      <c r="I116" s="26">
        <f t="shared" si="49"/>
        <v>0</v>
      </c>
      <c r="J116" s="26">
        <f t="shared" si="50"/>
        <v>0</v>
      </c>
      <c r="K116" s="28" t="s">
        <v>65</v>
      </c>
      <c r="Z116" s="26">
        <f t="shared" si="51"/>
        <v>0</v>
      </c>
      <c r="AB116" s="26">
        <f t="shared" si="52"/>
        <v>0</v>
      </c>
      <c r="AC116" s="26">
        <f t="shared" si="53"/>
        <v>0</v>
      </c>
      <c r="AD116" s="26">
        <f t="shared" si="54"/>
        <v>0</v>
      </c>
      <c r="AE116" s="26">
        <f t="shared" si="55"/>
        <v>0</v>
      </c>
      <c r="AF116" s="26">
        <f t="shared" si="56"/>
        <v>0</v>
      </c>
      <c r="AG116" s="26">
        <f t="shared" si="57"/>
        <v>0</v>
      </c>
      <c r="AH116" s="26">
        <f t="shared" si="58"/>
        <v>0</v>
      </c>
      <c r="AI116" s="11" t="s">
        <v>58</v>
      </c>
      <c r="AJ116" s="26">
        <f t="shared" si="59"/>
        <v>0</v>
      </c>
      <c r="AK116" s="26">
        <f t="shared" si="60"/>
        <v>0</v>
      </c>
      <c r="AL116" s="26">
        <f t="shared" si="61"/>
        <v>0</v>
      </c>
      <c r="AN116" s="26">
        <v>12</v>
      </c>
      <c r="AO116" s="26">
        <f t="shared" si="70"/>
        <v>0</v>
      </c>
      <c r="AP116" s="26">
        <f t="shared" si="71"/>
        <v>0</v>
      </c>
      <c r="AQ116" s="29" t="s">
        <v>90</v>
      </c>
      <c r="AV116" s="26">
        <f t="shared" si="62"/>
        <v>0</v>
      </c>
      <c r="AW116" s="26">
        <f t="shared" si="63"/>
        <v>0</v>
      </c>
      <c r="AX116" s="26">
        <f t="shared" si="64"/>
        <v>0</v>
      </c>
      <c r="AY116" s="29" t="s">
        <v>160</v>
      </c>
      <c r="AZ116" s="29" t="s">
        <v>109</v>
      </c>
      <c r="BA116" s="11" t="s">
        <v>61</v>
      </c>
      <c r="BB116" s="30">
        <v>100002</v>
      </c>
      <c r="BC116" s="26">
        <f t="shared" si="65"/>
        <v>0</v>
      </c>
      <c r="BD116" s="26">
        <f t="shared" si="66"/>
        <v>0</v>
      </c>
      <c r="BE116" s="26">
        <v>0</v>
      </c>
      <c r="BF116" s="26">
        <f>116</f>
        <v>116</v>
      </c>
      <c r="BH116" s="26">
        <f t="shared" si="67"/>
        <v>0</v>
      </c>
      <c r="BI116" s="26">
        <f t="shared" si="68"/>
        <v>0</v>
      </c>
      <c r="BJ116" s="26">
        <f t="shared" si="69"/>
        <v>0</v>
      </c>
      <c r="BK116" s="26"/>
      <c r="BL116" s="26">
        <v>722</v>
      </c>
      <c r="BW116" s="26">
        <v>12</v>
      </c>
      <c r="BX116" s="5" t="s">
        <v>320</v>
      </c>
    </row>
    <row r="117" spans="1:76" x14ac:dyDescent="0.25">
      <c r="A117" s="2" t="s">
        <v>321</v>
      </c>
      <c r="B117" s="3" t="s">
        <v>322</v>
      </c>
      <c r="C117" s="96" t="s">
        <v>323</v>
      </c>
      <c r="D117" s="91"/>
      <c r="E117" s="3" t="s">
        <v>324</v>
      </c>
      <c r="F117" s="26">
        <v>288</v>
      </c>
      <c r="G117" s="27">
        <v>0</v>
      </c>
      <c r="H117" s="26">
        <f t="shared" si="48"/>
        <v>0</v>
      </c>
      <c r="I117" s="26">
        <f t="shared" si="49"/>
        <v>0</v>
      </c>
      <c r="J117" s="26">
        <f t="shared" si="50"/>
        <v>0</v>
      </c>
      <c r="K117" s="28" t="s">
        <v>65</v>
      </c>
      <c r="Z117" s="26">
        <f t="shared" si="51"/>
        <v>0</v>
      </c>
      <c r="AB117" s="26">
        <f t="shared" si="52"/>
        <v>0</v>
      </c>
      <c r="AC117" s="26">
        <f t="shared" si="53"/>
        <v>0</v>
      </c>
      <c r="AD117" s="26">
        <f t="shared" si="54"/>
        <v>0</v>
      </c>
      <c r="AE117" s="26">
        <f t="shared" si="55"/>
        <v>0</v>
      </c>
      <c r="AF117" s="26">
        <f t="shared" si="56"/>
        <v>0</v>
      </c>
      <c r="AG117" s="26">
        <f t="shared" si="57"/>
        <v>0</v>
      </c>
      <c r="AH117" s="26">
        <f t="shared" si="58"/>
        <v>0</v>
      </c>
      <c r="AI117" s="11" t="s">
        <v>58</v>
      </c>
      <c r="AJ117" s="26">
        <f t="shared" si="59"/>
        <v>0</v>
      </c>
      <c r="AK117" s="26">
        <f t="shared" si="60"/>
        <v>0</v>
      </c>
      <c r="AL117" s="26">
        <f t="shared" si="61"/>
        <v>0</v>
      </c>
      <c r="AN117" s="26">
        <v>12</v>
      </c>
      <c r="AO117" s="26">
        <f>G117*0.665363409</f>
        <v>0</v>
      </c>
      <c r="AP117" s="26">
        <f>G117*(1-0.665363409)</f>
        <v>0</v>
      </c>
      <c r="AQ117" s="29" t="s">
        <v>90</v>
      </c>
      <c r="AV117" s="26">
        <f t="shared" si="62"/>
        <v>0</v>
      </c>
      <c r="AW117" s="26">
        <f t="shared" si="63"/>
        <v>0</v>
      </c>
      <c r="AX117" s="26">
        <f t="shared" si="64"/>
        <v>0</v>
      </c>
      <c r="AY117" s="29" t="s">
        <v>160</v>
      </c>
      <c r="AZ117" s="29" t="s">
        <v>109</v>
      </c>
      <c r="BA117" s="11" t="s">
        <v>61</v>
      </c>
      <c r="BB117" s="30">
        <v>100002</v>
      </c>
      <c r="BC117" s="26">
        <f t="shared" si="65"/>
        <v>0</v>
      </c>
      <c r="BD117" s="26">
        <f t="shared" si="66"/>
        <v>0</v>
      </c>
      <c r="BE117" s="26">
        <v>0</v>
      </c>
      <c r="BF117" s="26">
        <f>117</f>
        <v>117</v>
      </c>
      <c r="BH117" s="26">
        <f t="shared" si="67"/>
        <v>0</v>
      </c>
      <c r="BI117" s="26">
        <f t="shared" si="68"/>
        <v>0</v>
      </c>
      <c r="BJ117" s="26">
        <f t="shared" si="69"/>
        <v>0</v>
      </c>
      <c r="BK117" s="26"/>
      <c r="BL117" s="26">
        <v>722</v>
      </c>
      <c r="BW117" s="26">
        <v>12</v>
      </c>
      <c r="BX117" s="5" t="s">
        <v>323</v>
      </c>
    </row>
    <row r="118" spans="1:76" x14ac:dyDescent="0.25">
      <c r="A118" s="2" t="s">
        <v>325</v>
      </c>
      <c r="B118" s="3" t="s">
        <v>326</v>
      </c>
      <c r="C118" s="96" t="s">
        <v>327</v>
      </c>
      <c r="D118" s="91"/>
      <c r="E118" s="3" t="s">
        <v>324</v>
      </c>
      <c r="F118" s="26">
        <v>72</v>
      </c>
      <c r="G118" s="27">
        <v>0</v>
      </c>
      <c r="H118" s="26">
        <f t="shared" si="48"/>
        <v>0</v>
      </c>
      <c r="I118" s="26">
        <f t="shared" si="49"/>
        <v>0</v>
      </c>
      <c r="J118" s="26">
        <f t="shared" si="50"/>
        <v>0</v>
      </c>
      <c r="K118" s="28" t="s">
        <v>65</v>
      </c>
      <c r="Z118" s="26">
        <f t="shared" si="51"/>
        <v>0</v>
      </c>
      <c r="AB118" s="26">
        <f t="shared" si="52"/>
        <v>0</v>
      </c>
      <c r="AC118" s="26">
        <f t="shared" si="53"/>
        <v>0</v>
      </c>
      <c r="AD118" s="26">
        <f t="shared" si="54"/>
        <v>0</v>
      </c>
      <c r="AE118" s="26">
        <f t="shared" si="55"/>
        <v>0</v>
      </c>
      <c r="AF118" s="26">
        <f t="shared" si="56"/>
        <v>0</v>
      </c>
      <c r="AG118" s="26">
        <f t="shared" si="57"/>
        <v>0</v>
      </c>
      <c r="AH118" s="26">
        <f t="shared" si="58"/>
        <v>0</v>
      </c>
      <c r="AI118" s="11" t="s">
        <v>58</v>
      </c>
      <c r="AJ118" s="26">
        <f t="shared" si="59"/>
        <v>0</v>
      </c>
      <c r="AK118" s="26">
        <f t="shared" si="60"/>
        <v>0</v>
      </c>
      <c r="AL118" s="26">
        <f t="shared" si="61"/>
        <v>0</v>
      </c>
      <c r="AN118" s="26">
        <v>12</v>
      </c>
      <c r="AO118" s="26">
        <f>G118*0.716518047</f>
        <v>0</v>
      </c>
      <c r="AP118" s="26">
        <f>G118*(1-0.716518047)</f>
        <v>0</v>
      </c>
      <c r="AQ118" s="29" t="s">
        <v>90</v>
      </c>
      <c r="AV118" s="26">
        <f t="shared" si="62"/>
        <v>0</v>
      </c>
      <c r="AW118" s="26">
        <f t="shared" si="63"/>
        <v>0</v>
      </c>
      <c r="AX118" s="26">
        <f t="shared" si="64"/>
        <v>0</v>
      </c>
      <c r="AY118" s="29" t="s">
        <v>160</v>
      </c>
      <c r="AZ118" s="29" t="s">
        <v>109</v>
      </c>
      <c r="BA118" s="11" t="s">
        <v>61</v>
      </c>
      <c r="BB118" s="30">
        <v>100002</v>
      </c>
      <c r="BC118" s="26">
        <f t="shared" si="65"/>
        <v>0</v>
      </c>
      <c r="BD118" s="26">
        <f t="shared" si="66"/>
        <v>0</v>
      </c>
      <c r="BE118" s="26">
        <v>0</v>
      </c>
      <c r="BF118" s="26">
        <f>118</f>
        <v>118</v>
      </c>
      <c r="BH118" s="26">
        <f t="shared" si="67"/>
        <v>0</v>
      </c>
      <c r="BI118" s="26">
        <f t="shared" si="68"/>
        <v>0</v>
      </c>
      <c r="BJ118" s="26">
        <f t="shared" si="69"/>
        <v>0</v>
      </c>
      <c r="BK118" s="26"/>
      <c r="BL118" s="26">
        <v>722</v>
      </c>
      <c r="BW118" s="26">
        <v>12</v>
      </c>
      <c r="BX118" s="5" t="s">
        <v>327</v>
      </c>
    </row>
    <row r="119" spans="1:76" x14ac:dyDescent="0.25">
      <c r="A119" s="2" t="s">
        <v>328</v>
      </c>
      <c r="B119" s="3" t="s">
        <v>329</v>
      </c>
      <c r="C119" s="96" t="s">
        <v>330</v>
      </c>
      <c r="D119" s="91"/>
      <c r="E119" s="3" t="s">
        <v>93</v>
      </c>
      <c r="F119" s="26">
        <v>48</v>
      </c>
      <c r="G119" s="27">
        <v>0</v>
      </c>
      <c r="H119" s="26">
        <f t="shared" si="48"/>
        <v>0</v>
      </c>
      <c r="I119" s="26">
        <f t="shared" si="49"/>
        <v>0</v>
      </c>
      <c r="J119" s="26">
        <f t="shared" si="50"/>
        <v>0</v>
      </c>
      <c r="K119" s="28" t="s">
        <v>65</v>
      </c>
      <c r="Z119" s="26">
        <f t="shared" si="51"/>
        <v>0</v>
      </c>
      <c r="AB119" s="26">
        <f t="shared" si="52"/>
        <v>0</v>
      </c>
      <c r="AC119" s="26">
        <f t="shared" si="53"/>
        <v>0</v>
      </c>
      <c r="AD119" s="26">
        <f t="shared" si="54"/>
        <v>0</v>
      </c>
      <c r="AE119" s="26">
        <f t="shared" si="55"/>
        <v>0</v>
      </c>
      <c r="AF119" s="26">
        <f t="shared" si="56"/>
        <v>0</v>
      </c>
      <c r="AG119" s="26">
        <f t="shared" si="57"/>
        <v>0</v>
      </c>
      <c r="AH119" s="26">
        <f t="shared" si="58"/>
        <v>0</v>
      </c>
      <c r="AI119" s="11" t="s">
        <v>58</v>
      </c>
      <c r="AJ119" s="26">
        <f t="shared" si="59"/>
        <v>0</v>
      </c>
      <c r="AK119" s="26">
        <f t="shared" si="60"/>
        <v>0</v>
      </c>
      <c r="AL119" s="26">
        <f t="shared" si="61"/>
        <v>0</v>
      </c>
      <c r="AN119" s="26">
        <v>12</v>
      </c>
      <c r="AO119" s="26">
        <f>G119*0.378808674</f>
        <v>0</v>
      </c>
      <c r="AP119" s="26">
        <f>G119*(1-0.378808674)</f>
        <v>0</v>
      </c>
      <c r="AQ119" s="29" t="s">
        <v>90</v>
      </c>
      <c r="AV119" s="26">
        <f t="shared" si="62"/>
        <v>0</v>
      </c>
      <c r="AW119" s="26">
        <f t="shared" si="63"/>
        <v>0</v>
      </c>
      <c r="AX119" s="26">
        <f t="shared" si="64"/>
        <v>0</v>
      </c>
      <c r="AY119" s="29" t="s">
        <v>160</v>
      </c>
      <c r="AZ119" s="29" t="s">
        <v>109</v>
      </c>
      <c r="BA119" s="11" t="s">
        <v>61</v>
      </c>
      <c r="BB119" s="30">
        <v>100002</v>
      </c>
      <c r="BC119" s="26">
        <f t="shared" si="65"/>
        <v>0</v>
      </c>
      <c r="BD119" s="26">
        <f t="shared" si="66"/>
        <v>0</v>
      </c>
      <c r="BE119" s="26">
        <v>0</v>
      </c>
      <c r="BF119" s="26">
        <f>119</f>
        <v>119</v>
      </c>
      <c r="BH119" s="26">
        <f t="shared" si="67"/>
        <v>0</v>
      </c>
      <c r="BI119" s="26">
        <f t="shared" si="68"/>
        <v>0</v>
      </c>
      <c r="BJ119" s="26">
        <f t="shared" si="69"/>
        <v>0</v>
      </c>
      <c r="BK119" s="26"/>
      <c r="BL119" s="26">
        <v>722</v>
      </c>
      <c r="BW119" s="26">
        <v>12</v>
      </c>
      <c r="BX119" s="5" t="s">
        <v>330</v>
      </c>
    </row>
    <row r="120" spans="1:76" x14ac:dyDescent="0.25">
      <c r="A120" s="2" t="s">
        <v>331</v>
      </c>
      <c r="B120" s="3" t="s">
        <v>332</v>
      </c>
      <c r="C120" s="96" t="s">
        <v>333</v>
      </c>
      <c r="D120" s="91"/>
      <c r="E120" s="3" t="s">
        <v>93</v>
      </c>
      <c r="F120" s="26">
        <v>72</v>
      </c>
      <c r="G120" s="27">
        <v>0</v>
      </c>
      <c r="H120" s="26">
        <f t="shared" si="48"/>
        <v>0</v>
      </c>
      <c r="I120" s="26">
        <f t="shared" si="49"/>
        <v>0</v>
      </c>
      <c r="J120" s="26">
        <f t="shared" si="50"/>
        <v>0</v>
      </c>
      <c r="K120" s="28" t="s">
        <v>65</v>
      </c>
      <c r="Z120" s="26">
        <f t="shared" si="51"/>
        <v>0</v>
      </c>
      <c r="AB120" s="26">
        <f t="shared" si="52"/>
        <v>0</v>
      </c>
      <c r="AC120" s="26">
        <f t="shared" si="53"/>
        <v>0</v>
      </c>
      <c r="AD120" s="26">
        <f t="shared" si="54"/>
        <v>0</v>
      </c>
      <c r="AE120" s="26">
        <f t="shared" si="55"/>
        <v>0</v>
      </c>
      <c r="AF120" s="26">
        <f t="shared" si="56"/>
        <v>0</v>
      </c>
      <c r="AG120" s="26">
        <f t="shared" si="57"/>
        <v>0</v>
      </c>
      <c r="AH120" s="26">
        <f t="shared" si="58"/>
        <v>0</v>
      </c>
      <c r="AI120" s="11" t="s">
        <v>58</v>
      </c>
      <c r="AJ120" s="26">
        <f t="shared" si="59"/>
        <v>0</v>
      </c>
      <c r="AK120" s="26">
        <f t="shared" si="60"/>
        <v>0</v>
      </c>
      <c r="AL120" s="26">
        <f t="shared" si="61"/>
        <v>0</v>
      </c>
      <c r="AN120" s="26">
        <v>12</v>
      </c>
      <c r="AO120" s="26">
        <f>G120*0.517830779</f>
        <v>0</v>
      </c>
      <c r="AP120" s="26">
        <f>G120*(1-0.517830779)</f>
        <v>0</v>
      </c>
      <c r="AQ120" s="29" t="s">
        <v>90</v>
      </c>
      <c r="AV120" s="26">
        <f t="shared" si="62"/>
        <v>0</v>
      </c>
      <c r="AW120" s="26">
        <f t="shared" si="63"/>
        <v>0</v>
      </c>
      <c r="AX120" s="26">
        <f t="shared" si="64"/>
        <v>0</v>
      </c>
      <c r="AY120" s="29" t="s">
        <v>160</v>
      </c>
      <c r="AZ120" s="29" t="s">
        <v>109</v>
      </c>
      <c r="BA120" s="11" t="s">
        <v>61</v>
      </c>
      <c r="BB120" s="30">
        <v>100002</v>
      </c>
      <c r="BC120" s="26">
        <f t="shared" si="65"/>
        <v>0</v>
      </c>
      <c r="BD120" s="26">
        <f t="shared" si="66"/>
        <v>0</v>
      </c>
      <c r="BE120" s="26">
        <v>0</v>
      </c>
      <c r="BF120" s="26">
        <f>120</f>
        <v>120</v>
      </c>
      <c r="BH120" s="26">
        <f t="shared" si="67"/>
        <v>0</v>
      </c>
      <c r="BI120" s="26">
        <f t="shared" si="68"/>
        <v>0</v>
      </c>
      <c r="BJ120" s="26">
        <f t="shared" si="69"/>
        <v>0</v>
      </c>
      <c r="BK120" s="26"/>
      <c r="BL120" s="26">
        <v>722</v>
      </c>
      <c r="BW120" s="26">
        <v>12</v>
      </c>
      <c r="BX120" s="5" t="s">
        <v>333</v>
      </c>
    </row>
    <row r="121" spans="1:76" x14ac:dyDescent="0.25">
      <c r="A121" s="2" t="s">
        <v>334</v>
      </c>
      <c r="B121" s="3" t="s">
        <v>335</v>
      </c>
      <c r="C121" s="96" t="s">
        <v>336</v>
      </c>
      <c r="D121" s="91"/>
      <c r="E121" s="3" t="s">
        <v>93</v>
      </c>
      <c r="F121" s="26">
        <v>480</v>
      </c>
      <c r="G121" s="27">
        <v>0</v>
      </c>
      <c r="H121" s="26">
        <f t="shared" si="48"/>
        <v>0</v>
      </c>
      <c r="I121" s="26">
        <f t="shared" si="49"/>
        <v>0</v>
      </c>
      <c r="J121" s="26">
        <f t="shared" si="50"/>
        <v>0</v>
      </c>
      <c r="K121" s="28" t="s">
        <v>65</v>
      </c>
      <c r="Z121" s="26">
        <f t="shared" si="51"/>
        <v>0</v>
      </c>
      <c r="AB121" s="26">
        <f t="shared" si="52"/>
        <v>0</v>
      </c>
      <c r="AC121" s="26">
        <f t="shared" si="53"/>
        <v>0</v>
      </c>
      <c r="AD121" s="26">
        <f t="shared" si="54"/>
        <v>0</v>
      </c>
      <c r="AE121" s="26">
        <f t="shared" si="55"/>
        <v>0</v>
      </c>
      <c r="AF121" s="26">
        <f t="shared" si="56"/>
        <v>0</v>
      </c>
      <c r="AG121" s="26">
        <f t="shared" si="57"/>
        <v>0</v>
      </c>
      <c r="AH121" s="26">
        <f t="shared" si="58"/>
        <v>0</v>
      </c>
      <c r="AI121" s="11" t="s">
        <v>58</v>
      </c>
      <c r="AJ121" s="26">
        <f t="shared" si="59"/>
        <v>0</v>
      </c>
      <c r="AK121" s="26">
        <f t="shared" si="60"/>
        <v>0</v>
      </c>
      <c r="AL121" s="26">
        <f t="shared" si="61"/>
        <v>0</v>
      </c>
      <c r="AN121" s="26">
        <v>12</v>
      </c>
      <c r="AO121" s="26">
        <f>G121*0</f>
        <v>0</v>
      </c>
      <c r="AP121" s="26">
        <f>G121*(1-0)</f>
        <v>0</v>
      </c>
      <c r="AQ121" s="29" t="s">
        <v>90</v>
      </c>
      <c r="AV121" s="26">
        <f t="shared" si="62"/>
        <v>0</v>
      </c>
      <c r="AW121" s="26">
        <f t="shared" si="63"/>
        <v>0</v>
      </c>
      <c r="AX121" s="26">
        <f t="shared" si="64"/>
        <v>0</v>
      </c>
      <c r="AY121" s="29" t="s">
        <v>160</v>
      </c>
      <c r="AZ121" s="29" t="s">
        <v>109</v>
      </c>
      <c r="BA121" s="11" t="s">
        <v>61</v>
      </c>
      <c r="BB121" s="30">
        <v>100002</v>
      </c>
      <c r="BC121" s="26">
        <f t="shared" si="65"/>
        <v>0</v>
      </c>
      <c r="BD121" s="26">
        <f t="shared" si="66"/>
        <v>0</v>
      </c>
      <c r="BE121" s="26">
        <v>0</v>
      </c>
      <c r="BF121" s="26">
        <f>121</f>
        <v>121</v>
      </c>
      <c r="BH121" s="26">
        <f t="shared" si="67"/>
        <v>0</v>
      </c>
      <c r="BI121" s="26">
        <f t="shared" si="68"/>
        <v>0</v>
      </c>
      <c r="BJ121" s="26">
        <f t="shared" si="69"/>
        <v>0</v>
      </c>
      <c r="BK121" s="26"/>
      <c r="BL121" s="26">
        <v>722</v>
      </c>
      <c r="BW121" s="26">
        <v>12</v>
      </c>
      <c r="BX121" s="5" t="s">
        <v>336</v>
      </c>
    </row>
    <row r="122" spans="1:76" x14ac:dyDescent="0.25">
      <c r="A122" s="2" t="s">
        <v>337</v>
      </c>
      <c r="B122" s="3" t="s">
        <v>338</v>
      </c>
      <c r="C122" s="96" t="s">
        <v>339</v>
      </c>
      <c r="D122" s="91"/>
      <c r="E122" s="3" t="s">
        <v>93</v>
      </c>
      <c r="F122" s="26">
        <v>19</v>
      </c>
      <c r="G122" s="27">
        <v>0</v>
      </c>
      <c r="H122" s="26">
        <f t="shared" si="48"/>
        <v>0</v>
      </c>
      <c r="I122" s="26">
        <f t="shared" si="49"/>
        <v>0</v>
      </c>
      <c r="J122" s="26">
        <f t="shared" si="50"/>
        <v>0</v>
      </c>
      <c r="K122" s="28" t="s">
        <v>65</v>
      </c>
      <c r="Z122" s="26">
        <f t="shared" si="51"/>
        <v>0</v>
      </c>
      <c r="AB122" s="26">
        <f t="shared" si="52"/>
        <v>0</v>
      </c>
      <c r="AC122" s="26">
        <f t="shared" si="53"/>
        <v>0</v>
      </c>
      <c r="AD122" s="26">
        <f t="shared" si="54"/>
        <v>0</v>
      </c>
      <c r="AE122" s="26">
        <f t="shared" si="55"/>
        <v>0</v>
      </c>
      <c r="AF122" s="26">
        <f t="shared" si="56"/>
        <v>0</v>
      </c>
      <c r="AG122" s="26">
        <f t="shared" si="57"/>
        <v>0</v>
      </c>
      <c r="AH122" s="26">
        <f t="shared" si="58"/>
        <v>0</v>
      </c>
      <c r="AI122" s="11" t="s">
        <v>58</v>
      </c>
      <c r="AJ122" s="26">
        <f t="shared" si="59"/>
        <v>0</v>
      </c>
      <c r="AK122" s="26">
        <f t="shared" si="60"/>
        <v>0</v>
      </c>
      <c r="AL122" s="26">
        <f t="shared" si="61"/>
        <v>0</v>
      </c>
      <c r="AN122" s="26">
        <v>12</v>
      </c>
      <c r="AO122" s="26">
        <f>G122*0.841298006</f>
        <v>0</v>
      </c>
      <c r="AP122" s="26">
        <f>G122*(1-0.841298006)</f>
        <v>0</v>
      </c>
      <c r="AQ122" s="29" t="s">
        <v>90</v>
      </c>
      <c r="AV122" s="26">
        <f t="shared" si="62"/>
        <v>0</v>
      </c>
      <c r="AW122" s="26">
        <f t="shared" si="63"/>
        <v>0</v>
      </c>
      <c r="AX122" s="26">
        <f t="shared" si="64"/>
        <v>0</v>
      </c>
      <c r="AY122" s="29" t="s">
        <v>160</v>
      </c>
      <c r="AZ122" s="29" t="s">
        <v>109</v>
      </c>
      <c r="BA122" s="11" t="s">
        <v>61</v>
      </c>
      <c r="BB122" s="30">
        <v>100002</v>
      </c>
      <c r="BC122" s="26">
        <f t="shared" si="65"/>
        <v>0</v>
      </c>
      <c r="BD122" s="26">
        <f t="shared" si="66"/>
        <v>0</v>
      </c>
      <c r="BE122" s="26">
        <v>0</v>
      </c>
      <c r="BF122" s="26">
        <f>122</f>
        <v>122</v>
      </c>
      <c r="BH122" s="26">
        <f t="shared" si="67"/>
        <v>0</v>
      </c>
      <c r="BI122" s="26">
        <f t="shared" si="68"/>
        <v>0</v>
      </c>
      <c r="BJ122" s="26">
        <f t="shared" si="69"/>
        <v>0</v>
      </c>
      <c r="BK122" s="26"/>
      <c r="BL122" s="26">
        <v>722</v>
      </c>
      <c r="BW122" s="26">
        <v>12</v>
      </c>
      <c r="BX122" s="5" t="s">
        <v>339</v>
      </c>
    </row>
    <row r="123" spans="1:76" x14ac:dyDescent="0.25">
      <c r="A123" s="2" t="s">
        <v>340</v>
      </c>
      <c r="B123" s="3" t="s">
        <v>341</v>
      </c>
      <c r="C123" s="96" t="s">
        <v>342</v>
      </c>
      <c r="D123" s="91"/>
      <c r="E123" s="3" t="s">
        <v>93</v>
      </c>
      <c r="F123" s="26">
        <v>12</v>
      </c>
      <c r="G123" s="27">
        <v>0</v>
      </c>
      <c r="H123" s="26">
        <f t="shared" si="48"/>
        <v>0</v>
      </c>
      <c r="I123" s="26">
        <f t="shared" si="49"/>
        <v>0</v>
      </c>
      <c r="J123" s="26">
        <f t="shared" si="50"/>
        <v>0</v>
      </c>
      <c r="K123" s="28" t="s">
        <v>65</v>
      </c>
      <c r="Z123" s="26">
        <f t="shared" si="51"/>
        <v>0</v>
      </c>
      <c r="AB123" s="26">
        <f t="shared" si="52"/>
        <v>0</v>
      </c>
      <c r="AC123" s="26">
        <f t="shared" si="53"/>
        <v>0</v>
      </c>
      <c r="AD123" s="26">
        <f t="shared" si="54"/>
        <v>0</v>
      </c>
      <c r="AE123" s="26">
        <f t="shared" si="55"/>
        <v>0</v>
      </c>
      <c r="AF123" s="26">
        <f t="shared" si="56"/>
        <v>0</v>
      </c>
      <c r="AG123" s="26">
        <f t="shared" si="57"/>
        <v>0</v>
      </c>
      <c r="AH123" s="26">
        <f t="shared" si="58"/>
        <v>0</v>
      </c>
      <c r="AI123" s="11" t="s">
        <v>58</v>
      </c>
      <c r="AJ123" s="26">
        <f t="shared" si="59"/>
        <v>0</v>
      </c>
      <c r="AK123" s="26">
        <f t="shared" si="60"/>
        <v>0</v>
      </c>
      <c r="AL123" s="26">
        <f t="shared" si="61"/>
        <v>0</v>
      </c>
      <c r="AN123" s="26">
        <v>12</v>
      </c>
      <c r="AO123" s="26">
        <f>G123*0.848404562</f>
        <v>0</v>
      </c>
      <c r="AP123" s="26">
        <f>G123*(1-0.848404562)</f>
        <v>0</v>
      </c>
      <c r="AQ123" s="29" t="s">
        <v>90</v>
      </c>
      <c r="AV123" s="26">
        <f t="shared" si="62"/>
        <v>0</v>
      </c>
      <c r="AW123" s="26">
        <f t="shared" si="63"/>
        <v>0</v>
      </c>
      <c r="AX123" s="26">
        <f t="shared" si="64"/>
        <v>0</v>
      </c>
      <c r="AY123" s="29" t="s">
        <v>160</v>
      </c>
      <c r="AZ123" s="29" t="s">
        <v>109</v>
      </c>
      <c r="BA123" s="11" t="s">
        <v>61</v>
      </c>
      <c r="BB123" s="30">
        <v>100002</v>
      </c>
      <c r="BC123" s="26">
        <f t="shared" si="65"/>
        <v>0</v>
      </c>
      <c r="BD123" s="26">
        <f t="shared" si="66"/>
        <v>0</v>
      </c>
      <c r="BE123" s="26">
        <v>0</v>
      </c>
      <c r="BF123" s="26">
        <f>123</f>
        <v>123</v>
      </c>
      <c r="BH123" s="26">
        <f t="shared" si="67"/>
        <v>0</v>
      </c>
      <c r="BI123" s="26">
        <f t="shared" si="68"/>
        <v>0</v>
      </c>
      <c r="BJ123" s="26">
        <f t="shared" si="69"/>
        <v>0</v>
      </c>
      <c r="BK123" s="26"/>
      <c r="BL123" s="26">
        <v>722</v>
      </c>
      <c r="BW123" s="26">
        <v>12</v>
      </c>
      <c r="BX123" s="5" t="s">
        <v>342</v>
      </c>
    </row>
    <row r="124" spans="1:76" x14ac:dyDescent="0.25">
      <c r="A124" s="2" t="s">
        <v>343</v>
      </c>
      <c r="B124" s="3" t="s">
        <v>344</v>
      </c>
      <c r="C124" s="96" t="s">
        <v>345</v>
      </c>
      <c r="D124" s="91"/>
      <c r="E124" s="3" t="s">
        <v>93</v>
      </c>
      <c r="F124" s="26">
        <v>1</v>
      </c>
      <c r="G124" s="27">
        <v>0</v>
      </c>
      <c r="H124" s="26">
        <f t="shared" si="48"/>
        <v>0</v>
      </c>
      <c r="I124" s="26">
        <f t="shared" si="49"/>
        <v>0</v>
      </c>
      <c r="J124" s="26">
        <f t="shared" si="50"/>
        <v>0</v>
      </c>
      <c r="K124" s="28" t="s">
        <v>65</v>
      </c>
      <c r="Z124" s="26">
        <f t="shared" si="51"/>
        <v>0</v>
      </c>
      <c r="AB124" s="26">
        <f t="shared" si="52"/>
        <v>0</v>
      </c>
      <c r="AC124" s="26">
        <f t="shared" si="53"/>
        <v>0</v>
      </c>
      <c r="AD124" s="26">
        <f t="shared" si="54"/>
        <v>0</v>
      </c>
      <c r="AE124" s="26">
        <f t="shared" si="55"/>
        <v>0</v>
      </c>
      <c r="AF124" s="26">
        <f t="shared" si="56"/>
        <v>0</v>
      </c>
      <c r="AG124" s="26">
        <f t="shared" si="57"/>
        <v>0</v>
      </c>
      <c r="AH124" s="26">
        <f t="shared" si="58"/>
        <v>0</v>
      </c>
      <c r="AI124" s="11" t="s">
        <v>58</v>
      </c>
      <c r="AJ124" s="26">
        <f t="shared" si="59"/>
        <v>0</v>
      </c>
      <c r="AK124" s="26">
        <f t="shared" si="60"/>
        <v>0</v>
      </c>
      <c r="AL124" s="26">
        <f t="shared" si="61"/>
        <v>0</v>
      </c>
      <c r="AN124" s="26">
        <v>12</v>
      </c>
      <c r="AO124" s="26">
        <f>G124*0.87605977</f>
        <v>0</v>
      </c>
      <c r="AP124" s="26">
        <f>G124*(1-0.87605977)</f>
        <v>0</v>
      </c>
      <c r="AQ124" s="29" t="s">
        <v>90</v>
      </c>
      <c r="AV124" s="26">
        <f t="shared" si="62"/>
        <v>0</v>
      </c>
      <c r="AW124" s="26">
        <f t="shared" si="63"/>
        <v>0</v>
      </c>
      <c r="AX124" s="26">
        <f t="shared" si="64"/>
        <v>0</v>
      </c>
      <c r="AY124" s="29" t="s">
        <v>160</v>
      </c>
      <c r="AZ124" s="29" t="s">
        <v>109</v>
      </c>
      <c r="BA124" s="11" t="s">
        <v>61</v>
      </c>
      <c r="BB124" s="30">
        <v>100002</v>
      </c>
      <c r="BC124" s="26">
        <f t="shared" si="65"/>
        <v>0</v>
      </c>
      <c r="BD124" s="26">
        <f t="shared" si="66"/>
        <v>0</v>
      </c>
      <c r="BE124" s="26">
        <v>0</v>
      </c>
      <c r="BF124" s="26">
        <f>124</f>
        <v>124</v>
      </c>
      <c r="BH124" s="26">
        <f t="shared" si="67"/>
        <v>0</v>
      </c>
      <c r="BI124" s="26">
        <f t="shared" si="68"/>
        <v>0</v>
      </c>
      <c r="BJ124" s="26">
        <f t="shared" si="69"/>
        <v>0</v>
      </c>
      <c r="BK124" s="26"/>
      <c r="BL124" s="26">
        <v>722</v>
      </c>
      <c r="BW124" s="26">
        <v>12</v>
      </c>
      <c r="BX124" s="5" t="s">
        <v>345</v>
      </c>
    </row>
    <row r="125" spans="1:76" x14ac:dyDescent="0.25">
      <c r="A125" s="2" t="s">
        <v>346</v>
      </c>
      <c r="B125" s="3" t="s">
        <v>347</v>
      </c>
      <c r="C125" s="96" t="s">
        <v>348</v>
      </c>
      <c r="D125" s="91"/>
      <c r="E125" s="3" t="s">
        <v>93</v>
      </c>
      <c r="F125" s="26">
        <v>6</v>
      </c>
      <c r="G125" s="27">
        <v>0</v>
      </c>
      <c r="H125" s="26">
        <f t="shared" si="48"/>
        <v>0</v>
      </c>
      <c r="I125" s="26">
        <f t="shared" si="49"/>
        <v>0</v>
      </c>
      <c r="J125" s="26">
        <f t="shared" si="50"/>
        <v>0</v>
      </c>
      <c r="K125" s="28" t="s">
        <v>65</v>
      </c>
      <c r="Z125" s="26">
        <f t="shared" si="51"/>
        <v>0</v>
      </c>
      <c r="AB125" s="26">
        <f t="shared" si="52"/>
        <v>0</v>
      </c>
      <c r="AC125" s="26">
        <f t="shared" si="53"/>
        <v>0</v>
      </c>
      <c r="AD125" s="26">
        <f t="shared" si="54"/>
        <v>0</v>
      </c>
      <c r="AE125" s="26">
        <f t="shared" si="55"/>
        <v>0</v>
      </c>
      <c r="AF125" s="26">
        <f t="shared" si="56"/>
        <v>0</v>
      </c>
      <c r="AG125" s="26">
        <f t="shared" si="57"/>
        <v>0</v>
      </c>
      <c r="AH125" s="26">
        <f t="shared" si="58"/>
        <v>0</v>
      </c>
      <c r="AI125" s="11" t="s">
        <v>58</v>
      </c>
      <c r="AJ125" s="26">
        <f t="shared" si="59"/>
        <v>0</v>
      </c>
      <c r="AK125" s="26">
        <f t="shared" si="60"/>
        <v>0</v>
      </c>
      <c r="AL125" s="26">
        <f t="shared" si="61"/>
        <v>0</v>
      </c>
      <c r="AN125" s="26">
        <v>12</v>
      </c>
      <c r="AO125" s="26">
        <f>G125*0.03926582</f>
        <v>0</v>
      </c>
      <c r="AP125" s="26">
        <f>G125*(1-0.03926582)</f>
        <v>0</v>
      </c>
      <c r="AQ125" s="29" t="s">
        <v>90</v>
      </c>
      <c r="AV125" s="26">
        <f t="shared" si="62"/>
        <v>0</v>
      </c>
      <c r="AW125" s="26">
        <f t="shared" si="63"/>
        <v>0</v>
      </c>
      <c r="AX125" s="26">
        <f t="shared" si="64"/>
        <v>0</v>
      </c>
      <c r="AY125" s="29" t="s">
        <v>160</v>
      </c>
      <c r="AZ125" s="29" t="s">
        <v>109</v>
      </c>
      <c r="BA125" s="11" t="s">
        <v>61</v>
      </c>
      <c r="BB125" s="30">
        <v>100002</v>
      </c>
      <c r="BC125" s="26">
        <f t="shared" si="65"/>
        <v>0</v>
      </c>
      <c r="BD125" s="26">
        <f t="shared" si="66"/>
        <v>0</v>
      </c>
      <c r="BE125" s="26">
        <v>0</v>
      </c>
      <c r="BF125" s="26">
        <f>125</f>
        <v>125</v>
      </c>
      <c r="BH125" s="26">
        <f t="shared" si="67"/>
        <v>0</v>
      </c>
      <c r="BI125" s="26">
        <f t="shared" si="68"/>
        <v>0</v>
      </c>
      <c r="BJ125" s="26">
        <f t="shared" si="69"/>
        <v>0</v>
      </c>
      <c r="BK125" s="26"/>
      <c r="BL125" s="26">
        <v>722</v>
      </c>
      <c r="BW125" s="26">
        <v>12</v>
      </c>
      <c r="BX125" s="5" t="s">
        <v>348</v>
      </c>
    </row>
    <row r="126" spans="1:76" x14ac:dyDescent="0.25">
      <c r="A126" s="2" t="s">
        <v>349</v>
      </c>
      <c r="B126" s="3" t="s">
        <v>350</v>
      </c>
      <c r="C126" s="96" t="s">
        <v>351</v>
      </c>
      <c r="D126" s="91"/>
      <c r="E126" s="3" t="s">
        <v>93</v>
      </c>
      <c r="F126" s="26">
        <v>6</v>
      </c>
      <c r="G126" s="27">
        <v>0</v>
      </c>
      <c r="H126" s="26">
        <f t="shared" si="48"/>
        <v>0</v>
      </c>
      <c r="I126" s="26">
        <f t="shared" si="49"/>
        <v>0</v>
      </c>
      <c r="J126" s="26">
        <f t="shared" si="50"/>
        <v>0</v>
      </c>
      <c r="K126" s="28" t="s">
        <v>57</v>
      </c>
      <c r="Z126" s="26">
        <f t="shared" si="51"/>
        <v>0</v>
      </c>
      <c r="AB126" s="26">
        <f t="shared" si="52"/>
        <v>0</v>
      </c>
      <c r="AC126" s="26">
        <f t="shared" si="53"/>
        <v>0</v>
      </c>
      <c r="AD126" s="26">
        <f t="shared" si="54"/>
        <v>0</v>
      </c>
      <c r="AE126" s="26">
        <f t="shared" si="55"/>
        <v>0</v>
      </c>
      <c r="AF126" s="26">
        <f t="shared" si="56"/>
        <v>0</v>
      </c>
      <c r="AG126" s="26">
        <f t="shared" si="57"/>
        <v>0</v>
      </c>
      <c r="AH126" s="26">
        <f t="shared" si="58"/>
        <v>0</v>
      </c>
      <c r="AI126" s="11" t="s">
        <v>58</v>
      </c>
      <c r="AJ126" s="26">
        <f t="shared" si="59"/>
        <v>0</v>
      </c>
      <c r="AK126" s="26">
        <f t="shared" si="60"/>
        <v>0</v>
      </c>
      <c r="AL126" s="26">
        <f t="shared" si="61"/>
        <v>0</v>
      </c>
      <c r="AN126" s="26">
        <v>12</v>
      </c>
      <c r="AO126" s="26">
        <f>G126*1</f>
        <v>0</v>
      </c>
      <c r="AP126" s="26">
        <f>G126*(1-1)</f>
        <v>0</v>
      </c>
      <c r="AQ126" s="29" t="s">
        <v>90</v>
      </c>
      <c r="AV126" s="26">
        <f t="shared" si="62"/>
        <v>0</v>
      </c>
      <c r="AW126" s="26">
        <f t="shared" si="63"/>
        <v>0</v>
      </c>
      <c r="AX126" s="26">
        <f t="shared" si="64"/>
        <v>0</v>
      </c>
      <c r="AY126" s="29" t="s">
        <v>160</v>
      </c>
      <c r="AZ126" s="29" t="s">
        <v>109</v>
      </c>
      <c r="BA126" s="11" t="s">
        <v>61</v>
      </c>
      <c r="BC126" s="26">
        <f t="shared" si="65"/>
        <v>0</v>
      </c>
      <c r="BD126" s="26">
        <f t="shared" si="66"/>
        <v>0</v>
      </c>
      <c r="BE126" s="26">
        <v>0</v>
      </c>
      <c r="BF126" s="26">
        <f>126</f>
        <v>126</v>
      </c>
      <c r="BH126" s="26">
        <f t="shared" si="67"/>
        <v>0</v>
      </c>
      <c r="BI126" s="26">
        <f t="shared" si="68"/>
        <v>0</v>
      </c>
      <c r="BJ126" s="26">
        <f t="shared" si="69"/>
        <v>0</v>
      </c>
      <c r="BK126" s="26"/>
      <c r="BL126" s="26">
        <v>722</v>
      </c>
      <c r="BW126" s="26">
        <v>12</v>
      </c>
      <c r="BX126" s="5" t="s">
        <v>351</v>
      </c>
    </row>
    <row r="127" spans="1:76" x14ac:dyDescent="0.25">
      <c r="A127" s="2" t="s">
        <v>352</v>
      </c>
      <c r="B127" s="3" t="s">
        <v>353</v>
      </c>
      <c r="C127" s="96" t="s">
        <v>354</v>
      </c>
      <c r="D127" s="91"/>
      <c r="E127" s="3" t="s">
        <v>93</v>
      </c>
      <c r="F127" s="26">
        <v>1</v>
      </c>
      <c r="G127" s="27">
        <v>0</v>
      </c>
      <c r="H127" s="26">
        <f t="shared" si="48"/>
        <v>0</v>
      </c>
      <c r="I127" s="26">
        <f t="shared" si="49"/>
        <v>0</v>
      </c>
      <c r="J127" s="26">
        <f t="shared" si="50"/>
        <v>0</v>
      </c>
      <c r="K127" s="28" t="s">
        <v>65</v>
      </c>
      <c r="Z127" s="26">
        <f t="shared" si="51"/>
        <v>0</v>
      </c>
      <c r="AB127" s="26">
        <f t="shared" si="52"/>
        <v>0</v>
      </c>
      <c r="AC127" s="26">
        <f t="shared" si="53"/>
        <v>0</v>
      </c>
      <c r="AD127" s="26">
        <f t="shared" si="54"/>
        <v>0</v>
      </c>
      <c r="AE127" s="26">
        <f t="shared" si="55"/>
        <v>0</v>
      </c>
      <c r="AF127" s="26">
        <f t="shared" si="56"/>
        <v>0</v>
      </c>
      <c r="AG127" s="26">
        <f t="shared" si="57"/>
        <v>0</v>
      </c>
      <c r="AH127" s="26">
        <f t="shared" si="58"/>
        <v>0</v>
      </c>
      <c r="AI127" s="11" t="s">
        <v>58</v>
      </c>
      <c r="AJ127" s="26">
        <f t="shared" si="59"/>
        <v>0</v>
      </c>
      <c r="AK127" s="26">
        <f t="shared" si="60"/>
        <v>0</v>
      </c>
      <c r="AL127" s="26">
        <f t="shared" si="61"/>
        <v>0</v>
      </c>
      <c r="AN127" s="26">
        <v>12</v>
      </c>
      <c r="AO127" s="26">
        <f>G127*0.091784512</f>
        <v>0</v>
      </c>
      <c r="AP127" s="26">
        <f>G127*(1-0.091784512)</f>
        <v>0</v>
      </c>
      <c r="AQ127" s="29" t="s">
        <v>90</v>
      </c>
      <c r="AV127" s="26">
        <f t="shared" si="62"/>
        <v>0</v>
      </c>
      <c r="AW127" s="26">
        <f t="shared" si="63"/>
        <v>0</v>
      </c>
      <c r="AX127" s="26">
        <f t="shared" si="64"/>
        <v>0</v>
      </c>
      <c r="AY127" s="29" t="s">
        <v>160</v>
      </c>
      <c r="AZ127" s="29" t="s">
        <v>109</v>
      </c>
      <c r="BA127" s="11" t="s">
        <v>61</v>
      </c>
      <c r="BB127" s="30">
        <v>100002</v>
      </c>
      <c r="BC127" s="26">
        <f t="shared" si="65"/>
        <v>0</v>
      </c>
      <c r="BD127" s="26">
        <f t="shared" si="66"/>
        <v>0</v>
      </c>
      <c r="BE127" s="26">
        <v>0</v>
      </c>
      <c r="BF127" s="26">
        <f>127</f>
        <v>127</v>
      </c>
      <c r="BH127" s="26">
        <f t="shared" si="67"/>
        <v>0</v>
      </c>
      <c r="BI127" s="26">
        <f t="shared" si="68"/>
        <v>0</v>
      </c>
      <c r="BJ127" s="26">
        <f t="shared" si="69"/>
        <v>0</v>
      </c>
      <c r="BK127" s="26"/>
      <c r="BL127" s="26">
        <v>722</v>
      </c>
      <c r="BW127" s="26">
        <v>12</v>
      </c>
      <c r="BX127" s="5" t="s">
        <v>354</v>
      </c>
    </row>
    <row r="128" spans="1:76" x14ac:dyDescent="0.25">
      <c r="A128" s="2" t="s">
        <v>355</v>
      </c>
      <c r="B128" s="3" t="s">
        <v>356</v>
      </c>
      <c r="C128" s="96" t="s">
        <v>357</v>
      </c>
      <c r="D128" s="91"/>
      <c r="E128" s="3" t="s">
        <v>93</v>
      </c>
      <c r="F128" s="26">
        <v>0</v>
      </c>
      <c r="G128" s="27">
        <v>0</v>
      </c>
      <c r="H128" s="26">
        <f t="shared" si="48"/>
        <v>0</v>
      </c>
      <c r="I128" s="26">
        <f t="shared" si="49"/>
        <v>0</v>
      </c>
      <c r="J128" s="26">
        <f t="shared" si="50"/>
        <v>0</v>
      </c>
      <c r="K128" s="28" t="s">
        <v>57</v>
      </c>
      <c r="Z128" s="26">
        <f t="shared" si="51"/>
        <v>0</v>
      </c>
      <c r="AB128" s="26">
        <f t="shared" si="52"/>
        <v>0</v>
      </c>
      <c r="AC128" s="26">
        <f t="shared" si="53"/>
        <v>0</v>
      </c>
      <c r="AD128" s="26">
        <f t="shared" si="54"/>
        <v>0</v>
      </c>
      <c r="AE128" s="26">
        <f t="shared" si="55"/>
        <v>0</v>
      </c>
      <c r="AF128" s="26">
        <f t="shared" si="56"/>
        <v>0</v>
      </c>
      <c r="AG128" s="26">
        <f t="shared" si="57"/>
        <v>0</v>
      </c>
      <c r="AH128" s="26">
        <f t="shared" si="58"/>
        <v>0</v>
      </c>
      <c r="AI128" s="11" t="s">
        <v>58</v>
      </c>
      <c r="AJ128" s="26">
        <f t="shared" si="59"/>
        <v>0</v>
      </c>
      <c r="AK128" s="26">
        <f t="shared" si="60"/>
        <v>0</v>
      </c>
      <c r="AL128" s="26">
        <f t="shared" si="61"/>
        <v>0</v>
      </c>
      <c r="AN128" s="26">
        <v>12</v>
      </c>
      <c r="AO128" s="26">
        <f>G128*1</f>
        <v>0</v>
      </c>
      <c r="AP128" s="26">
        <f>G128*(1-1)</f>
        <v>0</v>
      </c>
      <c r="AQ128" s="29" t="s">
        <v>90</v>
      </c>
      <c r="AV128" s="26">
        <f t="shared" si="62"/>
        <v>0</v>
      </c>
      <c r="AW128" s="26">
        <f t="shared" si="63"/>
        <v>0</v>
      </c>
      <c r="AX128" s="26">
        <f t="shared" si="64"/>
        <v>0</v>
      </c>
      <c r="AY128" s="29" t="s">
        <v>160</v>
      </c>
      <c r="AZ128" s="29" t="s">
        <v>109</v>
      </c>
      <c r="BA128" s="11" t="s">
        <v>61</v>
      </c>
      <c r="BC128" s="26">
        <f t="shared" si="65"/>
        <v>0</v>
      </c>
      <c r="BD128" s="26">
        <f t="shared" si="66"/>
        <v>0</v>
      </c>
      <c r="BE128" s="26">
        <v>0</v>
      </c>
      <c r="BF128" s="26">
        <f>128</f>
        <v>128</v>
      </c>
      <c r="BH128" s="26">
        <f t="shared" si="67"/>
        <v>0</v>
      </c>
      <c r="BI128" s="26">
        <f t="shared" si="68"/>
        <v>0</v>
      </c>
      <c r="BJ128" s="26">
        <f t="shared" si="69"/>
        <v>0</v>
      </c>
      <c r="BK128" s="26"/>
      <c r="BL128" s="26">
        <v>722</v>
      </c>
      <c r="BW128" s="26">
        <v>12</v>
      </c>
      <c r="BX128" s="5" t="s">
        <v>357</v>
      </c>
    </row>
    <row r="129" spans="1:76" x14ac:dyDescent="0.25">
      <c r="A129" s="2" t="s">
        <v>358</v>
      </c>
      <c r="B129" s="3" t="s">
        <v>359</v>
      </c>
      <c r="C129" s="96" t="s">
        <v>360</v>
      </c>
      <c r="D129" s="91"/>
      <c r="E129" s="3" t="s">
        <v>93</v>
      </c>
      <c r="F129" s="26">
        <v>144</v>
      </c>
      <c r="G129" s="27">
        <v>0</v>
      </c>
      <c r="H129" s="26">
        <f t="shared" si="48"/>
        <v>0</v>
      </c>
      <c r="I129" s="26">
        <f t="shared" si="49"/>
        <v>0</v>
      </c>
      <c r="J129" s="26">
        <f t="shared" si="50"/>
        <v>0</v>
      </c>
      <c r="K129" s="28" t="s">
        <v>65</v>
      </c>
      <c r="Z129" s="26">
        <f t="shared" si="51"/>
        <v>0</v>
      </c>
      <c r="AB129" s="26">
        <f t="shared" si="52"/>
        <v>0</v>
      </c>
      <c r="AC129" s="26">
        <f t="shared" si="53"/>
        <v>0</v>
      </c>
      <c r="AD129" s="26">
        <f t="shared" si="54"/>
        <v>0</v>
      </c>
      <c r="AE129" s="26">
        <f t="shared" si="55"/>
        <v>0</v>
      </c>
      <c r="AF129" s="26">
        <f t="shared" si="56"/>
        <v>0</v>
      </c>
      <c r="AG129" s="26">
        <f t="shared" si="57"/>
        <v>0</v>
      </c>
      <c r="AH129" s="26">
        <f t="shared" si="58"/>
        <v>0</v>
      </c>
      <c r="AI129" s="11" t="s">
        <v>58</v>
      </c>
      <c r="AJ129" s="26">
        <f t="shared" si="59"/>
        <v>0</v>
      </c>
      <c r="AK129" s="26">
        <f t="shared" si="60"/>
        <v>0</v>
      </c>
      <c r="AL129" s="26">
        <f t="shared" si="61"/>
        <v>0</v>
      </c>
      <c r="AN129" s="26">
        <v>12</v>
      </c>
      <c r="AO129" s="26">
        <f>G129*0</f>
        <v>0</v>
      </c>
      <c r="AP129" s="26">
        <f>G129*(1-0)</f>
        <v>0</v>
      </c>
      <c r="AQ129" s="29" t="s">
        <v>90</v>
      </c>
      <c r="AV129" s="26">
        <f t="shared" si="62"/>
        <v>0</v>
      </c>
      <c r="AW129" s="26">
        <f t="shared" si="63"/>
        <v>0</v>
      </c>
      <c r="AX129" s="26">
        <f t="shared" si="64"/>
        <v>0</v>
      </c>
      <c r="AY129" s="29" t="s">
        <v>160</v>
      </c>
      <c r="AZ129" s="29" t="s">
        <v>109</v>
      </c>
      <c r="BA129" s="11" t="s">
        <v>61</v>
      </c>
      <c r="BB129" s="30">
        <v>100002</v>
      </c>
      <c r="BC129" s="26">
        <f t="shared" si="65"/>
        <v>0</v>
      </c>
      <c r="BD129" s="26">
        <f t="shared" si="66"/>
        <v>0</v>
      </c>
      <c r="BE129" s="26">
        <v>0</v>
      </c>
      <c r="BF129" s="26">
        <f>129</f>
        <v>129</v>
      </c>
      <c r="BH129" s="26">
        <f t="shared" si="67"/>
        <v>0</v>
      </c>
      <c r="BI129" s="26">
        <f t="shared" si="68"/>
        <v>0</v>
      </c>
      <c r="BJ129" s="26">
        <f t="shared" si="69"/>
        <v>0</v>
      </c>
      <c r="BK129" s="26"/>
      <c r="BL129" s="26">
        <v>722</v>
      </c>
      <c r="BW129" s="26">
        <v>12</v>
      </c>
      <c r="BX129" s="5" t="s">
        <v>360</v>
      </c>
    </row>
    <row r="130" spans="1:76" x14ac:dyDescent="0.25">
      <c r="A130" s="2" t="s">
        <v>361</v>
      </c>
      <c r="B130" s="3" t="s">
        <v>362</v>
      </c>
      <c r="C130" s="96" t="s">
        <v>363</v>
      </c>
      <c r="D130" s="91"/>
      <c r="E130" s="3" t="s">
        <v>93</v>
      </c>
      <c r="F130" s="26">
        <v>144</v>
      </c>
      <c r="G130" s="27">
        <v>0</v>
      </c>
      <c r="H130" s="26">
        <f t="shared" si="48"/>
        <v>0</v>
      </c>
      <c r="I130" s="26">
        <f t="shared" si="49"/>
        <v>0</v>
      </c>
      <c r="J130" s="26">
        <f t="shared" si="50"/>
        <v>0</v>
      </c>
      <c r="K130" s="28" t="s">
        <v>65</v>
      </c>
      <c r="Z130" s="26">
        <f t="shared" si="51"/>
        <v>0</v>
      </c>
      <c r="AB130" s="26">
        <f t="shared" si="52"/>
        <v>0</v>
      </c>
      <c r="AC130" s="26">
        <f t="shared" si="53"/>
        <v>0</v>
      </c>
      <c r="AD130" s="26">
        <f t="shared" si="54"/>
        <v>0</v>
      </c>
      <c r="AE130" s="26">
        <f t="shared" si="55"/>
        <v>0</v>
      </c>
      <c r="AF130" s="26">
        <f t="shared" si="56"/>
        <v>0</v>
      </c>
      <c r="AG130" s="26">
        <f t="shared" si="57"/>
        <v>0</v>
      </c>
      <c r="AH130" s="26">
        <f t="shared" si="58"/>
        <v>0</v>
      </c>
      <c r="AI130" s="11" t="s">
        <v>58</v>
      </c>
      <c r="AJ130" s="26">
        <f t="shared" si="59"/>
        <v>0</v>
      </c>
      <c r="AK130" s="26">
        <f t="shared" si="60"/>
        <v>0</v>
      </c>
      <c r="AL130" s="26">
        <f t="shared" si="61"/>
        <v>0</v>
      </c>
      <c r="AN130" s="26">
        <v>12</v>
      </c>
      <c r="AO130" s="26">
        <f>G130*0.499308603</f>
        <v>0</v>
      </c>
      <c r="AP130" s="26">
        <f>G130*(1-0.499308603)</f>
        <v>0</v>
      </c>
      <c r="AQ130" s="29" t="s">
        <v>90</v>
      </c>
      <c r="AV130" s="26">
        <f t="shared" si="62"/>
        <v>0</v>
      </c>
      <c r="AW130" s="26">
        <f t="shared" si="63"/>
        <v>0</v>
      </c>
      <c r="AX130" s="26">
        <f t="shared" si="64"/>
        <v>0</v>
      </c>
      <c r="AY130" s="29" t="s">
        <v>160</v>
      </c>
      <c r="AZ130" s="29" t="s">
        <v>109</v>
      </c>
      <c r="BA130" s="11" t="s">
        <v>61</v>
      </c>
      <c r="BB130" s="30">
        <v>100022</v>
      </c>
      <c r="BC130" s="26">
        <f t="shared" si="65"/>
        <v>0</v>
      </c>
      <c r="BD130" s="26">
        <f t="shared" si="66"/>
        <v>0</v>
      </c>
      <c r="BE130" s="26">
        <v>0</v>
      </c>
      <c r="BF130" s="26">
        <f>130</f>
        <v>130</v>
      </c>
      <c r="BH130" s="26">
        <f t="shared" si="67"/>
        <v>0</v>
      </c>
      <c r="BI130" s="26">
        <f t="shared" si="68"/>
        <v>0</v>
      </c>
      <c r="BJ130" s="26">
        <f t="shared" si="69"/>
        <v>0</v>
      </c>
      <c r="BK130" s="26"/>
      <c r="BL130" s="26">
        <v>722</v>
      </c>
      <c r="BW130" s="26">
        <v>12</v>
      </c>
      <c r="BX130" s="5" t="s">
        <v>363</v>
      </c>
    </row>
    <row r="131" spans="1:76" ht="13.5" customHeight="1" x14ac:dyDescent="0.25">
      <c r="A131" s="36"/>
      <c r="B131" s="37" t="s">
        <v>233</v>
      </c>
      <c r="C131" s="118" t="s">
        <v>364</v>
      </c>
      <c r="D131" s="119"/>
      <c r="E131" s="119"/>
      <c r="F131" s="119"/>
      <c r="G131" s="120"/>
      <c r="H131" s="119"/>
      <c r="I131" s="119"/>
      <c r="J131" s="119"/>
      <c r="K131" s="121"/>
    </row>
    <row r="132" spans="1:76" x14ac:dyDescent="0.25">
      <c r="A132" s="2" t="s">
        <v>365</v>
      </c>
      <c r="B132" s="3" t="s">
        <v>54</v>
      </c>
      <c r="C132" s="96" t="s">
        <v>366</v>
      </c>
      <c r="D132" s="91"/>
      <c r="E132" s="3" t="s">
        <v>93</v>
      </c>
      <c r="F132" s="26">
        <v>144</v>
      </c>
      <c r="G132" s="27">
        <v>0</v>
      </c>
      <c r="H132" s="26">
        <f t="shared" ref="H132:H137" si="72">F132*AO132</f>
        <v>0</v>
      </c>
      <c r="I132" s="26">
        <f t="shared" ref="I132:I137" si="73">F132*AP132</f>
        <v>0</v>
      </c>
      <c r="J132" s="26">
        <f t="shared" ref="J132:J137" si="74">F132*G132</f>
        <v>0</v>
      </c>
      <c r="K132" s="28" t="s">
        <v>57</v>
      </c>
      <c r="Z132" s="26">
        <f t="shared" ref="Z132:Z137" si="75">IF(AQ132="5",BJ132,0)</f>
        <v>0</v>
      </c>
      <c r="AB132" s="26">
        <f t="shared" ref="AB132:AB137" si="76">IF(AQ132="1",BH132,0)</f>
        <v>0</v>
      </c>
      <c r="AC132" s="26">
        <f t="shared" ref="AC132:AC137" si="77">IF(AQ132="1",BI132,0)</f>
        <v>0</v>
      </c>
      <c r="AD132" s="26">
        <f t="shared" ref="AD132:AD137" si="78">IF(AQ132="7",BH132,0)</f>
        <v>0</v>
      </c>
      <c r="AE132" s="26">
        <f t="shared" ref="AE132:AE137" si="79">IF(AQ132="7",BI132,0)</f>
        <v>0</v>
      </c>
      <c r="AF132" s="26">
        <f t="shared" ref="AF132:AF137" si="80">IF(AQ132="2",BH132,0)</f>
        <v>0</v>
      </c>
      <c r="AG132" s="26">
        <f t="shared" ref="AG132:AG137" si="81">IF(AQ132="2",BI132,0)</f>
        <v>0</v>
      </c>
      <c r="AH132" s="26">
        <f t="shared" ref="AH132:AH137" si="82">IF(AQ132="0",BJ132,0)</f>
        <v>0</v>
      </c>
      <c r="AI132" s="11" t="s">
        <v>58</v>
      </c>
      <c r="AJ132" s="26">
        <f t="shared" ref="AJ132:AJ137" si="83">IF(AN132=0,J132,0)</f>
        <v>0</v>
      </c>
      <c r="AK132" s="26">
        <f t="shared" ref="AK132:AK137" si="84">IF(AN132=12,J132,0)</f>
        <v>0</v>
      </c>
      <c r="AL132" s="26">
        <f t="shared" ref="AL132:AL137" si="85">IF(AN132=21,J132,0)</f>
        <v>0</v>
      </c>
      <c r="AN132" s="26">
        <v>12</v>
      </c>
      <c r="AO132" s="26">
        <f>G132*1</f>
        <v>0</v>
      </c>
      <c r="AP132" s="26">
        <f>G132*(1-1)</f>
        <v>0</v>
      </c>
      <c r="AQ132" s="29" t="s">
        <v>90</v>
      </c>
      <c r="AV132" s="26">
        <f t="shared" ref="AV132:AV137" si="86">AW132+AX132</f>
        <v>0</v>
      </c>
      <c r="AW132" s="26">
        <f t="shared" ref="AW132:AW137" si="87">F132*AO132</f>
        <v>0</v>
      </c>
      <c r="AX132" s="26">
        <f t="shared" ref="AX132:AX137" si="88">F132*AP132</f>
        <v>0</v>
      </c>
      <c r="AY132" s="29" t="s">
        <v>160</v>
      </c>
      <c r="AZ132" s="29" t="s">
        <v>109</v>
      </c>
      <c r="BA132" s="11" t="s">
        <v>61</v>
      </c>
      <c r="BC132" s="26">
        <f t="shared" ref="BC132:BC137" si="89">AW132+AX132</f>
        <v>0</v>
      </c>
      <c r="BD132" s="26">
        <f t="shared" ref="BD132:BD137" si="90">G132/(100-BE132)*100</f>
        <v>0</v>
      </c>
      <c r="BE132" s="26">
        <v>0</v>
      </c>
      <c r="BF132" s="26">
        <f>132</f>
        <v>132</v>
      </c>
      <c r="BH132" s="26">
        <f t="shared" ref="BH132:BH137" si="91">F132*AO132</f>
        <v>0</v>
      </c>
      <c r="BI132" s="26">
        <f t="shared" ref="BI132:BI137" si="92">F132*AP132</f>
        <v>0</v>
      </c>
      <c r="BJ132" s="26">
        <f t="shared" ref="BJ132:BJ137" si="93">F132*G132</f>
        <v>0</v>
      </c>
      <c r="BK132" s="26"/>
      <c r="BL132" s="26">
        <v>722</v>
      </c>
      <c r="BW132" s="26">
        <v>12</v>
      </c>
      <c r="BX132" s="5" t="s">
        <v>366</v>
      </c>
    </row>
    <row r="133" spans="1:76" x14ac:dyDescent="0.25">
      <c r="A133" s="2" t="s">
        <v>367</v>
      </c>
      <c r="B133" s="3" t="s">
        <v>368</v>
      </c>
      <c r="C133" s="96" t="s">
        <v>369</v>
      </c>
      <c r="D133" s="91"/>
      <c r="E133" s="3" t="s">
        <v>69</v>
      </c>
      <c r="F133" s="26">
        <v>1474.94</v>
      </c>
      <c r="G133" s="27">
        <v>0</v>
      </c>
      <c r="H133" s="26">
        <f t="shared" si="72"/>
        <v>0</v>
      </c>
      <c r="I133" s="26">
        <f t="shared" si="73"/>
        <v>0</v>
      </c>
      <c r="J133" s="26">
        <f t="shared" si="74"/>
        <v>0</v>
      </c>
      <c r="K133" s="28" t="s">
        <v>65</v>
      </c>
      <c r="Z133" s="26">
        <f t="shared" si="75"/>
        <v>0</v>
      </c>
      <c r="AB133" s="26">
        <f t="shared" si="76"/>
        <v>0</v>
      </c>
      <c r="AC133" s="26">
        <f t="shared" si="77"/>
        <v>0</v>
      </c>
      <c r="AD133" s="26">
        <f t="shared" si="78"/>
        <v>0</v>
      </c>
      <c r="AE133" s="26">
        <f t="shared" si="79"/>
        <v>0</v>
      </c>
      <c r="AF133" s="26">
        <f t="shared" si="80"/>
        <v>0</v>
      </c>
      <c r="AG133" s="26">
        <f t="shared" si="81"/>
        <v>0</v>
      </c>
      <c r="AH133" s="26">
        <f t="shared" si="82"/>
        <v>0</v>
      </c>
      <c r="AI133" s="11" t="s">
        <v>58</v>
      </c>
      <c r="AJ133" s="26">
        <f t="shared" si="83"/>
        <v>0</v>
      </c>
      <c r="AK133" s="26">
        <f t="shared" si="84"/>
        <v>0</v>
      </c>
      <c r="AL133" s="26">
        <f t="shared" si="85"/>
        <v>0</v>
      </c>
      <c r="AN133" s="26">
        <v>12</v>
      </c>
      <c r="AO133" s="26">
        <f>G133*0.014893618</f>
        <v>0</v>
      </c>
      <c r="AP133" s="26">
        <f>G133*(1-0.014893618)</f>
        <v>0</v>
      </c>
      <c r="AQ133" s="29" t="s">
        <v>90</v>
      </c>
      <c r="AV133" s="26">
        <f t="shared" si="86"/>
        <v>0</v>
      </c>
      <c r="AW133" s="26">
        <f t="shared" si="87"/>
        <v>0</v>
      </c>
      <c r="AX133" s="26">
        <f t="shared" si="88"/>
        <v>0</v>
      </c>
      <c r="AY133" s="29" t="s">
        <v>160</v>
      </c>
      <c r="AZ133" s="29" t="s">
        <v>109</v>
      </c>
      <c r="BA133" s="11" t="s">
        <v>61</v>
      </c>
      <c r="BB133" s="30">
        <v>100002</v>
      </c>
      <c r="BC133" s="26">
        <f t="shared" si="89"/>
        <v>0</v>
      </c>
      <c r="BD133" s="26">
        <f t="shared" si="90"/>
        <v>0</v>
      </c>
      <c r="BE133" s="26">
        <v>0</v>
      </c>
      <c r="BF133" s="26">
        <f>133</f>
        <v>133</v>
      </c>
      <c r="BH133" s="26">
        <f t="shared" si="91"/>
        <v>0</v>
      </c>
      <c r="BI133" s="26">
        <f t="shared" si="92"/>
        <v>0</v>
      </c>
      <c r="BJ133" s="26">
        <f t="shared" si="93"/>
        <v>0</v>
      </c>
      <c r="BK133" s="26"/>
      <c r="BL133" s="26">
        <v>722</v>
      </c>
      <c r="BW133" s="26">
        <v>12</v>
      </c>
      <c r="BX133" s="5" t="s">
        <v>369</v>
      </c>
    </row>
    <row r="134" spans="1:76" x14ac:dyDescent="0.25">
      <c r="A134" s="2" t="s">
        <v>370</v>
      </c>
      <c r="B134" s="3" t="s">
        <v>371</v>
      </c>
      <c r="C134" s="96" t="s">
        <v>372</v>
      </c>
      <c r="D134" s="91"/>
      <c r="E134" s="3" t="s">
        <v>69</v>
      </c>
      <c r="F134" s="26">
        <v>1474.94</v>
      </c>
      <c r="G134" s="27">
        <v>0</v>
      </c>
      <c r="H134" s="26">
        <f t="shared" si="72"/>
        <v>0</v>
      </c>
      <c r="I134" s="26">
        <f t="shared" si="73"/>
        <v>0</v>
      </c>
      <c r="J134" s="26">
        <f t="shared" si="74"/>
        <v>0</v>
      </c>
      <c r="K134" s="28" t="s">
        <v>65</v>
      </c>
      <c r="Z134" s="26">
        <f t="shared" si="75"/>
        <v>0</v>
      </c>
      <c r="AB134" s="26">
        <f t="shared" si="76"/>
        <v>0</v>
      </c>
      <c r="AC134" s="26">
        <f t="shared" si="77"/>
        <v>0</v>
      </c>
      <c r="AD134" s="26">
        <f t="shared" si="78"/>
        <v>0</v>
      </c>
      <c r="AE134" s="26">
        <f t="shared" si="79"/>
        <v>0</v>
      </c>
      <c r="AF134" s="26">
        <f t="shared" si="80"/>
        <v>0</v>
      </c>
      <c r="AG134" s="26">
        <f t="shared" si="81"/>
        <v>0</v>
      </c>
      <c r="AH134" s="26">
        <f t="shared" si="82"/>
        <v>0</v>
      </c>
      <c r="AI134" s="11" t="s">
        <v>58</v>
      </c>
      <c r="AJ134" s="26">
        <f t="shared" si="83"/>
        <v>0</v>
      </c>
      <c r="AK134" s="26">
        <f t="shared" si="84"/>
        <v>0</v>
      </c>
      <c r="AL134" s="26">
        <f t="shared" si="85"/>
        <v>0</v>
      </c>
      <c r="AN134" s="26">
        <v>12</v>
      </c>
      <c r="AO134" s="26">
        <f>G134*0.051682696</f>
        <v>0</v>
      </c>
      <c r="AP134" s="26">
        <f>G134*(1-0.051682696)</f>
        <v>0</v>
      </c>
      <c r="AQ134" s="29" t="s">
        <v>90</v>
      </c>
      <c r="AV134" s="26">
        <f t="shared" si="86"/>
        <v>0</v>
      </c>
      <c r="AW134" s="26">
        <f t="shared" si="87"/>
        <v>0</v>
      </c>
      <c r="AX134" s="26">
        <f t="shared" si="88"/>
        <v>0</v>
      </c>
      <c r="AY134" s="29" t="s">
        <v>160</v>
      </c>
      <c r="AZ134" s="29" t="s">
        <v>109</v>
      </c>
      <c r="BA134" s="11" t="s">
        <v>61</v>
      </c>
      <c r="BB134" s="30">
        <v>100002</v>
      </c>
      <c r="BC134" s="26">
        <f t="shared" si="89"/>
        <v>0</v>
      </c>
      <c r="BD134" s="26">
        <f t="shared" si="90"/>
        <v>0</v>
      </c>
      <c r="BE134" s="26">
        <v>0</v>
      </c>
      <c r="BF134" s="26">
        <f>134</f>
        <v>134</v>
      </c>
      <c r="BH134" s="26">
        <f t="shared" si="91"/>
        <v>0</v>
      </c>
      <c r="BI134" s="26">
        <f t="shared" si="92"/>
        <v>0</v>
      </c>
      <c r="BJ134" s="26">
        <f t="shared" si="93"/>
        <v>0</v>
      </c>
      <c r="BK134" s="26"/>
      <c r="BL134" s="26">
        <v>722</v>
      </c>
      <c r="BW134" s="26">
        <v>12</v>
      </c>
      <c r="BX134" s="5" t="s">
        <v>372</v>
      </c>
    </row>
    <row r="135" spans="1:76" x14ac:dyDescent="0.25">
      <c r="A135" s="2" t="s">
        <v>373</v>
      </c>
      <c r="B135" s="3" t="s">
        <v>374</v>
      </c>
      <c r="C135" s="96" t="s">
        <v>375</v>
      </c>
      <c r="D135" s="91"/>
      <c r="E135" s="3" t="s">
        <v>102</v>
      </c>
      <c r="F135" s="26">
        <v>0.88470000000000004</v>
      </c>
      <c r="G135" s="27">
        <v>0</v>
      </c>
      <c r="H135" s="26">
        <f t="shared" si="72"/>
        <v>0</v>
      </c>
      <c r="I135" s="26">
        <f t="shared" si="73"/>
        <v>0</v>
      </c>
      <c r="J135" s="26">
        <f t="shared" si="74"/>
        <v>0</v>
      </c>
      <c r="K135" s="28" t="s">
        <v>65</v>
      </c>
      <c r="Z135" s="26">
        <f t="shared" si="75"/>
        <v>0</v>
      </c>
      <c r="AB135" s="26">
        <f t="shared" si="76"/>
        <v>0</v>
      </c>
      <c r="AC135" s="26">
        <f t="shared" si="77"/>
        <v>0</v>
      </c>
      <c r="AD135" s="26">
        <f t="shared" si="78"/>
        <v>0</v>
      </c>
      <c r="AE135" s="26">
        <f t="shared" si="79"/>
        <v>0</v>
      </c>
      <c r="AF135" s="26">
        <f t="shared" si="80"/>
        <v>0</v>
      </c>
      <c r="AG135" s="26">
        <f t="shared" si="81"/>
        <v>0</v>
      </c>
      <c r="AH135" s="26">
        <f t="shared" si="82"/>
        <v>0</v>
      </c>
      <c r="AI135" s="11" t="s">
        <v>58</v>
      </c>
      <c r="AJ135" s="26">
        <f t="shared" si="83"/>
        <v>0</v>
      </c>
      <c r="AK135" s="26">
        <f t="shared" si="84"/>
        <v>0</v>
      </c>
      <c r="AL135" s="26">
        <f t="shared" si="85"/>
        <v>0</v>
      </c>
      <c r="AN135" s="26">
        <v>12</v>
      </c>
      <c r="AO135" s="26">
        <f>G135*0</f>
        <v>0</v>
      </c>
      <c r="AP135" s="26">
        <f>G135*(1-0)</f>
        <v>0</v>
      </c>
      <c r="AQ135" s="29" t="s">
        <v>90</v>
      </c>
      <c r="AV135" s="26">
        <f t="shared" si="86"/>
        <v>0</v>
      </c>
      <c r="AW135" s="26">
        <f t="shared" si="87"/>
        <v>0</v>
      </c>
      <c r="AX135" s="26">
        <f t="shared" si="88"/>
        <v>0</v>
      </c>
      <c r="AY135" s="29" t="s">
        <v>160</v>
      </c>
      <c r="AZ135" s="29" t="s">
        <v>109</v>
      </c>
      <c r="BA135" s="11" t="s">
        <v>61</v>
      </c>
      <c r="BB135" s="30">
        <v>100002</v>
      </c>
      <c r="BC135" s="26">
        <f t="shared" si="89"/>
        <v>0</v>
      </c>
      <c r="BD135" s="26">
        <f t="shared" si="90"/>
        <v>0</v>
      </c>
      <c r="BE135" s="26">
        <v>0</v>
      </c>
      <c r="BF135" s="26">
        <f>135</f>
        <v>135</v>
      </c>
      <c r="BH135" s="26">
        <f t="shared" si="91"/>
        <v>0</v>
      </c>
      <c r="BI135" s="26">
        <f t="shared" si="92"/>
        <v>0</v>
      </c>
      <c r="BJ135" s="26">
        <f t="shared" si="93"/>
        <v>0</v>
      </c>
      <c r="BK135" s="26"/>
      <c r="BL135" s="26">
        <v>722</v>
      </c>
      <c r="BW135" s="26">
        <v>12</v>
      </c>
      <c r="BX135" s="5" t="s">
        <v>375</v>
      </c>
    </row>
    <row r="136" spans="1:76" x14ac:dyDescent="0.25">
      <c r="A136" s="2" t="s">
        <v>376</v>
      </c>
      <c r="B136" s="3" t="s">
        <v>54</v>
      </c>
      <c r="C136" s="96" t="s">
        <v>377</v>
      </c>
      <c r="D136" s="91"/>
      <c r="E136" s="3" t="s">
        <v>93</v>
      </c>
      <c r="F136" s="26">
        <v>1</v>
      </c>
      <c r="G136" s="27">
        <v>0</v>
      </c>
      <c r="H136" s="26">
        <f t="shared" si="72"/>
        <v>0</v>
      </c>
      <c r="I136" s="26">
        <f t="shared" si="73"/>
        <v>0</v>
      </c>
      <c r="J136" s="26">
        <f t="shared" si="74"/>
        <v>0</v>
      </c>
      <c r="K136" s="28" t="s">
        <v>57</v>
      </c>
      <c r="Z136" s="26">
        <f t="shared" si="75"/>
        <v>0</v>
      </c>
      <c r="AB136" s="26">
        <f t="shared" si="76"/>
        <v>0</v>
      </c>
      <c r="AC136" s="26">
        <f t="shared" si="77"/>
        <v>0</v>
      </c>
      <c r="AD136" s="26">
        <f t="shared" si="78"/>
        <v>0</v>
      </c>
      <c r="AE136" s="26">
        <f t="shared" si="79"/>
        <v>0</v>
      </c>
      <c r="AF136" s="26">
        <f t="shared" si="80"/>
        <v>0</v>
      </c>
      <c r="AG136" s="26">
        <f t="shared" si="81"/>
        <v>0</v>
      </c>
      <c r="AH136" s="26">
        <f t="shared" si="82"/>
        <v>0</v>
      </c>
      <c r="AI136" s="11" t="s">
        <v>58</v>
      </c>
      <c r="AJ136" s="26">
        <f t="shared" si="83"/>
        <v>0</v>
      </c>
      <c r="AK136" s="26">
        <f t="shared" si="84"/>
        <v>0</v>
      </c>
      <c r="AL136" s="26">
        <f t="shared" si="85"/>
        <v>0</v>
      </c>
      <c r="AN136" s="26">
        <v>12</v>
      </c>
      <c r="AO136" s="26">
        <f>G136*0</f>
        <v>0</v>
      </c>
      <c r="AP136" s="26">
        <f>G136*(1-0)</f>
        <v>0</v>
      </c>
      <c r="AQ136" s="29" t="s">
        <v>90</v>
      </c>
      <c r="AV136" s="26">
        <f t="shared" si="86"/>
        <v>0</v>
      </c>
      <c r="AW136" s="26">
        <f t="shared" si="87"/>
        <v>0</v>
      </c>
      <c r="AX136" s="26">
        <f t="shared" si="88"/>
        <v>0</v>
      </c>
      <c r="AY136" s="29" t="s">
        <v>160</v>
      </c>
      <c r="AZ136" s="29" t="s">
        <v>109</v>
      </c>
      <c r="BA136" s="11" t="s">
        <v>61</v>
      </c>
      <c r="BB136" s="30">
        <v>100002</v>
      </c>
      <c r="BC136" s="26">
        <f t="shared" si="89"/>
        <v>0</v>
      </c>
      <c r="BD136" s="26">
        <f t="shared" si="90"/>
        <v>0</v>
      </c>
      <c r="BE136" s="26">
        <v>0</v>
      </c>
      <c r="BF136" s="26">
        <f>136</f>
        <v>136</v>
      </c>
      <c r="BH136" s="26">
        <f t="shared" si="91"/>
        <v>0</v>
      </c>
      <c r="BI136" s="26">
        <f t="shared" si="92"/>
        <v>0</v>
      </c>
      <c r="BJ136" s="26">
        <f t="shared" si="93"/>
        <v>0</v>
      </c>
      <c r="BK136" s="26"/>
      <c r="BL136" s="26">
        <v>722</v>
      </c>
      <c r="BW136" s="26">
        <v>12</v>
      </c>
      <c r="BX136" s="5" t="s">
        <v>377</v>
      </c>
    </row>
    <row r="137" spans="1:76" x14ac:dyDescent="0.25">
      <c r="A137" s="2" t="s">
        <v>378</v>
      </c>
      <c r="B137" s="3" t="s">
        <v>379</v>
      </c>
      <c r="C137" s="96" t="s">
        <v>380</v>
      </c>
      <c r="D137" s="91"/>
      <c r="E137" s="3" t="s">
        <v>102</v>
      </c>
      <c r="F137" s="26">
        <v>3.7170100000000001</v>
      </c>
      <c r="G137" s="27">
        <v>0</v>
      </c>
      <c r="H137" s="26">
        <f t="shared" si="72"/>
        <v>0</v>
      </c>
      <c r="I137" s="26">
        <f t="shared" si="73"/>
        <v>0</v>
      </c>
      <c r="J137" s="26">
        <f t="shared" si="74"/>
        <v>0</v>
      </c>
      <c r="K137" s="28" t="s">
        <v>65</v>
      </c>
      <c r="Z137" s="26">
        <f t="shared" si="75"/>
        <v>0</v>
      </c>
      <c r="AB137" s="26">
        <f t="shared" si="76"/>
        <v>0</v>
      </c>
      <c r="AC137" s="26">
        <f t="shared" si="77"/>
        <v>0</v>
      </c>
      <c r="AD137" s="26">
        <f t="shared" si="78"/>
        <v>0</v>
      </c>
      <c r="AE137" s="26">
        <f t="shared" si="79"/>
        <v>0</v>
      </c>
      <c r="AF137" s="26">
        <f t="shared" si="80"/>
        <v>0</v>
      </c>
      <c r="AG137" s="26">
        <f t="shared" si="81"/>
        <v>0</v>
      </c>
      <c r="AH137" s="26">
        <f t="shared" si="82"/>
        <v>0</v>
      </c>
      <c r="AI137" s="11" t="s">
        <v>58</v>
      </c>
      <c r="AJ137" s="26">
        <f t="shared" si="83"/>
        <v>0</v>
      </c>
      <c r="AK137" s="26">
        <f t="shared" si="84"/>
        <v>0</v>
      </c>
      <c r="AL137" s="26">
        <f t="shared" si="85"/>
        <v>0</v>
      </c>
      <c r="AN137" s="26">
        <v>12</v>
      </c>
      <c r="AO137" s="26">
        <f>G137*0</f>
        <v>0</v>
      </c>
      <c r="AP137" s="26">
        <f>G137*(1-0)</f>
        <v>0</v>
      </c>
      <c r="AQ137" s="29" t="s">
        <v>80</v>
      </c>
      <c r="AV137" s="26">
        <f t="shared" si="86"/>
        <v>0</v>
      </c>
      <c r="AW137" s="26">
        <f t="shared" si="87"/>
        <v>0</v>
      </c>
      <c r="AX137" s="26">
        <f t="shared" si="88"/>
        <v>0</v>
      </c>
      <c r="AY137" s="29" t="s">
        <v>160</v>
      </c>
      <c r="AZ137" s="29" t="s">
        <v>109</v>
      </c>
      <c r="BA137" s="11" t="s">
        <v>61</v>
      </c>
      <c r="BB137" s="30">
        <v>100002</v>
      </c>
      <c r="BC137" s="26">
        <f t="shared" si="89"/>
        <v>0</v>
      </c>
      <c r="BD137" s="26">
        <f t="shared" si="90"/>
        <v>0</v>
      </c>
      <c r="BE137" s="26">
        <v>0</v>
      </c>
      <c r="BF137" s="26">
        <f>137</f>
        <v>137</v>
      </c>
      <c r="BH137" s="26">
        <f t="shared" si="91"/>
        <v>0</v>
      </c>
      <c r="BI137" s="26">
        <f t="shared" si="92"/>
        <v>0</v>
      </c>
      <c r="BJ137" s="26">
        <f t="shared" si="93"/>
        <v>0</v>
      </c>
      <c r="BK137" s="26"/>
      <c r="BL137" s="26">
        <v>722</v>
      </c>
      <c r="BW137" s="26">
        <v>12</v>
      </c>
      <c r="BX137" s="5" t="s">
        <v>380</v>
      </c>
    </row>
    <row r="138" spans="1:76" x14ac:dyDescent="0.25">
      <c r="A138" s="31" t="s">
        <v>50</v>
      </c>
      <c r="B138" s="32" t="s">
        <v>381</v>
      </c>
      <c r="C138" s="116" t="s">
        <v>382</v>
      </c>
      <c r="D138" s="117"/>
      <c r="E138" s="33" t="s">
        <v>4</v>
      </c>
      <c r="F138" s="33" t="s">
        <v>4</v>
      </c>
      <c r="G138" s="34" t="s">
        <v>4</v>
      </c>
      <c r="H138" s="1">
        <f>SUM(H139:H143)</f>
        <v>0</v>
      </c>
      <c r="I138" s="1">
        <f>SUM(I139:I143)</f>
        <v>0</v>
      </c>
      <c r="J138" s="1">
        <f>SUM(J139:J143)</f>
        <v>0</v>
      </c>
      <c r="K138" s="35" t="s">
        <v>50</v>
      </c>
      <c r="AI138" s="11" t="s">
        <v>50</v>
      </c>
      <c r="AS138" s="1">
        <f>SUM(AJ139:AJ143)</f>
        <v>0</v>
      </c>
      <c r="AT138" s="1">
        <f>SUM(AK139:AK143)</f>
        <v>0</v>
      </c>
      <c r="AU138" s="1">
        <f>SUM(AL139:AL143)</f>
        <v>0</v>
      </c>
    </row>
    <row r="139" spans="1:76" x14ac:dyDescent="0.25">
      <c r="A139" s="2" t="s">
        <v>383</v>
      </c>
      <c r="B139" s="3" t="s">
        <v>384</v>
      </c>
      <c r="C139" s="96" t="s">
        <v>385</v>
      </c>
      <c r="D139" s="91"/>
      <c r="E139" s="3" t="s">
        <v>324</v>
      </c>
      <c r="F139" s="26">
        <v>72</v>
      </c>
      <c r="G139" s="27">
        <v>0</v>
      </c>
      <c r="H139" s="26">
        <f>F139*AO139</f>
        <v>0</v>
      </c>
      <c r="I139" s="26">
        <f>F139*AP139</f>
        <v>0</v>
      </c>
      <c r="J139" s="26">
        <f>F139*G139</f>
        <v>0</v>
      </c>
      <c r="K139" s="28" t="s">
        <v>65</v>
      </c>
      <c r="Z139" s="26">
        <f>IF(AQ139="5",BJ139,0)</f>
        <v>0</v>
      </c>
      <c r="AB139" s="26">
        <f>IF(AQ139="1",BH139,0)</f>
        <v>0</v>
      </c>
      <c r="AC139" s="26">
        <f>IF(AQ139="1",BI139,0)</f>
        <v>0</v>
      </c>
      <c r="AD139" s="26">
        <f>IF(AQ139="7",BH139,0)</f>
        <v>0</v>
      </c>
      <c r="AE139" s="26">
        <f>IF(AQ139="7",BI139,0)</f>
        <v>0</v>
      </c>
      <c r="AF139" s="26">
        <f>IF(AQ139="2",BH139,0)</f>
        <v>0</v>
      </c>
      <c r="AG139" s="26">
        <f>IF(AQ139="2",BI139,0)</f>
        <v>0</v>
      </c>
      <c r="AH139" s="26">
        <f>IF(AQ139="0",BJ139,0)</f>
        <v>0</v>
      </c>
      <c r="AI139" s="11" t="s">
        <v>58</v>
      </c>
      <c r="AJ139" s="26">
        <f>IF(AN139=0,J139,0)</f>
        <v>0</v>
      </c>
      <c r="AK139" s="26">
        <f>IF(AN139=12,J139,0)</f>
        <v>0</v>
      </c>
      <c r="AL139" s="26">
        <f>IF(AN139=21,J139,0)</f>
        <v>0</v>
      </c>
      <c r="AN139" s="26">
        <v>12</v>
      </c>
      <c r="AO139" s="26">
        <f>G139*0</f>
        <v>0</v>
      </c>
      <c r="AP139" s="26">
        <f>G139*(1-0)</f>
        <v>0</v>
      </c>
      <c r="AQ139" s="29" t="s">
        <v>90</v>
      </c>
      <c r="AV139" s="26">
        <f>AW139+AX139</f>
        <v>0</v>
      </c>
      <c r="AW139" s="26">
        <f>F139*AO139</f>
        <v>0</v>
      </c>
      <c r="AX139" s="26">
        <f>F139*AP139</f>
        <v>0</v>
      </c>
      <c r="AY139" s="29" t="s">
        <v>386</v>
      </c>
      <c r="AZ139" s="29" t="s">
        <v>109</v>
      </c>
      <c r="BA139" s="11" t="s">
        <v>61</v>
      </c>
      <c r="BB139" s="30">
        <v>100004</v>
      </c>
      <c r="BC139" s="26">
        <f>AW139+AX139</f>
        <v>0</v>
      </c>
      <c r="BD139" s="26">
        <f>G139/(100-BE139)*100</f>
        <v>0</v>
      </c>
      <c r="BE139" s="26">
        <v>0</v>
      </c>
      <c r="BF139" s="26">
        <f>139</f>
        <v>139</v>
      </c>
      <c r="BH139" s="26">
        <f>F139*AO139</f>
        <v>0</v>
      </c>
      <c r="BI139" s="26">
        <f>F139*AP139</f>
        <v>0</v>
      </c>
      <c r="BJ139" s="26">
        <f>F139*G139</f>
        <v>0</v>
      </c>
      <c r="BK139" s="26"/>
      <c r="BL139" s="26">
        <v>725</v>
      </c>
      <c r="BW139" s="26">
        <v>12</v>
      </c>
      <c r="BX139" s="5" t="s">
        <v>385</v>
      </c>
    </row>
    <row r="140" spans="1:76" x14ac:dyDescent="0.25">
      <c r="A140" s="2" t="s">
        <v>387</v>
      </c>
      <c r="B140" s="3" t="s">
        <v>388</v>
      </c>
      <c r="C140" s="96" t="s">
        <v>389</v>
      </c>
      <c r="D140" s="91"/>
      <c r="E140" s="3" t="s">
        <v>93</v>
      </c>
      <c r="F140" s="26">
        <v>72</v>
      </c>
      <c r="G140" s="27">
        <v>0</v>
      </c>
      <c r="H140" s="26">
        <f>F140*AO140</f>
        <v>0</v>
      </c>
      <c r="I140" s="26">
        <f>F140*AP140</f>
        <v>0</v>
      </c>
      <c r="J140" s="26">
        <f>F140*G140</f>
        <v>0</v>
      </c>
      <c r="K140" s="28" t="s">
        <v>65</v>
      </c>
      <c r="Z140" s="26">
        <f>IF(AQ140="5",BJ140,0)</f>
        <v>0</v>
      </c>
      <c r="AB140" s="26">
        <f>IF(AQ140="1",BH140,0)</f>
        <v>0</v>
      </c>
      <c r="AC140" s="26">
        <f>IF(AQ140="1",BI140,0)</f>
        <v>0</v>
      </c>
      <c r="AD140" s="26">
        <f>IF(AQ140="7",BH140,0)</f>
        <v>0</v>
      </c>
      <c r="AE140" s="26">
        <f>IF(AQ140="7",BI140,0)</f>
        <v>0</v>
      </c>
      <c r="AF140" s="26">
        <f>IF(AQ140="2",BH140,0)</f>
        <v>0</v>
      </c>
      <c r="AG140" s="26">
        <f>IF(AQ140="2",BI140,0)</f>
        <v>0</v>
      </c>
      <c r="AH140" s="26">
        <f>IF(AQ140="0",BJ140,0)</f>
        <v>0</v>
      </c>
      <c r="AI140" s="11" t="s">
        <v>58</v>
      </c>
      <c r="AJ140" s="26">
        <f>IF(AN140=0,J140,0)</f>
        <v>0</v>
      </c>
      <c r="AK140" s="26">
        <f>IF(AN140=12,J140,0)</f>
        <v>0</v>
      </c>
      <c r="AL140" s="26">
        <f>IF(AN140=21,J140,0)</f>
        <v>0</v>
      </c>
      <c r="AN140" s="26">
        <v>12</v>
      </c>
      <c r="AO140" s="26">
        <f>G140*0.306686666</f>
        <v>0</v>
      </c>
      <c r="AP140" s="26">
        <f>G140*(1-0.306686666)</f>
        <v>0</v>
      </c>
      <c r="AQ140" s="29" t="s">
        <v>90</v>
      </c>
      <c r="AV140" s="26">
        <f>AW140+AX140</f>
        <v>0</v>
      </c>
      <c r="AW140" s="26">
        <f>F140*AO140</f>
        <v>0</v>
      </c>
      <c r="AX140" s="26">
        <f>F140*AP140</f>
        <v>0</v>
      </c>
      <c r="AY140" s="29" t="s">
        <v>386</v>
      </c>
      <c r="AZ140" s="29" t="s">
        <v>109</v>
      </c>
      <c r="BA140" s="11" t="s">
        <v>61</v>
      </c>
      <c r="BB140" s="30">
        <v>100004</v>
      </c>
      <c r="BC140" s="26">
        <f>AW140+AX140</f>
        <v>0</v>
      </c>
      <c r="BD140" s="26">
        <f>G140/(100-BE140)*100</f>
        <v>0</v>
      </c>
      <c r="BE140" s="26">
        <v>0</v>
      </c>
      <c r="BF140" s="26">
        <f>140</f>
        <v>140</v>
      </c>
      <c r="BH140" s="26">
        <f>F140*AO140</f>
        <v>0</v>
      </c>
      <c r="BI140" s="26">
        <f>F140*AP140</f>
        <v>0</v>
      </c>
      <c r="BJ140" s="26">
        <f>F140*G140</f>
        <v>0</v>
      </c>
      <c r="BK140" s="26"/>
      <c r="BL140" s="26">
        <v>725</v>
      </c>
      <c r="BW140" s="26">
        <v>12</v>
      </c>
      <c r="BX140" s="5" t="s">
        <v>389</v>
      </c>
    </row>
    <row r="141" spans="1:76" x14ac:dyDescent="0.25">
      <c r="A141" s="2" t="s">
        <v>390</v>
      </c>
      <c r="B141" s="3" t="s">
        <v>391</v>
      </c>
      <c r="C141" s="96" t="s">
        <v>392</v>
      </c>
      <c r="D141" s="91"/>
      <c r="E141" s="3" t="s">
        <v>324</v>
      </c>
      <c r="F141" s="26">
        <v>360</v>
      </c>
      <c r="G141" s="27">
        <v>0</v>
      </c>
      <c r="H141" s="26">
        <f>F141*AO141</f>
        <v>0</v>
      </c>
      <c r="I141" s="26">
        <f>F141*AP141</f>
        <v>0</v>
      </c>
      <c r="J141" s="26">
        <f>F141*G141</f>
        <v>0</v>
      </c>
      <c r="K141" s="28" t="s">
        <v>65</v>
      </c>
      <c r="Z141" s="26">
        <f>IF(AQ141="5",BJ141,0)</f>
        <v>0</v>
      </c>
      <c r="AB141" s="26">
        <f>IF(AQ141="1",BH141,0)</f>
        <v>0</v>
      </c>
      <c r="AC141" s="26">
        <f>IF(AQ141="1",BI141,0)</f>
        <v>0</v>
      </c>
      <c r="AD141" s="26">
        <f>IF(AQ141="7",BH141,0)</f>
        <v>0</v>
      </c>
      <c r="AE141" s="26">
        <f>IF(AQ141="7",BI141,0)</f>
        <v>0</v>
      </c>
      <c r="AF141" s="26">
        <f>IF(AQ141="2",BH141,0)</f>
        <v>0</v>
      </c>
      <c r="AG141" s="26">
        <f>IF(AQ141="2",BI141,0)</f>
        <v>0</v>
      </c>
      <c r="AH141" s="26">
        <f>IF(AQ141="0",BJ141,0)</f>
        <v>0</v>
      </c>
      <c r="AI141" s="11" t="s">
        <v>58</v>
      </c>
      <c r="AJ141" s="26">
        <f>IF(AN141=0,J141,0)</f>
        <v>0</v>
      </c>
      <c r="AK141" s="26">
        <f>IF(AN141=12,J141,0)</f>
        <v>0</v>
      </c>
      <c r="AL141" s="26">
        <f>IF(AN141=21,J141,0)</f>
        <v>0</v>
      </c>
      <c r="AN141" s="26">
        <v>12</v>
      </c>
      <c r="AO141" s="26">
        <f>G141*0.750506329</f>
        <v>0</v>
      </c>
      <c r="AP141" s="26">
        <f>G141*(1-0.750506329)</f>
        <v>0</v>
      </c>
      <c r="AQ141" s="29" t="s">
        <v>90</v>
      </c>
      <c r="AV141" s="26">
        <f>AW141+AX141</f>
        <v>0</v>
      </c>
      <c r="AW141" s="26">
        <f>F141*AO141</f>
        <v>0</v>
      </c>
      <c r="AX141" s="26">
        <f>F141*AP141</f>
        <v>0</v>
      </c>
      <c r="AY141" s="29" t="s">
        <v>386</v>
      </c>
      <c r="AZ141" s="29" t="s">
        <v>109</v>
      </c>
      <c r="BA141" s="11" t="s">
        <v>61</v>
      </c>
      <c r="BB141" s="30">
        <v>100004</v>
      </c>
      <c r="BC141" s="26">
        <f>AW141+AX141</f>
        <v>0</v>
      </c>
      <c r="BD141" s="26">
        <f>G141/(100-BE141)*100</f>
        <v>0</v>
      </c>
      <c r="BE141" s="26">
        <v>0</v>
      </c>
      <c r="BF141" s="26">
        <f>141</f>
        <v>141</v>
      </c>
      <c r="BH141" s="26">
        <f>F141*AO141</f>
        <v>0</v>
      </c>
      <c r="BI141" s="26">
        <f>F141*AP141</f>
        <v>0</v>
      </c>
      <c r="BJ141" s="26">
        <f>F141*G141</f>
        <v>0</v>
      </c>
      <c r="BK141" s="26"/>
      <c r="BL141" s="26">
        <v>725</v>
      </c>
      <c r="BW141" s="26">
        <v>12</v>
      </c>
      <c r="BX141" s="5" t="s">
        <v>392</v>
      </c>
    </row>
    <row r="142" spans="1:76" x14ac:dyDescent="0.25">
      <c r="A142" s="2" t="s">
        <v>393</v>
      </c>
      <c r="B142" s="3" t="s">
        <v>394</v>
      </c>
      <c r="C142" s="96" t="s">
        <v>395</v>
      </c>
      <c r="D142" s="91"/>
      <c r="E142" s="3" t="s">
        <v>324</v>
      </c>
      <c r="F142" s="26">
        <v>120</v>
      </c>
      <c r="G142" s="27">
        <v>0</v>
      </c>
      <c r="H142" s="26">
        <f>F142*AO142</f>
        <v>0</v>
      </c>
      <c r="I142" s="26">
        <f>F142*AP142</f>
        <v>0</v>
      </c>
      <c r="J142" s="26">
        <f>F142*G142</f>
        <v>0</v>
      </c>
      <c r="K142" s="28" t="s">
        <v>65</v>
      </c>
      <c r="Z142" s="26">
        <f>IF(AQ142="5",BJ142,0)</f>
        <v>0</v>
      </c>
      <c r="AB142" s="26">
        <f>IF(AQ142="1",BH142,0)</f>
        <v>0</v>
      </c>
      <c r="AC142" s="26">
        <f>IF(AQ142="1",BI142,0)</f>
        <v>0</v>
      </c>
      <c r="AD142" s="26">
        <f>IF(AQ142="7",BH142,0)</f>
        <v>0</v>
      </c>
      <c r="AE142" s="26">
        <f>IF(AQ142="7",BI142,0)</f>
        <v>0</v>
      </c>
      <c r="AF142" s="26">
        <f>IF(AQ142="2",BH142,0)</f>
        <v>0</v>
      </c>
      <c r="AG142" s="26">
        <f>IF(AQ142="2",BI142,0)</f>
        <v>0</v>
      </c>
      <c r="AH142" s="26">
        <f>IF(AQ142="0",BJ142,0)</f>
        <v>0</v>
      </c>
      <c r="AI142" s="11" t="s">
        <v>58</v>
      </c>
      <c r="AJ142" s="26">
        <f>IF(AN142=0,J142,0)</f>
        <v>0</v>
      </c>
      <c r="AK142" s="26">
        <f>IF(AN142=12,J142,0)</f>
        <v>0</v>
      </c>
      <c r="AL142" s="26">
        <f>IF(AN142=21,J142,0)</f>
        <v>0</v>
      </c>
      <c r="AN142" s="26">
        <v>12</v>
      </c>
      <c r="AO142" s="26">
        <f>G142*0.737637271</f>
        <v>0</v>
      </c>
      <c r="AP142" s="26">
        <f>G142*(1-0.737637271)</f>
        <v>0</v>
      </c>
      <c r="AQ142" s="29" t="s">
        <v>90</v>
      </c>
      <c r="AV142" s="26">
        <f>AW142+AX142</f>
        <v>0</v>
      </c>
      <c r="AW142" s="26">
        <f>F142*AO142</f>
        <v>0</v>
      </c>
      <c r="AX142" s="26">
        <f>F142*AP142</f>
        <v>0</v>
      </c>
      <c r="AY142" s="29" t="s">
        <v>386</v>
      </c>
      <c r="AZ142" s="29" t="s">
        <v>109</v>
      </c>
      <c r="BA142" s="11" t="s">
        <v>61</v>
      </c>
      <c r="BB142" s="30">
        <v>100024</v>
      </c>
      <c r="BC142" s="26">
        <f>AW142+AX142</f>
        <v>0</v>
      </c>
      <c r="BD142" s="26">
        <f>G142/(100-BE142)*100</f>
        <v>0</v>
      </c>
      <c r="BE142" s="26">
        <v>0</v>
      </c>
      <c r="BF142" s="26">
        <f>142</f>
        <v>142</v>
      </c>
      <c r="BH142" s="26">
        <f>F142*AO142</f>
        <v>0</v>
      </c>
      <c r="BI142" s="26">
        <f>F142*AP142</f>
        <v>0</v>
      </c>
      <c r="BJ142" s="26">
        <f>F142*G142</f>
        <v>0</v>
      </c>
      <c r="BK142" s="26"/>
      <c r="BL142" s="26">
        <v>725</v>
      </c>
      <c r="BW142" s="26">
        <v>12</v>
      </c>
      <c r="BX142" s="5" t="s">
        <v>395</v>
      </c>
    </row>
    <row r="143" spans="1:76" x14ac:dyDescent="0.25">
      <c r="A143" s="2" t="s">
        <v>396</v>
      </c>
      <c r="B143" s="3" t="s">
        <v>397</v>
      </c>
      <c r="C143" s="96" t="s">
        <v>398</v>
      </c>
      <c r="D143" s="91"/>
      <c r="E143" s="3" t="s">
        <v>102</v>
      </c>
      <c r="F143" s="26">
        <v>1.5429600000000001</v>
      </c>
      <c r="G143" s="27">
        <v>0</v>
      </c>
      <c r="H143" s="26">
        <f>F143*AO143</f>
        <v>0</v>
      </c>
      <c r="I143" s="26">
        <f>F143*AP143</f>
        <v>0</v>
      </c>
      <c r="J143" s="26">
        <f>F143*G143</f>
        <v>0</v>
      </c>
      <c r="K143" s="28" t="s">
        <v>65</v>
      </c>
      <c r="Z143" s="26">
        <f>IF(AQ143="5",BJ143,0)</f>
        <v>0</v>
      </c>
      <c r="AB143" s="26">
        <f>IF(AQ143="1",BH143,0)</f>
        <v>0</v>
      </c>
      <c r="AC143" s="26">
        <f>IF(AQ143="1",BI143,0)</f>
        <v>0</v>
      </c>
      <c r="AD143" s="26">
        <f>IF(AQ143="7",BH143,0)</f>
        <v>0</v>
      </c>
      <c r="AE143" s="26">
        <f>IF(AQ143="7",BI143,0)</f>
        <v>0</v>
      </c>
      <c r="AF143" s="26">
        <f>IF(AQ143="2",BH143,0)</f>
        <v>0</v>
      </c>
      <c r="AG143" s="26">
        <f>IF(AQ143="2",BI143,0)</f>
        <v>0</v>
      </c>
      <c r="AH143" s="26">
        <f>IF(AQ143="0",BJ143,0)</f>
        <v>0</v>
      </c>
      <c r="AI143" s="11" t="s">
        <v>58</v>
      </c>
      <c r="AJ143" s="26">
        <f>IF(AN143=0,J143,0)</f>
        <v>0</v>
      </c>
      <c r="AK143" s="26">
        <f>IF(AN143=12,J143,0)</f>
        <v>0</v>
      </c>
      <c r="AL143" s="26">
        <f>IF(AN143=21,J143,0)</f>
        <v>0</v>
      </c>
      <c r="AN143" s="26">
        <v>12</v>
      </c>
      <c r="AO143" s="26">
        <f>G143*0</f>
        <v>0</v>
      </c>
      <c r="AP143" s="26">
        <f>G143*(1-0)</f>
        <v>0</v>
      </c>
      <c r="AQ143" s="29" t="s">
        <v>80</v>
      </c>
      <c r="AV143" s="26">
        <f>AW143+AX143</f>
        <v>0</v>
      </c>
      <c r="AW143" s="26">
        <f>F143*AO143</f>
        <v>0</v>
      </c>
      <c r="AX143" s="26">
        <f>F143*AP143</f>
        <v>0</v>
      </c>
      <c r="AY143" s="29" t="s">
        <v>386</v>
      </c>
      <c r="AZ143" s="29" t="s">
        <v>109</v>
      </c>
      <c r="BA143" s="11" t="s">
        <v>61</v>
      </c>
      <c r="BB143" s="30">
        <v>100004</v>
      </c>
      <c r="BC143" s="26">
        <f>AW143+AX143</f>
        <v>0</v>
      </c>
      <c r="BD143" s="26">
        <f>G143/(100-BE143)*100</f>
        <v>0</v>
      </c>
      <c r="BE143" s="26">
        <v>0</v>
      </c>
      <c r="BF143" s="26">
        <f>143</f>
        <v>143</v>
      </c>
      <c r="BH143" s="26">
        <f>F143*AO143</f>
        <v>0</v>
      </c>
      <c r="BI143" s="26">
        <f>F143*AP143</f>
        <v>0</v>
      </c>
      <c r="BJ143" s="26">
        <f>F143*G143</f>
        <v>0</v>
      </c>
      <c r="BK143" s="26"/>
      <c r="BL143" s="26">
        <v>725</v>
      </c>
      <c r="BW143" s="26">
        <v>12</v>
      </c>
      <c r="BX143" s="5" t="s">
        <v>398</v>
      </c>
    </row>
    <row r="144" spans="1:76" x14ac:dyDescent="0.25">
      <c r="A144" s="31" t="s">
        <v>50</v>
      </c>
      <c r="B144" s="32" t="s">
        <v>399</v>
      </c>
      <c r="C144" s="116" t="s">
        <v>400</v>
      </c>
      <c r="D144" s="117"/>
      <c r="E144" s="33" t="s">
        <v>4</v>
      </c>
      <c r="F144" s="33" t="s">
        <v>4</v>
      </c>
      <c r="G144" s="34" t="s">
        <v>4</v>
      </c>
      <c r="H144" s="1">
        <f>SUM(H145:H152)</f>
        <v>0</v>
      </c>
      <c r="I144" s="1">
        <f>SUM(I145:I152)</f>
        <v>0</v>
      </c>
      <c r="J144" s="1">
        <f>SUM(J145:J152)</f>
        <v>0</v>
      </c>
      <c r="K144" s="35" t="s">
        <v>50</v>
      </c>
      <c r="AI144" s="11" t="s">
        <v>50</v>
      </c>
      <c r="AS144" s="1">
        <f>SUM(AJ145:AJ152)</f>
        <v>0</v>
      </c>
      <c r="AT144" s="1">
        <f>SUM(AK145:AK152)</f>
        <v>0</v>
      </c>
      <c r="AU144" s="1">
        <f>SUM(AL145:AL152)</f>
        <v>0</v>
      </c>
    </row>
    <row r="145" spans="1:76" x14ac:dyDescent="0.25">
      <c r="A145" s="2" t="s">
        <v>401</v>
      </c>
      <c r="B145" s="3" t="s">
        <v>402</v>
      </c>
      <c r="C145" s="96" t="s">
        <v>403</v>
      </c>
      <c r="D145" s="91"/>
      <c r="E145" s="3" t="s">
        <v>93</v>
      </c>
      <c r="F145" s="26">
        <v>72</v>
      </c>
      <c r="G145" s="27">
        <v>0</v>
      </c>
      <c r="H145" s="26">
        <f t="shared" ref="H145:H152" si="94">F145*AO145</f>
        <v>0</v>
      </c>
      <c r="I145" s="26">
        <f t="shared" ref="I145:I152" si="95">F145*AP145</f>
        <v>0</v>
      </c>
      <c r="J145" s="26">
        <f t="shared" ref="J145:J152" si="96">F145*G145</f>
        <v>0</v>
      </c>
      <c r="K145" s="28" t="s">
        <v>65</v>
      </c>
      <c r="Z145" s="26">
        <f t="shared" ref="Z145:Z152" si="97">IF(AQ145="5",BJ145,0)</f>
        <v>0</v>
      </c>
      <c r="AB145" s="26">
        <f t="shared" ref="AB145:AB152" si="98">IF(AQ145="1",BH145,0)</f>
        <v>0</v>
      </c>
      <c r="AC145" s="26">
        <f t="shared" ref="AC145:AC152" si="99">IF(AQ145="1",BI145,0)</f>
        <v>0</v>
      </c>
      <c r="AD145" s="26">
        <f t="shared" ref="AD145:AD152" si="100">IF(AQ145="7",BH145,0)</f>
        <v>0</v>
      </c>
      <c r="AE145" s="26">
        <f t="shared" ref="AE145:AE152" si="101">IF(AQ145="7",BI145,0)</f>
        <v>0</v>
      </c>
      <c r="AF145" s="26">
        <f t="shared" ref="AF145:AF152" si="102">IF(AQ145="2",BH145,0)</f>
        <v>0</v>
      </c>
      <c r="AG145" s="26">
        <f t="shared" ref="AG145:AG152" si="103">IF(AQ145="2",BI145,0)</f>
        <v>0</v>
      </c>
      <c r="AH145" s="26">
        <f t="shared" ref="AH145:AH152" si="104">IF(AQ145="0",BJ145,0)</f>
        <v>0</v>
      </c>
      <c r="AI145" s="11" t="s">
        <v>58</v>
      </c>
      <c r="AJ145" s="26">
        <f t="shared" ref="AJ145:AJ152" si="105">IF(AN145=0,J145,0)</f>
        <v>0</v>
      </c>
      <c r="AK145" s="26">
        <f t="shared" ref="AK145:AK152" si="106">IF(AN145=12,J145,0)</f>
        <v>0</v>
      </c>
      <c r="AL145" s="26">
        <f t="shared" ref="AL145:AL152" si="107">IF(AN145=21,J145,0)</f>
        <v>0</v>
      </c>
      <c r="AN145" s="26">
        <v>12</v>
      </c>
      <c r="AO145" s="26">
        <f>G145*0</f>
        <v>0</v>
      </c>
      <c r="AP145" s="26">
        <f>G145*(1-0)</f>
        <v>0</v>
      </c>
      <c r="AQ145" s="29" t="s">
        <v>90</v>
      </c>
      <c r="AV145" s="26">
        <f t="shared" ref="AV145:AV152" si="108">AW145+AX145</f>
        <v>0</v>
      </c>
      <c r="AW145" s="26">
        <f t="shared" ref="AW145:AW152" si="109">F145*AO145</f>
        <v>0</v>
      </c>
      <c r="AX145" s="26">
        <f t="shared" ref="AX145:AX152" si="110">F145*AP145</f>
        <v>0</v>
      </c>
      <c r="AY145" s="29" t="s">
        <v>404</v>
      </c>
      <c r="AZ145" s="29" t="s">
        <v>109</v>
      </c>
      <c r="BA145" s="11" t="s">
        <v>61</v>
      </c>
      <c r="BB145" s="30">
        <v>100005</v>
      </c>
      <c r="BC145" s="26">
        <f t="shared" ref="BC145:BC152" si="111">AW145+AX145</f>
        <v>0</v>
      </c>
      <c r="BD145" s="26">
        <f t="shared" ref="BD145:BD152" si="112">G145/(100-BE145)*100</f>
        <v>0</v>
      </c>
      <c r="BE145" s="26">
        <v>0</v>
      </c>
      <c r="BF145" s="26">
        <f>145</f>
        <v>145</v>
      </c>
      <c r="BH145" s="26">
        <f t="shared" ref="BH145:BH152" si="113">F145*AO145</f>
        <v>0</v>
      </c>
      <c r="BI145" s="26">
        <f t="shared" ref="BI145:BI152" si="114">F145*AP145</f>
        <v>0</v>
      </c>
      <c r="BJ145" s="26">
        <f t="shared" ref="BJ145:BJ152" si="115">F145*G145</f>
        <v>0</v>
      </c>
      <c r="BK145" s="26"/>
      <c r="BL145" s="26">
        <v>726</v>
      </c>
      <c r="BW145" s="26">
        <v>12</v>
      </c>
      <c r="BX145" s="5" t="s">
        <v>403</v>
      </c>
    </row>
    <row r="146" spans="1:76" x14ac:dyDescent="0.25">
      <c r="A146" s="2" t="s">
        <v>405</v>
      </c>
      <c r="B146" s="3" t="s">
        <v>406</v>
      </c>
      <c r="C146" s="96" t="s">
        <v>407</v>
      </c>
      <c r="D146" s="91"/>
      <c r="E146" s="3" t="s">
        <v>93</v>
      </c>
      <c r="F146" s="26">
        <v>72</v>
      </c>
      <c r="G146" s="27">
        <v>0</v>
      </c>
      <c r="H146" s="26">
        <f t="shared" si="94"/>
        <v>0</v>
      </c>
      <c r="I146" s="26">
        <f t="shared" si="95"/>
        <v>0</v>
      </c>
      <c r="J146" s="26">
        <f t="shared" si="96"/>
        <v>0</v>
      </c>
      <c r="K146" s="28" t="s">
        <v>65</v>
      </c>
      <c r="Z146" s="26">
        <f t="shared" si="97"/>
        <v>0</v>
      </c>
      <c r="AB146" s="26">
        <f t="shared" si="98"/>
        <v>0</v>
      </c>
      <c r="AC146" s="26">
        <f t="shared" si="99"/>
        <v>0</v>
      </c>
      <c r="AD146" s="26">
        <f t="shared" si="100"/>
        <v>0</v>
      </c>
      <c r="AE146" s="26">
        <f t="shared" si="101"/>
        <v>0</v>
      </c>
      <c r="AF146" s="26">
        <f t="shared" si="102"/>
        <v>0</v>
      </c>
      <c r="AG146" s="26">
        <f t="shared" si="103"/>
        <v>0</v>
      </c>
      <c r="AH146" s="26">
        <f t="shared" si="104"/>
        <v>0</v>
      </c>
      <c r="AI146" s="11" t="s">
        <v>58</v>
      </c>
      <c r="AJ146" s="26">
        <f t="shared" si="105"/>
        <v>0</v>
      </c>
      <c r="AK146" s="26">
        <f t="shared" si="106"/>
        <v>0</v>
      </c>
      <c r="AL146" s="26">
        <f t="shared" si="107"/>
        <v>0</v>
      </c>
      <c r="AN146" s="26">
        <v>12</v>
      </c>
      <c r="AO146" s="26">
        <f>G146*0</f>
        <v>0</v>
      </c>
      <c r="AP146" s="26">
        <f>G146*(1-0)</f>
        <v>0</v>
      </c>
      <c r="AQ146" s="29" t="s">
        <v>90</v>
      </c>
      <c r="AV146" s="26">
        <f t="shared" si="108"/>
        <v>0</v>
      </c>
      <c r="AW146" s="26">
        <f t="shared" si="109"/>
        <v>0</v>
      </c>
      <c r="AX146" s="26">
        <f t="shared" si="110"/>
        <v>0</v>
      </c>
      <c r="AY146" s="29" t="s">
        <v>404</v>
      </c>
      <c r="AZ146" s="29" t="s">
        <v>109</v>
      </c>
      <c r="BA146" s="11" t="s">
        <v>61</v>
      </c>
      <c r="BB146" s="30">
        <v>100005</v>
      </c>
      <c r="BC146" s="26">
        <f t="shared" si="111"/>
        <v>0</v>
      </c>
      <c r="BD146" s="26">
        <f t="shared" si="112"/>
        <v>0</v>
      </c>
      <c r="BE146" s="26">
        <v>0</v>
      </c>
      <c r="BF146" s="26">
        <f>146</f>
        <v>146</v>
      </c>
      <c r="BH146" s="26">
        <f t="shared" si="113"/>
        <v>0</v>
      </c>
      <c r="BI146" s="26">
        <f t="shared" si="114"/>
        <v>0</v>
      </c>
      <c r="BJ146" s="26">
        <f t="shared" si="115"/>
        <v>0</v>
      </c>
      <c r="BK146" s="26"/>
      <c r="BL146" s="26">
        <v>726</v>
      </c>
      <c r="BW146" s="26">
        <v>12</v>
      </c>
      <c r="BX146" s="5" t="s">
        <v>407</v>
      </c>
    </row>
    <row r="147" spans="1:76" x14ac:dyDescent="0.25">
      <c r="A147" s="2" t="s">
        <v>408</v>
      </c>
      <c r="B147" s="3" t="s">
        <v>409</v>
      </c>
      <c r="C147" s="96" t="s">
        <v>410</v>
      </c>
      <c r="D147" s="91"/>
      <c r="E147" s="3" t="s">
        <v>93</v>
      </c>
      <c r="F147" s="26">
        <v>72</v>
      </c>
      <c r="G147" s="27">
        <v>0</v>
      </c>
      <c r="H147" s="26">
        <f t="shared" si="94"/>
        <v>0</v>
      </c>
      <c r="I147" s="26">
        <f t="shared" si="95"/>
        <v>0</v>
      </c>
      <c r="J147" s="26">
        <f t="shared" si="96"/>
        <v>0</v>
      </c>
      <c r="K147" s="28" t="s">
        <v>65</v>
      </c>
      <c r="Z147" s="26">
        <f t="shared" si="97"/>
        <v>0</v>
      </c>
      <c r="AB147" s="26">
        <f t="shared" si="98"/>
        <v>0</v>
      </c>
      <c r="AC147" s="26">
        <f t="shared" si="99"/>
        <v>0</v>
      </c>
      <c r="AD147" s="26">
        <f t="shared" si="100"/>
        <v>0</v>
      </c>
      <c r="AE147" s="26">
        <f t="shared" si="101"/>
        <v>0</v>
      </c>
      <c r="AF147" s="26">
        <f t="shared" si="102"/>
        <v>0</v>
      </c>
      <c r="AG147" s="26">
        <f t="shared" si="103"/>
        <v>0</v>
      </c>
      <c r="AH147" s="26">
        <f t="shared" si="104"/>
        <v>0</v>
      </c>
      <c r="AI147" s="11" t="s">
        <v>58</v>
      </c>
      <c r="AJ147" s="26">
        <f t="shared" si="105"/>
        <v>0</v>
      </c>
      <c r="AK147" s="26">
        <f t="shared" si="106"/>
        <v>0</v>
      </c>
      <c r="AL147" s="26">
        <f t="shared" si="107"/>
        <v>0</v>
      </c>
      <c r="AN147" s="26">
        <v>12</v>
      </c>
      <c r="AO147" s="26">
        <f>G147*0</f>
        <v>0</v>
      </c>
      <c r="AP147" s="26">
        <f>G147*(1-0)</f>
        <v>0</v>
      </c>
      <c r="AQ147" s="29" t="s">
        <v>90</v>
      </c>
      <c r="AV147" s="26">
        <f t="shared" si="108"/>
        <v>0</v>
      </c>
      <c r="AW147" s="26">
        <f t="shared" si="109"/>
        <v>0</v>
      </c>
      <c r="AX147" s="26">
        <f t="shared" si="110"/>
        <v>0</v>
      </c>
      <c r="AY147" s="29" t="s">
        <v>404</v>
      </c>
      <c r="AZ147" s="29" t="s">
        <v>109</v>
      </c>
      <c r="BA147" s="11" t="s">
        <v>61</v>
      </c>
      <c r="BB147" s="30">
        <v>100005</v>
      </c>
      <c r="BC147" s="26">
        <f t="shared" si="111"/>
        <v>0</v>
      </c>
      <c r="BD147" s="26">
        <f t="shared" si="112"/>
        <v>0</v>
      </c>
      <c r="BE147" s="26">
        <v>0</v>
      </c>
      <c r="BF147" s="26">
        <f>147</f>
        <v>147</v>
      </c>
      <c r="BH147" s="26">
        <f t="shared" si="113"/>
        <v>0</v>
      </c>
      <c r="BI147" s="26">
        <f t="shared" si="114"/>
        <v>0</v>
      </c>
      <c r="BJ147" s="26">
        <f t="shared" si="115"/>
        <v>0</v>
      </c>
      <c r="BK147" s="26"/>
      <c r="BL147" s="26">
        <v>726</v>
      </c>
      <c r="BW147" s="26">
        <v>12</v>
      </c>
      <c r="BX147" s="5" t="s">
        <v>410</v>
      </c>
    </row>
    <row r="148" spans="1:76" x14ac:dyDescent="0.25">
      <c r="A148" s="2" t="s">
        <v>411</v>
      </c>
      <c r="B148" s="3" t="s">
        <v>412</v>
      </c>
      <c r="C148" s="96" t="s">
        <v>413</v>
      </c>
      <c r="D148" s="91"/>
      <c r="E148" s="3" t="s">
        <v>93</v>
      </c>
      <c r="F148" s="26">
        <v>72</v>
      </c>
      <c r="G148" s="27">
        <v>0</v>
      </c>
      <c r="H148" s="26">
        <f t="shared" si="94"/>
        <v>0</v>
      </c>
      <c r="I148" s="26">
        <f t="shared" si="95"/>
        <v>0</v>
      </c>
      <c r="J148" s="26">
        <f t="shared" si="96"/>
        <v>0</v>
      </c>
      <c r="K148" s="28" t="s">
        <v>65</v>
      </c>
      <c r="Z148" s="26">
        <f t="shared" si="97"/>
        <v>0</v>
      </c>
      <c r="AB148" s="26">
        <f t="shared" si="98"/>
        <v>0</v>
      </c>
      <c r="AC148" s="26">
        <f t="shared" si="99"/>
        <v>0</v>
      </c>
      <c r="AD148" s="26">
        <f t="shared" si="100"/>
        <v>0</v>
      </c>
      <c r="AE148" s="26">
        <f t="shared" si="101"/>
        <v>0</v>
      </c>
      <c r="AF148" s="26">
        <f t="shared" si="102"/>
        <v>0</v>
      </c>
      <c r="AG148" s="26">
        <f t="shared" si="103"/>
        <v>0</v>
      </c>
      <c r="AH148" s="26">
        <f t="shared" si="104"/>
        <v>0</v>
      </c>
      <c r="AI148" s="11" t="s">
        <v>58</v>
      </c>
      <c r="AJ148" s="26">
        <f t="shared" si="105"/>
        <v>0</v>
      </c>
      <c r="AK148" s="26">
        <f t="shared" si="106"/>
        <v>0</v>
      </c>
      <c r="AL148" s="26">
        <f t="shared" si="107"/>
        <v>0</v>
      </c>
      <c r="AN148" s="26">
        <v>12</v>
      </c>
      <c r="AO148" s="26">
        <f>G148*0</f>
        <v>0</v>
      </c>
      <c r="AP148" s="26">
        <f>G148*(1-0)</f>
        <v>0</v>
      </c>
      <c r="AQ148" s="29" t="s">
        <v>90</v>
      </c>
      <c r="AV148" s="26">
        <f t="shared" si="108"/>
        <v>0</v>
      </c>
      <c r="AW148" s="26">
        <f t="shared" si="109"/>
        <v>0</v>
      </c>
      <c r="AX148" s="26">
        <f t="shared" si="110"/>
        <v>0</v>
      </c>
      <c r="AY148" s="29" t="s">
        <v>404</v>
      </c>
      <c r="AZ148" s="29" t="s">
        <v>109</v>
      </c>
      <c r="BA148" s="11" t="s">
        <v>61</v>
      </c>
      <c r="BB148" s="30">
        <v>100005</v>
      </c>
      <c r="BC148" s="26">
        <f t="shared" si="111"/>
        <v>0</v>
      </c>
      <c r="BD148" s="26">
        <f t="shared" si="112"/>
        <v>0</v>
      </c>
      <c r="BE148" s="26">
        <v>0</v>
      </c>
      <c r="BF148" s="26">
        <f>148</f>
        <v>148</v>
      </c>
      <c r="BH148" s="26">
        <f t="shared" si="113"/>
        <v>0</v>
      </c>
      <c r="BI148" s="26">
        <f t="shared" si="114"/>
        <v>0</v>
      </c>
      <c r="BJ148" s="26">
        <f t="shared" si="115"/>
        <v>0</v>
      </c>
      <c r="BK148" s="26"/>
      <c r="BL148" s="26">
        <v>726</v>
      </c>
      <c r="BW148" s="26">
        <v>12</v>
      </c>
      <c r="BX148" s="5" t="s">
        <v>413</v>
      </c>
    </row>
    <row r="149" spans="1:76" x14ac:dyDescent="0.25">
      <c r="A149" s="2" t="s">
        <v>414</v>
      </c>
      <c r="B149" s="3" t="s">
        <v>54</v>
      </c>
      <c r="C149" s="96" t="s">
        <v>415</v>
      </c>
      <c r="D149" s="91"/>
      <c r="E149" s="3" t="s">
        <v>93</v>
      </c>
      <c r="F149" s="26">
        <v>72</v>
      </c>
      <c r="G149" s="27">
        <v>0</v>
      </c>
      <c r="H149" s="26">
        <f t="shared" si="94"/>
        <v>0</v>
      </c>
      <c r="I149" s="26">
        <f t="shared" si="95"/>
        <v>0</v>
      </c>
      <c r="J149" s="26">
        <f t="shared" si="96"/>
        <v>0</v>
      </c>
      <c r="K149" s="28" t="s">
        <v>57</v>
      </c>
      <c r="Z149" s="26">
        <f t="shared" si="97"/>
        <v>0</v>
      </c>
      <c r="AB149" s="26">
        <f t="shared" si="98"/>
        <v>0</v>
      </c>
      <c r="AC149" s="26">
        <f t="shared" si="99"/>
        <v>0</v>
      </c>
      <c r="AD149" s="26">
        <f t="shared" si="100"/>
        <v>0</v>
      </c>
      <c r="AE149" s="26">
        <f t="shared" si="101"/>
        <v>0</v>
      </c>
      <c r="AF149" s="26">
        <f t="shared" si="102"/>
        <v>0</v>
      </c>
      <c r="AG149" s="26">
        <f t="shared" si="103"/>
        <v>0</v>
      </c>
      <c r="AH149" s="26">
        <f t="shared" si="104"/>
        <v>0</v>
      </c>
      <c r="AI149" s="11" t="s">
        <v>58</v>
      </c>
      <c r="AJ149" s="26">
        <f t="shared" si="105"/>
        <v>0</v>
      </c>
      <c r="AK149" s="26">
        <f t="shared" si="106"/>
        <v>0</v>
      </c>
      <c r="AL149" s="26">
        <f t="shared" si="107"/>
        <v>0</v>
      </c>
      <c r="AN149" s="26">
        <v>12</v>
      </c>
      <c r="AO149" s="26">
        <f>G149*0.081729107</f>
        <v>0</v>
      </c>
      <c r="AP149" s="26">
        <f>G149*(1-0.081729107)</f>
        <v>0</v>
      </c>
      <c r="AQ149" s="29" t="s">
        <v>90</v>
      </c>
      <c r="AV149" s="26">
        <f t="shared" si="108"/>
        <v>0</v>
      </c>
      <c r="AW149" s="26">
        <f t="shared" si="109"/>
        <v>0</v>
      </c>
      <c r="AX149" s="26">
        <f t="shared" si="110"/>
        <v>0</v>
      </c>
      <c r="AY149" s="29" t="s">
        <v>404</v>
      </c>
      <c r="AZ149" s="29" t="s">
        <v>109</v>
      </c>
      <c r="BA149" s="11" t="s">
        <v>61</v>
      </c>
      <c r="BB149" s="30">
        <v>100005</v>
      </c>
      <c r="BC149" s="26">
        <f t="shared" si="111"/>
        <v>0</v>
      </c>
      <c r="BD149" s="26">
        <f t="shared" si="112"/>
        <v>0</v>
      </c>
      <c r="BE149" s="26">
        <v>0</v>
      </c>
      <c r="BF149" s="26">
        <f>149</f>
        <v>149</v>
      </c>
      <c r="BH149" s="26">
        <f t="shared" si="113"/>
        <v>0</v>
      </c>
      <c r="BI149" s="26">
        <f t="shared" si="114"/>
        <v>0</v>
      </c>
      <c r="BJ149" s="26">
        <f t="shared" si="115"/>
        <v>0</v>
      </c>
      <c r="BK149" s="26"/>
      <c r="BL149" s="26">
        <v>726</v>
      </c>
      <c r="BW149" s="26">
        <v>12</v>
      </c>
      <c r="BX149" s="5" t="s">
        <v>415</v>
      </c>
    </row>
    <row r="150" spans="1:76" ht="25.5" x14ac:dyDescent="0.25">
      <c r="A150" s="2" t="s">
        <v>416</v>
      </c>
      <c r="B150" s="3" t="s">
        <v>54</v>
      </c>
      <c r="C150" s="96" t="s">
        <v>417</v>
      </c>
      <c r="D150" s="91"/>
      <c r="E150" s="3" t="s">
        <v>93</v>
      </c>
      <c r="F150" s="26">
        <v>72</v>
      </c>
      <c r="G150" s="27">
        <v>0</v>
      </c>
      <c r="H150" s="26">
        <f t="shared" si="94"/>
        <v>0</v>
      </c>
      <c r="I150" s="26">
        <f t="shared" si="95"/>
        <v>0</v>
      </c>
      <c r="J150" s="26">
        <f t="shared" si="96"/>
        <v>0</v>
      </c>
      <c r="K150" s="28" t="s">
        <v>57</v>
      </c>
      <c r="Z150" s="26">
        <f t="shared" si="97"/>
        <v>0</v>
      </c>
      <c r="AB150" s="26">
        <f t="shared" si="98"/>
        <v>0</v>
      </c>
      <c r="AC150" s="26">
        <f t="shared" si="99"/>
        <v>0</v>
      </c>
      <c r="AD150" s="26">
        <f t="shared" si="100"/>
        <v>0</v>
      </c>
      <c r="AE150" s="26">
        <f t="shared" si="101"/>
        <v>0</v>
      </c>
      <c r="AF150" s="26">
        <f t="shared" si="102"/>
        <v>0</v>
      </c>
      <c r="AG150" s="26">
        <f t="shared" si="103"/>
        <v>0</v>
      </c>
      <c r="AH150" s="26">
        <f t="shared" si="104"/>
        <v>0</v>
      </c>
      <c r="AI150" s="11" t="s">
        <v>58</v>
      </c>
      <c r="AJ150" s="26">
        <f t="shared" si="105"/>
        <v>0</v>
      </c>
      <c r="AK150" s="26">
        <f t="shared" si="106"/>
        <v>0</v>
      </c>
      <c r="AL150" s="26">
        <f t="shared" si="107"/>
        <v>0</v>
      </c>
      <c r="AN150" s="26">
        <v>12</v>
      </c>
      <c r="AO150" s="26">
        <f>G150*1</f>
        <v>0</v>
      </c>
      <c r="AP150" s="26">
        <f>G150*(1-1)</f>
        <v>0</v>
      </c>
      <c r="AQ150" s="29" t="s">
        <v>90</v>
      </c>
      <c r="AV150" s="26">
        <f t="shared" si="108"/>
        <v>0</v>
      </c>
      <c r="AW150" s="26">
        <f t="shared" si="109"/>
        <v>0</v>
      </c>
      <c r="AX150" s="26">
        <f t="shared" si="110"/>
        <v>0</v>
      </c>
      <c r="AY150" s="29" t="s">
        <v>404</v>
      </c>
      <c r="AZ150" s="29" t="s">
        <v>109</v>
      </c>
      <c r="BA150" s="11" t="s">
        <v>61</v>
      </c>
      <c r="BC150" s="26">
        <f t="shared" si="111"/>
        <v>0</v>
      </c>
      <c r="BD150" s="26">
        <f t="shared" si="112"/>
        <v>0</v>
      </c>
      <c r="BE150" s="26">
        <v>0</v>
      </c>
      <c r="BF150" s="26">
        <f>150</f>
        <v>150</v>
      </c>
      <c r="BH150" s="26">
        <f t="shared" si="113"/>
        <v>0</v>
      </c>
      <c r="BI150" s="26">
        <f t="shared" si="114"/>
        <v>0</v>
      </c>
      <c r="BJ150" s="26">
        <f t="shared" si="115"/>
        <v>0</v>
      </c>
      <c r="BK150" s="26"/>
      <c r="BL150" s="26">
        <v>726</v>
      </c>
      <c r="BW150" s="26">
        <v>12</v>
      </c>
      <c r="BX150" s="5" t="s">
        <v>417</v>
      </c>
    </row>
    <row r="151" spans="1:76" x14ac:dyDescent="0.25">
      <c r="A151" s="2" t="s">
        <v>418</v>
      </c>
      <c r="B151" s="3" t="s">
        <v>54</v>
      </c>
      <c r="C151" s="96" t="s">
        <v>419</v>
      </c>
      <c r="D151" s="91"/>
      <c r="E151" s="3" t="s">
        <v>93</v>
      </c>
      <c r="F151" s="26">
        <v>72</v>
      </c>
      <c r="G151" s="27">
        <v>0</v>
      </c>
      <c r="H151" s="26">
        <f t="shared" si="94"/>
        <v>0</v>
      </c>
      <c r="I151" s="26">
        <f t="shared" si="95"/>
        <v>0</v>
      </c>
      <c r="J151" s="26">
        <f t="shared" si="96"/>
        <v>0</v>
      </c>
      <c r="K151" s="28" t="s">
        <v>57</v>
      </c>
      <c r="Z151" s="26">
        <f t="shared" si="97"/>
        <v>0</v>
      </c>
      <c r="AB151" s="26">
        <f t="shared" si="98"/>
        <v>0</v>
      </c>
      <c r="AC151" s="26">
        <f t="shared" si="99"/>
        <v>0</v>
      </c>
      <c r="AD151" s="26">
        <f t="shared" si="100"/>
        <v>0</v>
      </c>
      <c r="AE151" s="26">
        <f t="shared" si="101"/>
        <v>0</v>
      </c>
      <c r="AF151" s="26">
        <f t="shared" si="102"/>
        <v>0</v>
      </c>
      <c r="AG151" s="26">
        <f t="shared" si="103"/>
        <v>0</v>
      </c>
      <c r="AH151" s="26">
        <f t="shared" si="104"/>
        <v>0</v>
      </c>
      <c r="AI151" s="11" t="s">
        <v>58</v>
      </c>
      <c r="AJ151" s="26">
        <f t="shared" si="105"/>
        <v>0</v>
      </c>
      <c r="AK151" s="26">
        <f t="shared" si="106"/>
        <v>0</v>
      </c>
      <c r="AL151" s="26">
        <f t="shared" si="107"/>
        <v>0</v>
      </c>
      <c r="AN151" s="26">
        <v>12</v>
      </c>
      <c r="AO151" s="26">
        <f>G151*0.081725</f>
        <v>0</v>
      </c>
      <c r="AP151" s="26">
        <f>G151*(1-0.081725)</f>
        <v>0</v>
      </c>
      <c r="AQ151" s="29" t="s">
        <v>90</v>
      </c>
      <c r="AV151" s="26">
        <f t="shared" si="108"/>
        <v>0</v>
      </c>
      <c r="AW151" s="26">
        <f t="shared" si="109"/>
        <v>0</v>
      </c>
      <c r="AX151" s="26">
        <f t="shared" si="110"/>
        <v>0</v>
      </c>
      <c r="AY151" s="29" t="s">
        <v>404</v>
      </c>
      <c r="AZ151" s="29" t="s">
        <v>109</v>
      </c>
      <c r="BA151" s="11" t="s">
        <v>61</v>
      </c>
      <c r="BB151" s="30">
        <v>100005</v>
      </c>
      <c r="BC151" s="26">
        <f t="shared" si="111"/>
        <v>0</v>
      </c>
      <c r="BD151" s="26">
        <f t="shared" si="112"/>
        <v>0</v>
      </c>
      <c r="BE151" s="26">
        <v>0</v>
      </c>
      <c r="BF151" s="26">
        <f>151</f>
        <v>151</v>
      </c>
      <c r="BH151" s="26">
        <f t="shared" si="113"/>
        <v>0</v>
      </c>
      <c r="BI151" s="26">
        <f t="shared" si="114"/>
        <v>0</v>
      </c>
      <c r="BJ151" s="26">
        <f t="shared" si="115"/>
        <v>0</v>
      </c>
      <c r="BK151" s="26"/>
      <c r="BL151" s="26">
        <v>726</v>
      </c>
      <c r="BW151" s="26">
        <v>12</v>
      </c>
      <c r="BX151" s="5" t="s">
        <v>419</v>
      </c>
    </row>
    <row r="152" spans="1:76" x14ac:dyDescent="0.25">
      <c r="A152" s="2" t="s">
        <v>420</v>
      </c>
      <c r="B152" s="3" t="s">
        <v>421</v>
      </c>
      <c r="C152" s="96" t="s">
        <v>422</v>
      </c>
      <c r="D152" s="91"/>
      <c r="E152" s="3" t="s">
        <v>102</v>
      </c>
      <c r="F152" s="26">
        <v>1.9526399999999999</v>
      </c>
      <c r="G152" s="27">
        <v>0</v>
      </c>
      <c r="H152" s="26">
        <f t="shared" si="94"/>
        <v>0</v>
      </c>
      <c r="I152" s="26">
        <f t="shared" si="95"/>
        <v>0</v>
      </c>
      <c r="J152" s="26">
        <f t="shared" si="96"/>
        <v>0</v>
      </c>
      <c r="K152" s="28" t="s">
        <v>65</v>
      </c>
      <c r="Z152" s="26">
        <f t="shared" si="97"/>
        <v>0</v>
      </c>
      <c r="AB152" s="26">
        <f t="shared" si="98"/>
        <v>0</v>
      </c>
      <c r="AC152" s="26">
        <f t="shared" si="99"/>
        <v>0</v>
      </c>
      <c r="AD152" s="26">
        <f t="shared" si="100"/>
        <v>0</v>
      </c>
      <c r="AE152" s="26">
        <f t="shared" si="101"/>
        <v>0</v>
      </c>
      <c r="AF152" s="26">
        <f t="shared" si="102"/>
        <v>0</v>
      </c>
      <c r="AG152" s="26">
        <f t="shared" si="103"/>
        <v>0</v>
      </c>
      <c r="AH152" s="26">
        <f t="shared" si="104"/>
        <v>0</v>
      </c>
      <c r="AI152" s="11" t="s">
        <v>58</v>
      </c>
      <c r="AJ152" s="26">
        <f t="shared" si="105"/>
        <v>0</v>
      </c>
      <c r="AK152" s="26">
        <f t="shared" si="106"/>
        <v>0</v>
      </c>
      <c r="AL152" s="26">
        <f t="shared" si="107"/>
        <v>0</v>
      </c>
      <c r="AN152" s="26">
        <v>12</v>
      </c>
      <c r="AO152" s="26">
        <f>G152*0</f>
        <v>0</v>
      </c>
      <c r="AP152" s="26">
        <f>G152*(1-0)</f>
        <v>0</v>
      </c>
      <c r="AQ152" s="29" t="s">
        <v>80</v>
      </c>
      <c r="AV152" s="26">
        <f t="shared" si="108"/>
        <v>0</v>
      </c>
      <c r="AW152" s="26">
        <f t="shared" si="109"/>
        <v>0</v>
      </c>
      <c r="AX152" s="26">
        <f t="shared" si="110"/>
        <v>0</v>
      </c>
      <c r="AY152" s="29" t="s">
        <v>404</v>
      </c>
      <c r="AZ152" s="29" t="s">
        <v>109</v>
      </c>
      <c r="BA152" s="11" t="s">
        <v>61</v>
      </c>
      <c r="BB152" s="30">
        <v>100005</v>
      </c>
      <c r="BC152" s="26">
        <f t="shared" si="111"/>
        <v>0</v>
      </c>
      <c r="BD152" s="26">
        <f t="shared" si="112"/>
        <v>0</v>
      </c>
      <c r="BE152" s="26">
        <v>0</v>
      </c>
      <c r="BF152" s="26">
        <f>152</f>
        <v>152</v>
      </c>
      <c r="BH152" s="26">
        <f t="shared" si="113"/>
        <v>0</v>
      </c>
      <c r="BI152" s="26">
        <f t="shared" si="114"/>
        <v>0</v>
      </c>
      <c r="BJ152" s="26">
        <f t="shared" si="115"/>
        <v>0</v>
      </c>
      <c r="BK152" s="26"/>
      <c r="BL152" s="26">
        <v>726</v>
      </c>
      <c r="BW152" s="26">
        <v>12</v>
      </c>
      <c r="BX152" s="5" t="s">
        <v>422</v>
      </c>
    </row>
    <row r="153" spans="1:76" x14ac:dyDescent="0.25">
      <c r="A153" s="31" t="s">
        <v>50</v>
      </c>
      <c r="B153" s="32" t="s">
        <v>423</v>
      </c>
      <c r="C153" s="116" t="s">
        <v>424</v>
      </c>
      <c r="D153" s="117"/>
      <c r="E153" s="33" t="s">
        <v>4</v>
      </c>
      <c r="F153" s="33" t="s">
        <v>4</v>
      </c>
      <c r="G153" s="34" t="s">
        <v>4</v>
      </c>
      <c r="H153" s="1">
        <f>SUM(H154:H156)</f>
        <v>0</v>
      </c>
      <c r="I153" s="1">
        <f>SUM(I154:I156)</f>
        <v>0</v>
      </c>
      <c r="J153" s="1">
        <f>SUM(J154:J156)</f>
        <v>0</v>
      </c>
      <c r="K153" s="35" t="s">
        <v>50</v>
      </c>
      <c r="AI153" s="11" t="s">
        <v>50</v>
      </c>
      <c r="AS153" s="1">
        <f>SUM(AJ154:AJ156)</f>
        <v>0</v>
      </c>
      <c r="AT153" s="1">
        <f>SUM(AK154:AK156)</f>
        <v>0</v>
      </c>
      <c r="AU153" s="1">
        <f>SUM(AL154:AL156)</f>
        <v>0</v>
      </c>
    </row>
    <row r="154" spans="1:76" x14ac:dyDescent="0.25">
      <c r="A154" s="2" t="s">
        <v>425</v>
      </c>
      <c r="B154" s="3" t="s">
        <v>426</v>
      </c>
      <c r="C154" s="96" t="s">
        <v>427</v>
      </c>
      <c r="D154" s="91"/>
      <c r="E154" s="3" t="s">
        <v>93</v>
      </c>
      <c r="F154" s="26">
        <v>72</v>
      </c>
      <c r="G154" s="27">
        <v>0</v>
      </c>
      <c r="H154" s="26">
        <f>F154*AO154</f>
        <v>0</v>
      </c>
      <c r="I154" s="26">
        <f>F154*AP154</f>
        <v>0</v>
      </c>
      <c r="J154" s="26">
        <f>F154*G154</f>
        <v>0</v>
      </c>
      <c r="K154" s="28" t="s">
        <v>65</v>
      </c>
      <c r="Z154" s="26">
        <f>IF(AQ154="5",BJ154,0)</f>
        <v>0</v>
      </c>
      <c r="AB154" s="26">
        <f>IF(AQ154="1",BH154,0)</f>
        <v>0</v>
      </c>
      <c r="AC154" s="26">
        <f>IF(AQ154="1",BI154,0)</f>
        <v>0</v>
      </c>
      <c r="AD154" s="26">
        <f>IF(AQ154="7",BH154,0)</f>
        <v>0</v>
      </c>
      <c r="AE154" s="26">
        <f>IF(AQ154="7",BI154,0)</f>
        <v>0</v>
      </c>
      <c r="AF154" s="26">
        <f>IF(AQ154="2",BH154,0)</f>
        <v>0</v>
      </c>
      <c r="AG154" s="26">
        <f>IF(AQ154="2",BI154,0)</f>
        <v>0</v>
      </c>
      <c r="AH154" s="26">
        <f>IF(AQ154="0",BJ154,0)</f>
        <v>0</v>
      </c>
      <c r="AI154" s="11" t="s">
        <v>58</v>
      </c>
      <c r="AJ154" s="26">
        <f>IF(AN154=0,J154,0)</f>
        <v>0</v>
      </c>
      <c r="AK154" s="26">
        <f>IF(AN154=12,J154,0)</f>
        <v>0</v>
      </c>
      <c r="AL154" s="26">
        <f>IF(AN154=21,J154,0)</f>
        <v>0</v>
      </c>
      <c r="AN154" s="26">
        <v>12</v>
      </c>
      <c r="AO154" s="26">
        <f>G154*0</f>
        <v>0</v>
      </c>
      <c r="AP154" s="26">
        <f>G154*(1-0)</f>
        <v>0</v>
      </c>
      <c r="AQ154" s="29" t="s">
        <v>90</v>
      </c>
      <c r="AV154" s="26">
        <f>AW154+AX154</f>
        <v>0</v>
      </c>
      <c r="AW154" s="26">
        <f>F154*AO154</f>
        <v>0</v>
      </c>
      <c r="AX154" s="26">
        <f>F154*AP154</f>
        <v>0</v>
      </c>
      <c r="AY154" s="29" t="s">
        <v>428</v>
      </c>
      <c r="AZ154" s="29" t="s">
        <v>109</v>
      </c>
      <c r="BA154" s="11" t="s">
        <v>61</v>
      </c>
      <c r="BB154" s="30">
        <v>100006</v>
      </c>
      <c r="BC154" s="26">
        <f>AW154+AX154</f>
        <v>0</v>
      </c>
      <c r="BD154" s="26">
        <f>G154/(100-BE154)*100</f>
        <v>0</v>
      </c>
      <c r="BE154" s="26">
        <v>0</v>
      </c>
      <c r="BF154" s="26">
        <f>154</f>
        <v>154</v>
      </c>
      <c r="BH154" s="26">
        <f>F154*AO154</f>
        <v>0</v>
      </c>
      <c r="BI154" s="26">
        <f>F154*AP154</f>
        <v>0</v>
      </c>
      <c r="BJ154" s="26">
        <f>F154*G154</f>
        <v>0</v>
      </c>
      <c r="BK154" s="26"/>
      <c r="BL154" s="26">
        <v>728</v>
      </c>
      <c r="BW154" s="26">
        <v>12</v>
      </c>
      <c r="BX154" s="5" t="s">
        <v>427</v>
      </c>
    </row>
    <row r="155" spans="1:76" x14ac:dyDescent="0.25">
      <c r="A155" s="2" t="s">
        <v>429</v>
      </c>
      <c r="B155" s="3" t="s">
        <v>430</v>
      </c>
      <c r="C155" s="96" t="s">
        <v>431</v>
      </c>
      <c r="D155" s="91"/>
      <c r="E155" s="3" t="s">
        <v>93</v>
      </c>
      <c r="F155" s="26">
        <v>72</v>
      </c>
      <c r="G155" s="27">
        <v>0</v>
      </c>
      <c r="H155" s="26">
        <f>F155*AO155</f>
        <v>0</v>
      </c>
      <c r="I155" s="26">
        <f>F155*AP155</f>
        <v>0</v>
      </c>
      <c r="J155" s="26">
        <f>F155*G155</f>
        <v>0</v>
      </c>
      <c r="K155" s="28" t="s">
        <v>65</v>
      </c>
      <c r="Z155" s="26">
        <f>IF(AQ155="5",BJ155,0)</f>
        <v>0</v>
      </c>
      <c r="AB155" s="26">
        <f>IF(AQ155="1",BH155,0)</f>
        <v>0</v>
      </c>
      <c r="AC155" s="26">
        <f>IF(AQ155="1",BI155,0)</f>
        <v>0</v>
      </c>
      <c r="AD155" s="26">
        <f>IF(AQ155="7",BH155,0)</f>
        <v>0</v>
      </c>
      <c r="AE155" s="26">
        <f>IF(AQ155="7",BI155,0)</f>
        <v>0</v>
      </c>
      <c r="AF155" s="26">
        <f>IF(AQ155="2",BH155,0)</f>
        <v>0</v>
      </c>
      <c r="AG155" s="26">
        <f>IF(AQ155="2",BI155,0)</f>
        <v>0</v>
      </c>
      <c r="AH155" s="26">
        <f>IF(AQ155="0",BJ155,0)</f>
        <v>0</v>
      </c>
      <c r="AI155" s="11" t="s">
        <v>58</v>
      </c>
      <c r="AJ155" s="26">
        <f>IF(AN155=0,J155,0)</f>
        <v>0</v>
      </c>
      <c r="AK155" s="26">
        <f>IF(AN155=12,J155,0)</f>
        <v>0</v>
      </c>
      <c r="AL155" s="26">
        <f>IF(AN155=21,J155,0)</f>
        <v>0</v>
      </c>
      <c r="AN155" s="26">
        <v>12</v>
      </c>
      <c r="AO155" s="26">
        <f>G155*0</f>
        <v>0</v>
      </c>
      <c r="AP155" s="26">
        <f>G155*(1-0)</f>
        <v>0</v>
      </c>
      <c r="AQ155" s="29" t="s">
        <v>90</v>
      </c>
      <c r="AV155" s="26">
        <f>AW155+AX155</f>
        <v>0</v>
      </c>
      <c r="AW155" s="26">
        <f>F155*AO155</f>
        <v>0</v>
      </c>
      <c r="AX155" s="26">
        <f>F155*AP155</f>
        <v>0</v>
      </c>
      <c r="AY155" s="29" t="s">
        <v>428</v>
      </c>
      <c r="AZ155" s="29" t="s">
        <v>109</v>
      </c>
      <c r="BA155" s="11" t="s">
        <v>61</v>
      </c>
      <c r="BB155" s="30">
        <v>100006</v>
      </c>
      <c r="BC155" s="26">
        <f>AW155+AX155</f>
        <v>0</v>
      </c>
      <c r="BD155" s="26">
        <f>G155/(100-BE155)*100</f>
        <v>0</v>
      </c>
      <c r="BE155" s="26">
        <v>0</v>
      </c>
      <c r="BF155" s="26">
        <f>155</f>
        <v>155</v>
      </c>
      <c r="BH155" s="26">
        <f>F155*AO155</f>
        <v>0</v>
      </c>
      <c r="BI155" s="26">
        <f>F155*AP155</f>
        <v>0</v>
      </c>
      <c r="BJ155" s="26">
        <f>F155*G155</f>
        <v>0</v>
      </c>
      <c r="BK155" s="26"/>
      <c r="BL155" s="26">
        <v>728</v>
      </c>
      <c r="BW155" s="26">
        <v>12</v>
      </c>
      <c r="BX155" s="5" t="s">
        <v>431</v>
      </c>
    </row>
    <row r="156" spans="1:76" x14ac:dyDescent="0.25">
      <c r="A156" s="2" t="s">
        <v>432</v>
      </c>
      <c r="B156" s="3" t="s">
        <v>433</v>
      </c>
      <c r="C156" s="96" t="s">
        <v>434</v>
      </c>
      <c r="D156" s="91"/>
      <c r="E156" s="3" t="s">
        <v>102</v>
      </c>
      <c r="F156" s="26">
        <v>0.28799999999999998</v>
      </c>
      <c r="G156" s="27">
        <v>0</v>
      </c>
      <c r="H156" s="26">
        <f>F156*AO156</f>
        <v>0</v>
      </c>
      <c r="I156" s="26">
        <f>F156*AP156</f>
        <v>0</v>
      </c>
      <c r="J156" s="26">
        <f>F156*G156</f>
        <v>0</v>
      </c>
      <c r="K156" s="28" t="s">
        <v>65</v>
      </c>
      <c r="Z156" s="26">
        <f>IF(AQ156="5",BJ156,0)</f>
        <v>0</v>
      </c>
      <c r="AB156" s="26">
        <f>IF(AQ156="1",BH156,0)</f>
        <v>0</v>
      </c>
      <c r="AC156" s="26">
        <f>IF(AQ156="1",BI156,0)</f>
        <v>0</v>
      </c>
      <c r="AD156" s="26">
        <f>IF(AQ156="7",BH156,0)</f>
        <v>0</v>
      </c>
      <c r="AE156" s="26">
        <f>IF(AQ156="7",BI156,0)</f>
        <v>0</v>
      </c>
      <c r="AF156" s="26">
        <f>IF(AQ156="2",BH156,0)</f>
        <v>0</v>
      </c>
      <c r="AG156" s="26">
        <f>IF(AQ156="2",BI156,0)</f>
        <v>0</v>
      </c>
      <c r="AH156" s="26">
        <f>IF(AQ156="0",BJ156,0)</f>
        <v>0</v>
      </c>
      <c r="AI156" s="11" t="s">
        <v>58</v>
      </c>
      <c r="AJ156" s="26">
        <f>IF(AN156=0,J156,0)</f>
        <v>0</v>
      </c>
      <c r="AK156" s="26">
        <f>IF(AN156=12,J156,0)</f>
        <v>0</v>
      </c>
      <c r="AL156" s="26">
        <f>IF(AN156=21,J156,0)</f>
        <v>0</v>
      </c>
      <c r="AN156" s="26">
        <v>12</v>
      </c>
      <c r="AO156" s="26">
        <f>G156*0</f>
        <v>0</v>
      </c>
      <c r="AP156" s="26">
        <f>G156*(1-0)</f>
        <v>0</v>
      </c>
      <c r="AQ156" s="29" t="s">
        <v>80</v>
      </c>
      <c r="AV156" s="26">
        <f>AW156+AX156</f>
        <v>0</v>
      </c>
      <c r="AW156" s="26">
        <f>F156*AO156</f>
        <v>0</v>
      </c>
      <c r="AX156" s="26">
        <f>F156*AP156</f>
        <v>0</v>
      </c>
      <c r="AY156" s="29" t="s">
        <v>428</v>
      </c>
      <c r="AZ156" s="29" t="s">
        <v>109</v>
      </c>
      <c r="BA156" s="11" t="s">
        <v>61</v>
      </c>
      <c r="BB156" s="30">
        <v>100006</v>
      </c>
      <c r="BC156" s="26">
        <f>AW156+AX156</f>
        <v>0</v>
      </c>
      <c r="BD156" s="26">
        <f>G156/(100-BE156)*100</f>
        <v>0</v>
      </c>
      <c r="BE156" s="26">
        <v>0</v>
      </c>
      <c r="BF156" s="26">
        <f>156</f>
        <v>156</v>
      </c>
      <c r="BH156" s="26">
        <f>F156*AO156</f>
        <v>0</v>
      </c>
      <c r="BI156" s="26">
        <f>F156*AP156</f>
        <v>0</v>
      </c>
      <c r="BJ156" s="26">
        <f>F156*G156</f>
        <v>0</v>
      </c>
      <c r="BK156" s="26"/>
      <c r="BL156" s="26">
        <v>728</v>
      </c>
      <c r="BW156" s="26">
        <v>12</v>
      </c>
      <c r="BX156" s="5" t="s">
        <v>434</v>
      </c>
    </row>
    <row r="157" spans="1:76" x14ac:dyDescent="0.25">
      <c r="A157" s="31" t="s">
        <v>50</v>
      </c>
      <c r="B157" s="32" t="s">
        <v>435</v>
      </c>
      <c r="C157" s="116" t="s">
        <v>436</v>
      </c>
      <c r="D157" s="117"/>
      <c r="E157" s="33" t="s">
        <v>4</v>
      </c>
      <c r="F157" s="33" t="s">
        <v>4</v>
      </c>
      <c r="G157" s="34" t="s">
        <v>4</v>
      </c>
      <c r="H157" s="1">
        <f>SUM(H158:H179)</f>
        <v>0</v>
      </c>
      <c r="I157" s="1">
        <f>SUM(I158:I179)</f>
        <v>0</v>
      </c>
      <c r="J157" s="1">
        <f>SUM(J158:J179)</f>
        <v>0</v>
      </c>
      <c r="K157" s="35" t="s">
        <v>50</v>
      </c>
      <c r="AI157" s="11" t="s">
        <v>50</v>
      </c>
      <c r="AS157" s="1">
        <f>SUM(AJ158:AJ179)</f>
        <v>0</v>
      </c>
      <c r="AT157" s="1">
        <f>SUM(AK158:AK179)</f>
        <v>0</v>
      </c>
      <c r="AU157" s="1">
        <f>SUM(AL158:AL179)</f>
        <v>0</v>
      </c>
    </row>
    <row r="158" spans="1:76" x14ac:dyDescent="0.25">
      <c r="A158" s="2" t="s">
        <v>437</v>
      </c>
      <c r="B158" s="3" t="s">
        <v>438</v>
      </c>
      <c r="C158" s="96" t="s">
        <v>439</v>
      </c>
      <c r="D158" s="91"/>
      <c r="E158" s="3" t="s">
        <v>56</v>
      </c>
      <c r="F158" s="26">
        <v>37.44</v>
      </c>
      <c r="G158" s="27">
        <v>0</v>
      </c>
      <c r="H158" s="26">
        <f>F158*AO158</f>
        <v>0</v>
      </c>
      <c r="I158" s="26">
        <f>F158*AP158</f>
        <v>0</v>
      </c>
      <c r="J158" s="26">
        <f>F158*G158</f>
        <v>0</v>
      </c>
      <c r="K158" s="28" t="s">
        <v>65</v>
      </c>
      <c r="Z158" s="26">
        <f>IF(AQ158="5",BJ158,0)</f>
        <v>0</v>
      </c>
      <c r="AB158" s="26">
        <f>IF(AQ158="1",BH158,0)</f>
        <v>0</v>
      </c>
      <c r="AC158" s="26">
        <f>IF(AQ158="1",BI158,0)</f>
        <v>0</v>
      </c>
      <c r="AD158" s="26">
        <f>IF(AQ158="7",BH158,0)</f>
        <v>0</v>
      </c>
      <c r="AE158" s="26">
        <f>IF(AQ158="7",BI158,0)</f>
        <v>0</v>
      </c>
      <c r="AF158" s="26">
        <f>IF(AQ158="2",BH158,0)</f>
        <v>0</v>
      </c>
      <c r="AG158" s="26">
        <f>IF(AQ158="2",BI158,0)</f>
        <v>0</v>
      </c>
      <c r="AH158" s="26">
        <f>IF(AQ158="0",BJ158,0)</f>
        <v>0</v>
      </c>
      <c r="AI158" s="11" t="s">
        <v>58</v>
      </c>
      <c r="AJ158" s="26">
        <f>IF(AN158=0,J158,0)</f>
        <v>0</v>
      </c>
      <c r="AK158" s="26">
        <f>IF(AN158=12,J158,0)</f>
        <v>0</v>
      </c>
      <c r="AL158" s="26">
        <f>IF(AN158=21,J158,0)</f>
        <v>0</v>
      </c>
      <c r="AN158" s="26">
        <v>12</v>
      </c>
      <c r="AO158" s="26">
        <f>G158*0</f>
        <v>0</v>
      </c>
      <c r="AP158" s="26">
        <f>G158*(1-0)</f>
        <v>0</v>
      </c>
      <c r="AQ158" s="29" t="s">
        <v>90</v>
      </c>
      <c r="AV158" s="26">
        <f>AW158+AX158</f>
        <v>0</v>
      </c>
      <c r="AW158" s="26">
        <f>F158*AO158</f>
        <v>0</v>
      </c>
      <c r="AX158" s="26">
        <f>F158*AP158</f>
        <v>0</v>
      </c>
      <c r="AY158" s="29" t="s">
        <v>440</v>
      </c>
      <c r="AZ158" s="29" t="s">
        <v>441</v>
      </c>
      <c r="BA158" s="11" t="s">
        <v>61</v>
      </c>
      <c r="BB158" s="30">
        <v>100008</v>
      </c>
      <c r="BC158" s="26">
        <f>AW158+AX158</f>
        <v>0</v>
      </c>
      <c r="BD158" s="26">
        <f>G158/(100-BE158)*100</f>
        <v>0</v>
      </c>
      <c r="BE158" s="26">
        <v>0</v>
      </c>
      <c r="BF158" s="26">
        <f>158</f>
        <v>158</v>
      </c>
      <c r="BH158" s="26">
        <f>F158*AO158</f>
        <v>0</v>
      </c>
      <c r="BI158" s="26">
        <f>F158*AP158</f>
        <v>0</v>
      </c>
      <c r="BJ158" s="26">
        <f>F158*G158</f>
        <v>0</v>
      </c>
      <c r="BK158" s="26"/>
      <c r="BL158" s="26">
        <v>767</v>
      </c>
      <c r="BW158" s="26">
        <v>12</v>
      </c>
      <c r="BX158" s="5" t="s">
        <v>439</v>
      </c>
    </row>
    <row r="159" spans="1:76" x14ac:dyDescent="0.25">
      <c r="A159" s="2" t="s">
        <v>442</v>
      </c>
      <c r="B159" s="3" t="s">
        <v>443</v>
      </c>
      <c r="C159" s="96" t="s">
        <v>444</v>
      </c>
      <c r="D159" s="91"/>
      <c r="E159" s="3" t="s">
        <v>445</v>
      </c>
      <c r="F159" s="26">
        <v>12</v>
      </c>
      <c r="G159" s="27">
        <v>0</v>
      </c>
      <c r="H159" s="26">
        <f>F159*AO159</f>
        <v>0</v>
      </c>
      <c r="I159" s="26">
        <f>F159*AP159</f>
        <v>0</v>
      </c>
      <c r="J159" s="26">
        <f>F159*G159</f>
        <v>0</v>
      </c>
      <c r="K159" s="28" t="s">
        <v>65</v>
      </c>
      <c r="Z159" s="26">
        <f>IF(AQ159="5",BJ159,0)</f>
        <v>0</v>
      </c>
      <c r="AB159" s="26">
        <f>IF(AQ159="1",BH159,0)</f>
        <v>0</v>
      </c>
      <c r="AC159" s="26">
        <f>IF(AQ159="1",BI159,0)</f>
        <v>0</v>
      </c>
      <c r="AD159" s="26">
        <f>IF(AQ159="7",BH159,0)</f>
        <v>0</v>
      </c>
      <c r="AE159" s="26">
        <f>IF(AQ159="7",BI159,0)</f>
        <v>0</v>
      </c>
      <c r="AF159" s="26">
        <f>IF(AQ159="2",BH159,0)</f>
        <v>0</v>
      </c>
      <c r="AG159" s="26">
        <f>IF(AQ159="2",BI159,0)</f>
        <v>0</v>
      </c>
      <c r="AH159" s="26">
        <f>IF(AQ159="0",BJ159,0)</f>
        <v>0</v>
      </c>
      <c r="AI159" s="11" t="s">
        <v>58</v>
      </c>
      <c r="AJ159" s="26">
        <f>IF(AN159=0,J159,0)</f>
        <v>0</v>
      </c>
      <c r="AK159" s="26">
        <f>IF(AN159=12,J159,0)</f>
        <v>0</v>
      </c>
      <c r="AL159" s="26">
        <f>IF(AN159=21,J159,0)</f>
        <v>0</v>
      </c>
      <c r="AN159" s="26">
        <v>12</v>
      </c>
      <c r="AO159" s="26">
        <f>G159*0.203416149</f>
        <v>0</v>
      </c>
      <c r="AP159" s="26">
        <f>G159*(1-0.203416149)</f>
        <v>0</v>
      </c>
      <c r="AQ159" s="29" t="s">
        <v>90</v>
      </c>
      <c r="AV159" s="26">
        <f>AW159+AX159</f>
        <v>0</v>
      </c>
      <c r="AW159" s="26">
        <f>F159*AO159</f>
        <v>0</v>
      </c>
      <c r="AX159" s="26">
        <f>F159*AP159</f>
        <v>0</v>
      </c>
      <c r="AY159" s="29" t="s">
        <v>440</v>
      </c>
      <c r="AZ159" s="29" t="s">
        <v>441</v>
      </c>
      <c r="BA159" s="11" t="s">
        <v>61</v>
      </c>
      <c r="BB159" s="30">
        <v>100008</v>
      </c>
      <c r="BC159" s="26">
        <f>AW159+AX159</f>
        <v>0</v>
      </c>
      <c r="BD159" s="26">
        <f>G159/(100-BE159)*100</f>
        <v>0</v>
      </c>
      <c r="BE159" s="26">
        <v>0</v>
      </c>
      <c r="BF159" s="26">
        <f>159</f>
        <v>159</v>
      </c>
      <c r="BH159" s="26">
        <f>F159*AO159</f>
        <v>0</v>
      </c>
      <c r="BI159" s="26">
        <f>F159*AP159</f>
        <v>0</v>
      </c>
      <c r="BJ159" s="26">
        <f>F159*G159</f>
        <v>0</v>
      </c>
      <c r="BK159" s="26"/>
      <c r="BL159" s="26">
        <v>767</v>
      </c>
      <c r="BW159" s="26">
        <v>12</v>
      </c>
      <c r="BX159" s="5" t="s">
        <v>444</v>
      </c>
    </row>
    <row r="160" spans="1:76" ht="13.5" customHeight="1" x14ac:dyDescent="0.25">
      <c r="A160" s="36"/>
      <c r="B160" s="37" t="s">
        <v>233</v>
      </c>
      <c r="C160" s="118" t="s">
        <v>446</v>
      </c>
      <c r="D160" s="119"/>
      <c r="E160" s="119"/>
      <c r="F160" s="119"/>
      <c r="G160" s="120"/>
      <c r="H160" s="119"/>
      <c r="I160" s="119"/>
      <c r="J160" s="119"/>
      <c r="K160" s="121"/>
    </row>
    <row r="161" spans="1:76" x14ac:dyDescent="0.25">
      <c r="A161" s="2" t="s">
        <v>447</v>
      </c>
      <c r="B161" s="3" t="s">
        <v>448</v>
      </c>
      <c r="C161" s="96" t="s">
        <v>444</v>
      </c>
      <c r="D161" s="91"/>
      <c r="E161" s="3" t="s">
        <v>445</v>
      </c>
      <c r="F161" s="26">
        <v>6</v>
      </c>
      <c r="G161" s="27">
        <v>0</v>
      </c>
      <c r="H161" s="26">
        <f>F161*AO161</f>
        <v>0</v>
      </c>
      <c r="I161" s="26">
        <f>F161*AP161</f>
        <v>0</v>
      </c>
      <c r="J161" s="26">
        <f>F161*G161</f>
        <v>0</v>
      </c>
      <c r="K161" s="28" t="s">
        <v>65</v>
      </c>
      <c r="Z161" s="26">
        <f>IF(AQ161="5",BJ161,0)</f>
        <v>0</v>
      </c>
      <c r="AB161" s="26">
        <f>IF(AQ161="1",BH161,0)</f>
        <v>0</v>
      </c>
      <c r="AC161" s="26">
        <f>IF(AQ161="1",BI161,0)</f>
        <v>0</v>
      </c>
      <c r="AD161" s="26">
        <f>IF(AQ161="7",BH161,0)</f>
        <v>0</v>
      </c>
      <c r="AE161" s="26">
        <f>IF(AQ161="7",BI161,0)</f>
        <v>0</v>
      </c>
      <c r="AF161" s="26">
        <f>IF(AQ161="2",BH161,0)</f>
        <v>0</v>
      </c>
      <c r="AG161" s="26">
        <f>IF(AQ161="2",BI161,0)</f>
        <v>0</v>
      </c>
      <c r="AH161" s="26">
        <f>IF(AQ161="0",BJ161,0)</f>
        <v>0</v>
      </c>
      <c r="AI161" s="11" t="s">
        <v>58</v>
      </c>
      <c r="AJ161" s="26">
        <f>IF(AN161=0,J161,0)</f>
        <v>0</v>
      </c>
      <c r="AK161" s="26">
        <f>IF(AN161=12,J161,0)</f>
        <v>0</v>
      </c>
      <c r="AL161" s="26">
        <f>IF(AN161=21,J161,0)</f>
        <v>0</v>
      </c>
      <c r="AN161" s="26">
        <v>12</v>
      </c>
      <c r="AO161" s="26">
        <f>G161*0.20619195</f>
        <v>0</v>
      </c>
      <c r="AP161" s="26">
        <f>G161*(1-0.20619195)</f>
        <v>0</v>
      </c>
      <c r="AQ161" s="29" t="s">
        <v>90</v>
      </c>
      <c r="AV161" s="26">
        <f>AW161+AX161</f>
        <v>0</v>
      </c>
      <c r="AW161" s="26">
        <f>F161*AO161</f>
        <v>0</v>
      </c>
      <c r="AX161" s="26">
        <f>F161*AP161</f>
        <v>0</v>
      </c>
      <c r="AY161" s="29" t="s">
        <v>440</v>
      </c>
      <c r="AZ161" s="29" t="s">
        <v>441</v>
      </c>
      <c r="BA161" s="11" t="s">
        <v>61</v>
      </c>
      <c r="BB161" s="30">
        <v>100008</v>
      </c>
      <c r="BC161" s="26">
        <f>AW161+AX161</f>
        <v>0</v>
      </c>
      <c r="BD161" s="26">
        <f>G161/(100-BE161)*100</f>
        <v>0</v>
      </c>
      <c r="BE161" s="26">
        <v>0</v>
      </c>
      <c r="BF161" s="26">
        <f>161</f>
        <v>161</v>
      </c>
      <c r="BH161" s="26">
        <f>F161*AO161</f>
        <v>0</v>
      </c>
      <c r="BI161" s="26">
        <f>F161*AP161</f>
        <v>0</v>
      </c>
      <c r="BJ161" s="26">
        <f>F161*G161</f>
        <v>0</v>
      </c>
      <c r="BK161" s="26"/>
      <c r="BL161" s="26">
        <v>767</v>
      </c>
      <c r="BW161" s="26">
        <v>12</v>
      </c>
      <c r="BX161" s="5" t="s">
        <v>444</v>
      </c>
    </row>
    <row r="162" spans="1:76" ht="13.5" customHeight="1" x14ac:dyDescent="0.25">
      <c r="A162" s="36"/>
      <c r="B162" s="37" t="s">
        <v>233</v>
      </c>
      <c r="C162" s="118" t="s">
        <v>449</v>
      </c>
      <c r="D162" s="119"/>
      <c r="E162" s="119"/>
      <c r="F162" s="119"/>
      <c r="G162" s="120"/>
      <c r="H162" s="119"/>
      <c r="I162" s="119"/>
      <c r="J162" s="119"/>
      <c r="K162" s="121"/>
    </row>
    <row r="163" spans="1:76" x14ac:dyDescent="0.25">
      <c r="A163" s="2" t="s">
        <v>450</v>
      </c>
      <c r="B163" s="3" t="s">
        <v>451</v>
      </c>
      <c r="C163" s="96" t="s">
        <v>444</v>
      </c>
      <c r="D163" s="91"/>
      <c r="E163" s="3" t="s">
        <v>445</v>
      </c>
      <c r="F163" s="26">
        <v>16</v>
      </c>
      <c r="G163" s="27">
        <v>0</v>
      </c>
      <c r="H163" s="26">
        <f>F163*AO163</f>
        <v>0</v>
      </c>
      <c r="I163" s="26">
        <f>F163*AP163</f>
        <v>0</v>
      </c>
      <c r="J163" s="26">
        <f>F163*G163</f>
        <v>0</v>
      </c>
      <c r="K163" s="28" t="s">
        <v>65</v>
      </c>
      <c r="Z163" s="26">
        <f>IF(AQ163="5",BJ163,0)</f>
        <v>0</v>
      </c>
      <c r="AB163" s="26">
        <f>IF(AQ163="1",BH163,0)</f>
        <v>0</v>
      </c>
      <c r="AC163" s="26">
        <f>IF(AQ163="1",BI163,0)</f>
        <v>0</v>
      </c>
      <c r="AD163" s="26">
        <f>IF(AQ163="7",BH163,0)</f>
        <v>0</v>
      </c>
      <c r="AE163" s="26">
        <f>IF(AQ163="7",BI163,0)</f>
        <v>0</v>
      </c>
      <c r="AF163" s="26">
        <f>IF(AQ163="2",BH163,0)</f>
        <v>0</v>
      </c>
      <c r="AG163" s="26">
        <f>IF(AQ163="2",BI163,0)</f>
        <v>0</v>
      </c>
      <c r="AH163" s="26">
        <f>IF(AQ163="0",BJ163,0)</f>
        <v>0</v>
      </c>
      <c r="AI163" s="11" t="s">
        <v>58</v>
      </c>
      <c r="AJ163" s="26">
        <f>IF(AN163=0,J163,0)</f>
        <v>0</v>
      </c>
      <c r="AK163" s="26">
        <f>IF(AN163=12,J163,0)</f>
        <v>0</v>
      </c>
      <c r="AL163" s="26">
        <f>IF(AN163=21,J163,0)</f>
        <v>0</v>
      </c>
      <c r="AN163" s="26">
        <v>12</v>
      </c>
      <c r="AO163" s="26">
        <f>G163*0.212369231</f>
        <v>0</v>
      </c>
      <c r="AP163" s="26">
        <f>G163*(1-0.212369231)</f>
        <v>0</v>
      </c>
      <c r="AQ163" s="29" t="s">
        <v>90</v>
      </c>
      <c r="AV163" s="26">
        <f>AW163+AX163</f>
        <v>0</v>
      </c>
      <c r="AW163" s="26">
        <f>F163*AO163</f>
        <v>0</v>
      </c>
      <c r="AX163" s="26">
        <f>F163*AP163</f>
        <v>0</v>
      </c>
      <c r="AY163" s="29" t="s">
        <v>440</v>
      </c>
      <c r="AZ163" s="29" t="s">
        <v>441</v>
      </c>
      <c r="BA163" s="11" t="s">
        <v>61</v>
      </c>
      <c r="BB163" s="30">
        <v>100025</v>
      </c>
      <c r="BC163" s="26">
        <f>AW163+AX163</f>
        <v>0</v>
      </c>
      <c r="BD163" s="26">
        <f>G163/(100-BE163)*100</f>
        <v>0</v>
      </c>
      <c r="BE163" s="26">
        <v>0</v>
      </c>
      <c r="BF163" s="26">
        <f>163</f>
        <v>163</v>
      </c>
      <c r="BH163" s="26">
        <f>F163*AO163</f>
        <v>0</v>
      </c>
      <c r="BI163" s="26">
        <f>F163*AP163</f>
        <v>0</v>
      </c>
      <c r="BJ163" s="26">
        <f>F163*G163</f>
        <v>0</v>
      </c>
      <c r="BK163" s="26"/>
      <c r="BL163" s="26">
        <v>767</v>
      </c>
      <c r="BW163" s="26">
        <v>12</v>
      </c>
      <c r="BX163" s="5" t="s">
        <v>444</v>
      </c>
    </row>
    <row r="164" spans="1:76" ht="13.5" customHeight="1" x14ac:dyDescent="0.25">
      <c r="A164" s="36"/>
      <c r="B164" s="37" t="s">
        <v>233</v>
      </c>
      <c r="C164" s="118" t="s">
        <v>452</v>
      </c>
      <c r="D164" s="119"/>
      <c r="E164" s="119"/>
      <c r="F164" s="119"/>
      <c r="G164" s="120"/>
      <c r="H164" s="119"/>
      <c r="I164" s="119"/>
      <c r="J164" s="119"/>
      <c r="K164" s="121"/>
    </row>
    <row r="165" spans="1:76" x14ac:dyDescent="0.25">
      <c r="A165" s="2" t="s">
        <v>453</v>
      </c>
      <c r="B165" s="3" t="s">
        <v>454</v>
      </c>
      <c r="C165" s="96" t="s">
        <v>444</v>
      </c>
      <c r="D165" s="91"/>
      <c r="E165" s="3" t="s">
        <v>445</v>
      </c>
      <c r="F165" s="26">
        <v>14</v>
      </c>
      <c r="G165" s="27">
        <v>0</v>
      </c>
      <c r="H165" s="26">
        <f>F165*AO165</f>
        <v>0</v>
      </c>
      <c r="I165" s="26">
        <f>F165*AP165</f>
        <v>0</v>
      </c>
      <c r="J165" s="26">
        <f>F165*G165</f>
        <v>0</v>
      </c>
      <c r="K165" s="28" t="s">
        <v>65</v>
      </c>
      <c r="Z165" s="26">
        <f>IF(AQ165="5",BJ165,0)</f>
        <v>0</v>
      </c>
      <c r="AB165" s="26">
        <f>IF(AQ165="1",BH165,0)</f>
        <v>0</v>
      </c>
      <c r="AC165" s="26">
        <f>IF(AQ165="1",BI165,0)</f>
        <v>0</v>
      </c>
      <c r="AD165" s="26">
        <f>IF(AQ165="7",BH165,0)</f>
        <v>0</v>
      </c>
      <c r="AE165" s="26">
        <f>IF(AQ165="7",BI165,0)</f>
        <v>0</v>
      </c>
      <c r="AF165" s="26">
        <f>IF(AQ165="2",BH165,0)</f>
        <v>0</v>
      </c>
      <c r="AG165" s="26">
        <f>IF(AQ165="2",BI165,0)</f>
        <v>0</v>
      </c>
      <c r="AH165" s="26">
        <f>IF(AQ165="0",BJ165,0)</f>
        <v>0</v>
      </c>
      <c r="AI165" s="11" t="s">
        <v>58</v>
      </c>
      <c r="AJ165" s="26">
        <f>IF(AN165=0,J165,0)</f>
        <v>0</v>
      </c>
      <c r="AK165" s="26">
        <f>IF(AN165=12,J165,0)</f>
        <v>0</v>
      </c>
      <c r="AL165" s="26">
        <f>IF(AN165=21,J165,0)</f>
        <v>0</v>
      </c>
      <c r="AN165" s="26">
        <v>12</v>
      </c>
      <c r="AO165" s="26">
        <f>G165*0.217865854</f>
        <v>0</v>
      </c>
      <c r="AP165" s="26">
        <f>G165*(1-0.217865854)</f>
        <v>0</v>
      </c>
      <c r="AQ165" s="29" t="s">
        <v>90</v>
      </c>
      <c r="AV165" s="26">
        <f>AW165+AX165</f>
        <v>0</v>
      </c>
      <c r="AW165" s="26">
        <f>F165*AO165</f>
        <v>0</v>
      </c>
      <c r="AX165" s="26">
        <f>F165*AP165</f>
        <v>0</v>
      </c>
      <c r="AY165" s="29" t="s">
        <v>440</v>
      </c>
      <c r="AZ165" s="29" t="s">
        <v>441</v>
      </c>
      <c r="BA165" s="11" t="s">
        <v>61</v>
      </c>
      <c r="BB165" s="30">
        <v>100008</v>
      </c>
      <c r="BC165" s="26">
        <f>AW165+AX165</f>
        <v>0</v>
      </c>
      <c r="BD165" s="26">
        <f>G165/(100-BE165)*100</f>
        <v>0</v>
      </c>
      <c r="BE165" s="26">
        <v>0</v>
      </c>
      <c r="BF165" s="26">
        <f>165</f>
        <v>165</v>
      </c>
      <c r="BH165" s="26">
        <f>F165*AO165</f>
        <v>0</v>
      </c>
      <c r="BI165" s="26">
        <f>F165*AP165</f>
        <v>0</v>
      </c>
      <c r="BJ165" s="26">
        <f>F165*G165</f>
        <v>0</v>
      </c>
      <c r="BK165" s="26"/>
      <c r="BL165" s="26">
        <v>767</v>
      </c>
      <c r="BW165" s="26">
        <v>12</v>
      </c>
      <c r="BX165" s="5" t="s">
        <v>444</v>
      </c>
    </row>
    <row r="166" spans="1:76" ht="13.5" customHeight="1" x14ac:dyDescent="0.25">
      <c r="A166" s="36"/>
      <c r="B166" s="37" t="s">
        <v>233</v>
      </c>
      <c r="C166" s="118" t="s">
        <v>455</v>
      </c>
      <c r="D166" s="119"/>
      <c r="E166" s="119"/>
      <c r="F166" s="119"/>
      <c r="G166" s="120"/>
      <c r="H166" s="119"/>
      <c r="I166" s="119"/>
      <c r="J166" s="119"/>
      <c r="K166" s="121"/>
    </row>
    <row r="167" spans="1:76" x14ac:dyDescent="0.25">
      <c r="A167" s="2" t="s">
        <v>456</v>
      </c>
      <c r="B167" s="3" t="s">
        <v>457</v>
      </c>
      <c r="C167" s="96" t="s">
        <v>444</v>
      </c>
      <c r="D167" s="91"/>
      <c r="E167" s="3" t="s">
        <v>445</v>
      </c>
      <c r="F167" s="26">
        <v>48</v>
      </c>
      <c r="G167" s="27">
        <v>0</v>
      </c>
      <c r="H167" s="26">
        <f>F167*AO167</f>
        <v>0</v>
      </c>
      <c r="I167" s="26">
        <f>F167*AP167</f>
        <v>0</v>
      </c>
      <c r="J167" s="26">
        <f>F167*G167</f>
        <v>0</v>
      </c>
      <c r="K167" s="28" t="s">
        <v>65</v>
      </c>
      <c r="Z167" s="26">
        <f>IF(AQ167="5",BJ167,0)</f>
        <v>0</v>
      </c>
      <c r="AB167" s="26">
        <f>IF(AQ167="1",BH167,0)</f>
        <v>0</v>
      </c>
      <c r="AC167" s="26">
        <f>IF(AQ167="1",BI167,0)</f>
        <v>0</v>
      </c>
      <c r="AD167" s="26">
        <f>IF(AQ167="7",BH167,0)</f>
        <v>0</v>
      </c>
      <c r="AE167" s="26">
        <f>IF(AQ167="7",BI167,0)</f>
        <v>0</v>
      </c>
      <c r="AF167" s="26">
        <f>IF(AQ167="2",BH167,0)</f>
        <v>0</v>
      </c>
      <c r="AG167" s="26">
        <f>IF(AQ167="2",BI167,0)</f>
        <v>0</v>
      </c>
      <c r="AH167" s="26">
        <f>IF(AQ167="0",BJ167,0)</f>
        <v>0</v>
      </c>
      <c r="AI167" s="11" t="s">
        <v>58</v>
      </c>
      <c r="AJ167" s="26">
        <f>IF(AN167=0,J167,0)</f>
        <v>0</v>
      </c>
      <c r="AK167" s="26">
        <f>IF(AN167=12,J167,0)</f>
        <v>0</v>
      </c>
      <c r="AL167" s="26">
        <f>IF(AN167=21,J167,0)</f>
        <v>0</v>
      </c>
      <c r="AN167" s="26">
        <v>12</v>
      </c>
      <c r="AO167" s="26">
        <f>G167*0.219573171</f>
        <v>0</v>
      </c>
      <c r="AP167" s="26">
        <f>G167*(1-0.219573171)</f>
        <v>0</v>
      </c>
      <c r="AQ167" s="29" t="s">
        <v>90</v>
      </c>
      <c r="AV167" s="26">
        <f>AW167+AX167</f>
        <v>0</v>
      </c>
      <c r="AW167" s="26">
        <f>F167*AO167</f>
        <v>0</v>
      </c>
      <c r="AX167" s="26">
        <f>F167*AP167</f>
        <v>0</v>
      </c>
      <c r="AY167" s="29" t="s">
        <v>440</v>
      </c>
      <c r="AZ167" s="29" t="s">
        <v>441</v>
      </c>
      <c r="BA167" s="11" t="s">
        <v>61</v>
      </c>
      <c r="BB167" s="30">
        <v>100008</v>
      </c>
      <c r="BC167" s="26">
        <f>AW167+AX167</f>
        <v>0</v>
      </c>
      <c r="BD167" s="26">
        <f>G167/(100-BE167)*100</f>
        <v>0</v>
      </c>
      <c r="BE167" s="26">
        <v>0</v>
      </c>
      <c r="BF167" s="26">
        <f>167</f>
        <v>167</v>
      </c>
      <c r="BH167" s="26">
        <f>F167*AO167</f>
        <v>0</v>
      </c>
      <c r="BI167" s="26">
        <f>F167*AP167</f>
        <v>0</v>
      </c>
      <c r="BJ167" s="26">
        <f>F167*G167</f>
        <v>0</v>
      </c>
      <c r="BK167" s="26"/>
      <c r="BL167" s="26">
        <v>767</v>
      </c>
      <c r="BW167" s="26">
        <v>12</v>
      </c>
      <c r="BX167" s="5" t="s">
        <v>444</v>
      </c>
    </row>
    <row r="168" spans="1:76" ht="13.5" customHeight="1" x14ac:dyDescent="0.25">
      <c r="A168" s="36"/>
      <c r="B168" s="37" t="s">
        <v>233</v>
      </c>
      <c r="C168" s="118" t="s">
        <v>458</v>
      </c>
      <c r="D168" s="119"/>
      <c r="E168" s="119"/>
      <c r="F168" s="119"/>
      <c r="G168" s="120"/>
      <c r="H168" s="119"/>
      <c r="I168" s="119"/>
      <c r="J168" s="119"/>
      <c r="K168" s="121"/>
    </row>
    <row r="169" spans="1:76" x14ac:dyDescent="0.25">
      <c r="A169" s="2" t="s">
        <v>459</v>
      </c>
      <c r="B169" s="3" t="s">
        <v>460</v>
      </c>
      <c r="C169" s="96" t="s">
        <v>461</v>
      </c>
      <c r="D169" s="91"/>
      <c r="E169" s="3" t="s">
        <v>445</v>
      </c>
      <c r="F169" s="26">
        <v>62</v>
      </c>
      <c r="G169" s="27">
        <v>0</v>
      </c>
      <c r="H169" s="26">
        <f>F169*AO169</f>
        <v>0</v>
      </c>
      <c r="I169" s="26">
        <f>F169*AP169</f>
        <v>0</v>
      </c>
      <c r="J169" s="26">
        <f>F169*G169</f>
        <v>0</v>
      </c>
      <c r="K169" s="28" t="s">
        <v>65</v>
      </c>
      <c r="Z169" s="26">
        <f>IF(AQ169="5",BJ169,0)</f>
        <v>0</v>
      </c>
      <c r="AB169" s="26">
        <f>IF(AQ169="1",BH169,0)</f>
        <v>0</v>
      </c>
      <c r="AC169" s="26">
        <f>IF(AQ169="1",BI169,0)</f>
        <v>0</v>
      </c>
      <c r="AD169" s="26">
        <f>IF(AQ169="7",BH169,0)</f>
        <v>0</v>
      </c>
      <c r="AE169" s="26">
        <f>IF(AQ169="7",BI169,0)</f>
        <v>0</v>
      </c>
      <c r="AF169" s="26">
        <f>IF(AQ169="2",BH169,0)</f>
        <v>0</v>
      </c>
      <c r="AG169" s="26">
        <f>IF(AQ169="2",BI169,0)</f>
        <v>0</v>
      </c>
      <c r="AH169" s="26">
        <f>IF(AQ169="0",BJ169,0)</f>
        <v>0</v>
      </c>
      <c r="AI169" s="11" t="s">
        <v>58</v>
      </c>
      <c r="AJ169" s="26">
        <f>IF(AN169=0,J169,0)</f>
        <v>0</v>
      </c>
      <c r="AK169" s="26">
        <f>IF(AN169=12,J169,0)</f>
        <v>0</v>
      </c>
      <c r="AL169" s="26">
        <f>IF(AN169=21,J169,0)</f>
        <v>0</v>
      </c>
      <c r="AN169" s="26">
        <v>12</v>
      </c>
      <c r="AO169" s="26">
        <f>G169*0.222978723</f>
        <v>0</v>
      </c>
      <c r="AP169" s="26">
        <f>G169*(1-0.222978723)</f>
        <v>0</v>
      </c>
      <c r="AQ169" s="29" t="s">
        <v>90</v>
      </c>
      <c r="AV169" s="26">
        <f>AW169+AX169</f>
        <v>0</v>
      </c>
      <c r="AW169" s="26">
        <f>F169*AO169</f>
        <v>0</v>
      </c>
      <c r="AX169" s="26">
        <f>F169*AP169</f>
        <v>0</v>
      </c>
      <c r="AY169" s="29" t="s">
        <v>440</v>
      </c>
      <c r="AZ169" s="29" t="s">
        <v>441</v>
      </c>
      <c r="BA169" s="11" t="s">
        <v>61</v>
      </c>
      <c r="BB169" s="30">
        <v>100008</v>
      </c>
      <c r="BC169" s="26">
        <f>AW169+AX169</f>
        <v>0</v>
      </c>
      <c r="BD169" s="26">
        <f>G169/(100-BE169)*100</f>
        <v>0</v>
      </c>
      <c r="BE169" s="26">
        <v>0</v>
      </c>
      <c r="BF169" s="26">
        <f>169</f>
        <v>169</v>
      </c>
      <c r="BH169" s="26">
        <f>F169*AO169</f>
        <v>0</v>
      </c>
      <c r="BI169" s="26">
        <f>F169*AP169</f>
        <v>0</v>
      </c>
      <c r="BJ169" s="26">
        <f>F169*G169</f>
        <v>0</v>
      </c>
      <c r="BK169" s="26"/>
      <c r="BL169" s="26">
        <v>767</v>
      </c>
      <c r="BW169" s="26">
        <v>12</v>
      </c>
      <c r="BX169" s="5" t="s">
        <v>461</v>
      </c>
    </row>
    <row r="170" spans="1:76" ht="13.5" customHeight="1" x14ac:dyDescent="0.25">
      <c r="A170" s="36"/>
      <c r="B170" s="37" t="s">
        <v>233</v>
      </c>
      <c r="C170" s="118" t="s">
        <v>462</v>
      </c>
      <c r="D170" s="119"/>
      <c r="E170" s="119"/>
      <c r="F170" s="119"/>
      <c r="G170" s="120"/>
      <c r="H170" s="119"/>
      <c r="I170" s="119"/>
      <c r="J170" s="119"/>
      <c r="K170" s="121"/>
    </row>
    <row r="171" spans="1:76" x14ac:dyDescent="0.25">
      <c r="A171" s="2" t="s">
        <v>463</v>
      </c>
      <c r="B171" s="3" t="s">
        <v>464</v>
      </c>
      <c r="C171" s="96" t="s">
        <v>461</v>
      </c>
      <c r="D171" s="91"/>
      <c r="E171" s="3" t="s">
        <v>445</v>
      </c>
      <c r="F171" s="26">
        <v>6</v>
      </c>
      <c r="G171" s="27">
        <v>0</v>
      </c>
      <c r="H171" s="26">
        <f>F171*AO171</f>
        <v>0</v>
      </c>
      <c r="I171" s="26">
        <f>F171*AP171</f>
        <v>0</v>
      </c>
      <c r="J171" s="26">
        <f>F171*G171</f>
        <v>0</v>
      </c>
      <c r="K171" s="28" t="s">
        <v>65</v>
      </c>
      <c r="Z171" s="26">
        <f>IF(AQ171="5",BJ171,0)</f>
        <v>0</v>
      </c>
      <c r="AB171" s="26">
        <f>IF(AQ171="1",BH171,0)</f>
        <v>0</v>
      </c>
      <c r="AC171" s="26">
        <f>IF(AQ171="1",BI171,0)</f>
        <v>0</v>
      </c>
      <c r="AD171" s="26">
        <f>IF(AQ171="7",BH171,0)</f>
        <v>0</v>
      </c>
      <c r="AE171" s="26">
        <f>IF(AQ171="7",BI171,0)</f>
        <v>0</v>
      </c>
      <c r="AF171" s="26">
        <f>IF(AQ171="2",BH171,0)</f>
        <v>0</v>
      </c>
      <c r="AG171" s="26">
        <f>IF(AQ171="2",BI171,0)</f>
        <v>0</v>
      </c>
      <c r="AH171" s="26">
        <f>IF(AQ171="0",BJ171,0)</f>
        <v>0</v>
      </c>
      <c r="AI171" s="11" t="s">
        <v>58</v>
      </c>
      <c r="AJ171" s="26">
        <f>IF(AN171=0,J171,0)</f>
        <v>0</v>
      </c>
      <c r="AK171" s="26">
        <f>IF(AN171=12,J171,0)</f>
        <v>0</v>
      </c>
      <c r="AL171" s="26">
        <f>IF(AN171=21,J171,0)</f>
        <v>0</v>
      </c>
      <c r="AN171" s="26">
        <v>12</v>
      </c>
      <c r="AO171" s="26">
        <f>G171*0.224060606</f>
        <v>0</v>
      </c>
      <c r="AP171" s="26">
        <f>G171*(1-0.224060606)</f>
        <v>0</v>
      </c>
      <c r="AQ171" s="29" t="s">
        <v>90</v>
      </c>
      <c r="AV171" s="26">
        <f>AW171+AX171</f>
        <v>0</v>
      </c>
      <c r="AW171" s="26">
        <f>F171*AO171</f>
        <v>0</v>
      </c>
      <c r="AX171" s="26">
        <f>F171*AP171</f>
        <v>0</v>
      </c>
      <c r="AY171" s="29" t="s">
        <v>440</v>
      </c>
      <c r="AZ171" s="29" t="s">
        <v>441</v>
      </c>
      <c r="BA171" s="11" t="s">
        <v>61</v>
      </c>
      <c r="BB171" s="30">
        <v>100008</v>
      </c>
      <c r="BC171" s="26">
        <f>AW171+AX171</f>
        <v>0</v>
      </c>
      <c r="BD171" s="26">
        <f>G171/(100-BE171)*100</f>
        <v>0</v>
      </c>
      <c r="BE171" s="26">
        <v>0</v>
      </c>
      <c r="BF171" s="26">
        <f>171</f>
        <v>171</v>
      </c>
      <c r="BH171" s="26">
        <f>F171*AO171</f>
        <v>0</v>
      </c>
      <c r="BI171" s="26">
        <f>F171*AP171</f>
        <v>0</v>
      </c>
      <c r="BJ171" s="26">
        <f>F171*G171</f>
        <v>0</v>
      </c>
      <c r="BK171" s="26"/>
      <c r="BL171" s="26">
        <v>767</v>
      </c>
      <c r="BW171" s="26">
        <v>12</v>
      </c>
      <c r="BX171" s="5" t="s">
        <v>461</v>
      </c>
    </row>
    <row r="172" spans="1:76" ht="13.5" customHeight="1" x14ac:dyDescent="0.25">
      <c r="A172" s="36"/>
      <c r="B172" s="37" t="s">
        <v>233</v>
      </c>
      <c r="C172" s="118" t="s">
        <v>449</v>
      </c>
      <c r="D172" s="119"/>
      <c r="E172" s="119"/>
      <c r="F172" s="119"/>
      <c r="G172" s="120"/>
      <c r="H172" s="119"/>
      <c r="I172" s="119"/>
      <c r="J172" s="119"/>
      <c r="K172" s="121"/>
    </row>
    <row r="173" spans="1:76" x14ac:dyDescent="0.25">
      <c r="A173" s="2" t="s">
        <v>465</v>
      </c>
      <c r="B173" s="3" t="s">
        <v>466</v>
      </c>
      <c r="C173" s="96" t="s">
        <v>461</v>
      </c>
      <c r="D173" s="91"/>
      <c r="E173" s="3" t="s">
        <v>445</v>
      </c>
      <c r="F173" s="26">
        <v>6</v>
      </c>
      <c r="G173" s="27">
        <v>0</v>
      </c>
      <c r="H173" s="26">
        <f>F173*AO173</f>
        <v>0</v>
      </c>
      <c r="I173" s="26">
        <f>F173*AP173</f>
        <v>0</v>
      </c>
      <c r="J173" s="26">
        <f>F173*G173</f>
        <v>0</v>
      </c>
      <c r="K173" s="28" t="s">
        <v>65</v>
      </c>
      <c r="Z173" s="26">
        <f>IF(AQ173="5",BJ173,0)</f>
        <v>0</v>
      </c>
      <c r="AB173" s="26">
        <f>IF(AQ173="1",BH173,0)</f>
        <v>0</v>
      </c>
      <c r="AC173" s="26">
        <f>IF(AQ173="1",BI173,0)</f>
        <v>0</v>
      </c>
      <c r="AD173" s="26">
        <f>IF(AQ173="7",BH173,0)</f>
        <v>0</v>
      </c>
      <c r="AE173" s="26">
        <f>IF(AQ173="7",BI173,0)</f>
        <v>0</v>
      </c>
      <c r="AF173" s="26">
        <f>IF(AQ173="2",BH173,0)</f>
        <v>0</v>
      </c>
      <c r="AG173" s="26">
        <f>IF(AQ173="2",BI173,0)</f>
        <v>0</v>
      </c>
      <c r="AH173" s="26">
        <f>IF(AQ173="0",BJ173,0)</f>
        <v>0</v>
      </c>
      <c r="AI173" s="11" t="s">
        <v>58</v>
      </c>
      <c r="AJ173" s="26">
        <f>IF(AN173=0,J173,0)</f>
        <v>0</v>
      </c>
      <c r="AK173" s="26">
        <f>IF(AN173=12,J173,0)</f>
        <v>0</v>
      </c>
      <c r="AL173" s="26">
        <f>IF(AN173=21,J173,0)</f>
        <v>0</v>
      </c>
      <c r="AN173" s="26">
        <v>12</v>
      </c>
      <c r="AO173" s="26">
        <f>G173*0.231411411</f>
        <v>0</v>
      </c>
      <c r="AP173" s="26">
        <f>G173*(1-0.231411411)</f>
        <v>0</v>
      </c>
      <c r="AQ173" s="29" t="s">
        <v>90</v>
      </c>
      <c r="AV173" s="26">
        <f>AW173+AX173</f>
        <v>0</v>
      </c>
      <c r="AW173" s="26">
        <f>F173*AO173</f>
        <v>0</v>
      </c>
      <c r="AX173" s="26">
        <f>F173*AP173</f>
        <v>0</v>
      </c>
      <c r="AY173" s="29" t="s">
        <v>440</v>
      </c>
      <c r="AZ173" s="29" t="s">
        <v>441</v>
      </c>
      <c r="BA173" s="11" t="s">
        <v>61</v>
      </c>
      <c r="BB173" s="30">
        <v>100008</v>
      </c>
      <c r="BC173" s="26">
        <f>AW173+AX173</f>
        <v>0</v>
      </c>
      <c r="BD173" s="26">
        <f>G173/(100-BE173)*100</f>
        <v>0</v>
      </c>
      <c r="BE173" s="26">
        <v>0</v>
      </c>
      <c r="BF173" s="26">
        <f>173</f>
        <v>173</v>
      </c>
      <c r="BH173" s="26">
        <f>F173*AO173</f>
        <v>0</v>
      </c>
      <c r="BI173" s="26">
        <f>F173*AP173</f>
        <v>0</v>
      </c>
      <c r="BJ173" s="26">
        <f>F173*G173</f>
        <v>0</v>
      </c>
      <c r="BK173" s="26"/>
      <c r="BL173" s="26">
        <v>767</v>
      </c>
      <c r="BW173" s="26">
        <v>12</v>
      </c>
      <c r="BX173" s="5" t="s">
        <v>461</v>
      </c>
    </row>
    <row r="174" spans="1:76" ht="13.5" customHeight="1" x14ac:dyDescent="0.25">
      <c r="A174" s="36"/>
      <c r="B174" s="37" t="s">
        <v>233</v>
      </c>
      <c r="C174" s="118" t="s">
        <v>467</v>
      </c>
      <c r="D174" s="119"/>
      <c r="E174" s="119"/>
      <c r="F174" s="119"/>
      <c r="G174" s="120"/>
      <c r="H174" s="119"/>
      <c r="I174" s="119"/>
      <c r="J174" s="119"/>
      <c r="K174" s="121"/>
    </row>
    <row r="175" spans="1:76" x14ac:dyDescent="0.25">
      <c r="A175" s="2" t="s">
        <v>468</v>
      </c>
      <c r="B175" s="3" t="s">
        <v>469</v>
      </c>
      <c r="C175" s="96" t="s">
        <v>461</v>
      </c>
      <c r="D175" s="91"/>
      <c r="E175" s="3" t="s">
        <v>445</v>
      </c>
      <c r="F175" s="26">
        <v>12</v>
      </c>
      <c r="G175" s="27">
        <v>0</v>
      </c>
      <c r="H175" s="26">
        <f>F175*AO175</f>
        <v>0</v>
      </c>
      <c r="I175" s="26">
        <f>F175*AP175</f>
        <v>0</v>
      </c>
      <c r="J175" s="26">
        <f>F175*G175</f>
        <v>0</v>
      </c>
      <c r="K175" s="28" t="s">
        <v>65</v>
      </c>
      <c r="Z175" s="26">
        <f>IF(AQ175="5",BJ175,0)</f>
        <v>0</v>
      </c>
      <c r="AB175" s="26">
        <f>IF(AQ175="1",BH175,0)</f>
        <v>0</v>
      </c>
      <c r="AC175" s="26">
        <f>IF(AQ175="1",BI175,0)</f>
        <v>0</v>
      </c>
      <c r="AD175" s="26">
        <f>IF(AQ175="7",BH175,0)</f>
        <v>0</v>
      </c>
      <c r="AE175" s="26">
        <f>IF(AQ175="7",BI175,0)</f>
        <v>0</v>
      </c>
      <c r="AF175" s="26">
        <f>IF(AQ175="2",BH175,0)</f>
        <v>0</v>
      </c>
      <c r="AG175" s="26">
        <f>IF(AQ175="2",BI175,0)</f>
        <v>0</v>
      </c>
      <c r="AH175" s="26">
        <f>IF(AQ175="0",BJ175,0)</f>
        <v>0</v>
      </c>
      <c r="AI175" s="11" t="s">
        <v>58</v>
      </c>
      <c r="AJ175" s="26">
        <f>IF(AN175=0,J175,0)</f>
        <v>0</v>
      </c>
      <c r="AK175" s="26">
        <f>IF(AN175=12,J175,0)</f>
        <v>0</v>
      </c>
      <c r="AL175" s="26">
        <f>IF(AN175=21,J175,0)</f>
        <v>0</v>
      </c>
      <c r="AN175" s="26">
        <v>12</v>
      </c>
      <c r="AO175" s="26">
        <f>G175*0.242130178</f>
        <v>0</v>
      </c>
      <c r="AP175" s="26">
        <f>G175*(1-0.242130178)</f>
        <v>0</v>
      </c>
      <c r="AQ175" s="29" t="s">
        <v>90</v>
      </c>
      <c r="AV175" s="26">
        <f>AW175+AX175</f>
        <v>0</v>
      </c>
      <c r="AW175" s="26">
        <f>F175*AO175</f>
        <v>0</v>
      </c>
      <c r="AX175" s="26">
        <f>F175*AP175</f>
        <v>0</v>
      </c>
      <c r="AY175" s="29" t="s">
        <v>440</v>
      </c>
      <c r="AZ175" s="29" t="s">
        <v>441</v>
      </c>
      <c r="BA175" s="11" t="s">
        <v>61</v>
      </c>
      <c r="BB175" s="30">
        <v>100008</v>
      </c>
      <c r="BC175" s="26">
        <f>AW175+AX175</f>
        <v>0</v>
      </c>
      <c r="BD175" s="26">
        <f>G175/(100-BE175)*100</f>
        <v>0</v>
      </c>
      <c r="BE175" s="26">
        <v>0</v>
      </c>
      <c r="BF175" s="26">
        <f>175</f>
        <v>175</v>
      </c>
      <c r="BH175" s="26">
        <f>F175*AO175</f>
        <v>0</v>
      </c>
      <c r="BI175" s="26">
        <f>F175*AP175</f>
        <v>0</v>
      </c>
      <c r="BJ175" s="26">
        <f>F175*G175</f>
        <v>0</v>
      </c>
      <c r="BK175" s="26"/>
      <c r="BL175" s="26">
        <v>767</v>
      </c>
      <c r="BW175" s="26">
        <v>12</v>
      </c>
      <c r="BX175" s="5" t="s">
        <v>461</v>
      </c>
    </row>
    <row r="176" spans="1:76" ht="13.5" customHeight="1" x14ac:dyDescent="0.25">
      <c r="A176" s="36"/>
      <c r="B176" s="37" t="s">
        <v>233</v>
      </c>
      <c r="C176" s="118" t="s">
        <v>470</v>
      </c>
      <c r="D176" s="119"/>
      <c r="E176" s="119"/>
      <c r="F176" s="119"/>
      <c r="G176" s="120"/>
      <c r="H176" s="119"/>
      <c r="I176" s="119"/>
      <c r="J176" s="119"/>
      <c r="K176" s="121"/>
    </row>
    <row r="177" spans="1:76" x14ac:dyDescent="0.25">
      <c r="A177" s="2" t="s">
        <v>471</v>
      </c>
      <c r="B177" s="3" t="s">
        <v>472</v>
      </c>
      <c r="C177" s="96" t="s">
        <v>461</v>
      </c>
      <c r="D177" s="91"/>
      <c r="E177" s="3" t="s">
        <v>445</v>
      </c>
      <c r="F177" s="26">
        <v>38</v>
      </c>
      <c r="G177" s="27">
        <v>0</v>
      </c>
      <c r="H177" s="26">
        <f>F177*AO177</f>
        <v>0</v>
      </c>
      <c r="I177" s="26">
        <f>F177*AP177</f>
        <v>0</v>
      </c>
      <c r="J177" s="26">
        <f>F177*G177</f>
        <v>0</v>
      </c>
      <c r="K177" s="28" t="s">
        <v>65</v>
      </c>
      <c r="Z177" s="26">
        <f>IF(AQ177="5",BJ177,0)</f>
        <v>0</v>
      </c>
      <c r="AB177" s="26">
        <f>IF(AQ177="1",BH177,0)</f>
        <v>0</v>
      </c>
      <c r="AC177" s="26">
        <f>IF(AQ177="1",BI177,0)</f>
        <v>0</v>
      </c>
      <c r="AD177" s="26">
        <f>IF(AQ177="7",BH177,0)</f>
        <v>0</v>
      </c>
      <c r="AE177" s="26">
        <f>IF(AQ177="7",BI177,0)</f>
        <v>0</v>
      </c>
      <c r="AF177" s="26">
        <f>IF(AQ177="2",BH177,0)</f>
        <v>0</v>
      </c>
      <c r="AG177" s="26">
        <f>IF(AQ177="2",BI177,0)</f>
        <v>0</v>
      </c>
      <c r="AH177" s="26">
        <f>IF(AQ177="0",BJ177,0)</f>
        <v>0</v>
      </c>
      <c r="AI177" s="11" t="s">
        <v>58</v>
      </c>
      <c r="AJ177" s="26">
        <f>IF(AN177=0,J177,0)</f>
        <v>0</v>
      </c>
      <c r="AK177" s="26">
        <f>IF(AN177=12,J177,0)</f>
        <v>0</v>
      </c>
      <c r="AL177" s="26">
        <f>IF(AN177=21,J177,0)</f>
        <v>0</v>
      </c>
      <c r="AN177" s="26">
        <v>12</v>
      </c>
      <c r="AO177" s="26">
        <f>G177*0.248914956</f>
        <v>0</v>
      </c>
      <c r="AP177" s="26">
        <f>G177*(1-0.248914956)</f>
        <v>0</v>
      </c>
      <c r="AQ177" s="29" t="s">
        <v>90</v>
      </c>
      <c r="AV177" s="26">
        <f>AW177+AX177</f>
        <v>0</v>
      </c>
      <c r="AW177" s="26">
        <f>F177*AO177</f>
        <v>0</v>
      </c>
      <c r="AX177" s="26">
        <f>F177*AP177</f>
        <v>0</v>
      </c>
      <c r="AY177" s="29" t="s">
        <v>440</v>
      </c>
      <c r="AZ177" s="29" t="s">
        <v>441</v>
      </c>
      <c r="BA177" s="11" t="s">
        <v>61</v>
      </c>
      <c r="BB177" s="30">
        <v>100008</v>
      </c>
      <c r="BC177" s="26">
        <f>AW177+AX177</f>
        <v>0</v>
      </c>
      <c r="BD177" s="26">
        <f>G177/(100-BE177)*100</f>
        <v>0</v>
      </c>
      <c r="BE177" s="26">
        <v>0</v>
      </c>
      <c r="BF177" s="26">
        <f>177</f>
        <v>177</v>
      </c>
      <c r="BH177" s="26">
        <f>F177*AO177</f>
        <v>0</v>
      </c>
      <c r="BI177" s="26">
        <f>F177*AP177</f>
        <v>0</v>
      </c>
      <c r="BJ177" s="26">
        <f>F177*G177</f>
        <v>0</v>
      </c>
      <c r="BK177" s="26"/>
      <c r="BL177" s="26">
        <v>767</v>
      </c>
      <c r="BW177" s="26">
        <v>12</v>
      </c>
      <c r="BX177" s="5" t="s">
        <v>461</v>
      </c>
    </row>
    <row r="178" spans="1:76" ht="13.5" customHeight="1" x14ac:dyDescent="0.25">
      <c r="A178" s="36"/>
      <c r="B178" s="37" t="s">
        <v>233</v>
      </c>
      <c r="C178" s="118" t="s">
        <v>458</v>
      </c>
      <c r="D178" s="119"/>
      <c r="E178" s="119"/>
      <c r="F178" s="119"/>
      <c r="G178" s="120"/>
      <c r="H178" s="119"/>
      <c r="I178" s="119"/>
      <c r="J178" s="119"/>
      <c r="K178" s="121"/>
    </row>
    <row r="179" spans="1:76" x14ac:dyDescent="0.25">
      <c r="A179" s="2" t="s">
        <v>473</v>
      </c>
      <c r="B179" s="3" t="s">
        <v>474</v>
      </c>
      <c r="C179" s="96" t="s">
        <v>475</v>
      </c>
      <c r="D179" s="91"/>
      <c r="E179" s="3" t="s">
        <v>102</v>
      </c>
      <c r="F179" s="26">
        <v>0.3533</v>
      </c>
      <c r="G179" s="27">
        <v>0</v>
      </c>
      <c r="H179" s="26">
        <f>F179*AO179</f>
        <v>0</v>
      </c>
      <c r="I179" s="26">
        <f>F179*AP179</f>
        <v>0</v>
      </c>
      <c r="J179" s="26">
        <f>F179*G179</f>
        <v>0</v>
      </c>
      <c r="K179" s="28" t="s">
        <v>65</v>
      </c>
      <c r="Z179" s="26">
        <f>IF(AQ179="5",BJ179,0)</f>
        <v>0</v>
      </c>
      <c r="AB179" s="26">
        <f>IF(AQ179="1",BH179,0)</f>
        <v>0</v>
      </c>
      <c r="AC179" s="26">
        <f>IF(AQ179="1",BI179,0)</f>
        <v>0</v>
      </c>
      <c r="AD179" s="26">
        <f>IF(AQ179="7",BH179,0)</f>
        <v>0</v>
      </c>
      <c r="AE179" s="26">
        <f>IF(AQ179="7",BI179,0)</f>
        <v>0</v>
      </c>
      <c r="AF179" s="26">
        <f>IF(AQ179="2",BH179,0)</f>
        <v>0</v>
      </c>
      <c r="AG179" s="26">
        <f>IF(AQ179="2",BI179,0)</f>
        <v>0</v>
      </c>
      <c r="AH179" s="26">
        <f>IF(AQ179="0",BJ179,0)</f>
        <v>0</v>
      </c>
      <c r="AI179" s="11" t="s">
        <v>58</v>
      </c>
      <c r="AJ179" s="26">
        <f>IF(AN179=0,J179,0)</f>
        <v>0</v>
      </c>
      <c r="AK179" s="26">
        <f>IF(AN179=12,J179,0)</f>
        <v>0</v>
      </c>
      <c r="AL179" s="26">
        <f>IF(AN179=21,J179,0)</f>
        <v>0</v>
      </c>
      <c r="AN179" s="26">
        <v>12</v>
      </c>
      <c r="AO179" s="26">
        <f>G179*0</f>
        <v>0</v>
      </c>
      <c r="AP179" s="26">
        <f>G179*(1-0)</f>
        <v>0</v>
      </c>
      <c r="AQ179" s="29" t="s">
        <v>80</v>
      </c>
      <c r="AV179" s="26">
        <f>AW179+AX179</f>
        <v>0</v>
      </c>
      <c r="AW179" s="26">
        <f>F179*AO179</f>
        <v>0</v>
      </c>
      <c r="AX179" s="26">
        <f>F179*AP179</f>
        <v>0</v>
      </c>
      <c r="AY179" s="29" t="s">
        <v>440</v>
      </c>
      <c r="AZ179" s="29" t="s">
        <v>441</v>
      </c>
      <c r="BA179" s="11" t="s">
        <v>61</v>
      </c>
      <c r="BB179" s="30">
        <v>100008</v>
      </c>
      <c r="BC179" s="26">
        <f>AW179+AX179</f>
        <v>0</v>
      </c>
      <c r="BD179" s="26">
        <f>G179/(100-BE179)*100</f>
        <v>0</v>
      </c>
      <c r="BE179" s="26">
        <v>0</v>
      </c>
      <c r="BF179" s="26">
        <f>179</f>
        <v>179</v>
      </c>
      <c r="BH179" s="26">
        <f>F179*AO179</f>
        <v>0</v>
      </c>
      <c r="BI179" s="26">
        <f>F179*AP179</f>
        <v>0</v>
      </c>
      <c r="BJ179" s="26">
        <f>F179*G179</f>
        <v>0</v>
      </c>
      <c r="BK179" s="26"/>
      <c r="BL179" s="26">
        <v>767</v>
      </c>
      <c r="BW179" s="26">
        <v>12</v>
      </c>
      <c r="BX179" s="5" t="s">
        <v>475</v>
      </c>
    </row>
    <row r="180" spans="1:76" x14ac:dyDescent="0.25">
      <c r="A180" s="31" t="s">
        <v>50</v>
      </c>
      <c r="B180" s="32" t="s">
        <v>476</v>
      </c>
      <c r="C180" s="116" t="s">
        <v>477</v>
      </c>
      <c r="D180" s="117"/>
      <c r="E180" s="33" t="s">
        <v>4</v>
      </c>
      <c r="F180" s="33" t="s">
        <v>4</v>
      </c>
      <c r="G180" s="34" t="s">
        <v>4</v>
      </c>
      <c r="H180" s="1">
        <f>SUM(H181:H183)</f>
        <v>0</v>
      </c>
      <c r="I180" s="1">
        <f>SUM(I181:I183)</f>
        <v>0</v>
      </c>
      <c r="J180" s="1">
        <f>SUM(J181:J183)</f>
        <v>0</v>
      </c>
      <c r="K180" s="35" t="s">
        <v>50</v>
      </c>
      <c r="AI180" s="11" t="s">
        <v>50</v>
      </c>
      <c r="AS180" s="1">
        <f>SUM(AJ181:AJ183)</f>
        <v>0</v>
      </c>
      <c r="AT180" s="1">
        <f>SUM(AK181:AK183)</f>
        <v>0</v>
      </c>
      <c r="AU180" s="1">
        <f>SUM(AL181:AL183)</f>
        <v>0</v>
      </c>
    </row>
    <row r="181" spans="1:76" x14ac:dyDescent="0.25">
      <c r="A181" s="2" t="s">
        <v>478</v>
      </c>
      <c r="B181" s="3" t="s">
        <v>479</v>
      </c>
      <c r="C181" s="96" t="s">
        <v>480</v>
      </c>
      <c r="D181" s="91"/>
      <c r="E181" s="3" t="s">
        <v>56</v>
      </c>
      <c r="F181" s="26">
        <v>2.25</v>
      </c>
      <c r="G181" s="27">
        <v>0</v>
      </c>
      <c r="H181" s="26">
        <f>F181*AO181</f>
        <v>0</v>
      </c>
      <c r="I181" s="26">
        <f>F181*AP181</f>
        <v>0</v>
      </c>
      <c r="J181" s="26">
        <f>F181*G181</f>
        <v>0</v>
      </c>
      <c r="K181" s="28" t="s">
        <v>65</v>
      </c>
      <c r="Z181" s="26">
        <f>IF(AQ181="5",BJ181,0)</f>
        <v>0</v>
      </c>
      <c r="AB181" s="26">
        <f>IF(AQ181="1",BH181,0)</f>
        <v>0</v>
      </c>
      <c r="AC181" s="26">
        <f>IF(AQ181="1",BI181,0)</f>
        <v>0</v>
      </c>
      <c r="AD181" s="26">
        <f>IF(AQ181="7",BH181,0)</f>
        <v>0</v>
      </c>
      <c r="AE181" s="26">
        <f>IF(AQ181="7",BI181,0)</f>
        <v>0</v>
      </c>
      <c r="AF181" s="26">
        <f>IF(AQ181="2",BH181,0)</f>
        <v>0</v>
      </c>
      <c r="AG181" s="26">
        <f>IF(AQ181="2",BI181,0)</f>
        <v>0</v>
      </c>
      <c r="AH181" s="26">
        <f>IF(AQ181="0",BJ181,0)</f>
        <v>0</v>
      </c>
      <c r="AI181" s="11" t="s">
        <v>58</v>
      </c>
      <c r="AJ181" s="26">
        <f>IF(AN181=0,J181,0)</f>
        <v>0</v>
      </c>
      <c r="AK181" s="26">
        <f>IF(AN181=12,J181,0)</f>
        <v>0</v>
      </c>
      <c r="AL181" s="26">
        <f>IF(AN181=21,J181,0)</f>
        <v>0</v>
      </c>
      <c r="AN181" s="26">
        <v>12</v>
      </c>
      <c r="AO181" s="26">
        <f>G181*0.230326223</f>
        <v>0</v>
      </c>
      <c r="AP181" s="26">
        <f>G181*(1-0.230326223)</f>
        <v>0</v>
      </c>
      <c r="AQ181" s="29" t="s">
        <v>90</v>
      </c>
      <c r="AV181" s="26">
        <f>AW181+AX181</f>
        <v>0</v>
      </c>
      <c r="AW181" s="26">
        <f>F181*AO181</f>
        <v>0</v>
      </c>
      <c r="AX181" s="26">
        <f>F181*AP181</f>
        <v>0</v>
      </c>
      <c r="AY181" s="29" t="s">
        <v>481</v>
      </c>
      <c r="AZ181" s="29" t="s">
        <v>482</v>
      </c>
      <c r="BA181" s="11" t="s">
        <v>61</v>
      </c>
      <c r="BB181" s="30">
        <v>100015</v>
      </c>
      <c r="BC181" s="26">
        <f>AW181+AX181</f>
        <v>0</v>
      </c>
      <c r="BD181" s="26">
        <f>G181/(100-BE181)*100</f>
        <v>0</v>
      </c>
      <c r="BE181" s="26">
        <v>0</v>
      </c>
      <c r="BF181" s="26">
        <f>181</f>
        <v>181</v>
      </c>
      <c r="BH181" s="26">
        <f>F181*AO181</f>
        <v>0</v>
      </c>
      <c r="BI181" s="26">
        <f>F181*AP181</f>
        <v>0</v>
      </c>
      <c r="BJ181" s="26">
        <f>F181*G181</f>
        <v>0</v>
      </c>
      <c r="BK181" s="26"/>
      <c r="BL181" s="26">
        <v>781</v>
      </c>
      <c r="BW181" s="26">
        <v>12</v>
      </c>
      <c r="BX181" s="5" t="s">
        <v>480</v>
      </c>
    </row>
    <row r="182" spans="1:76" x14ac:dyDescent="0.25">
      <c r="A182" s="2" t="s">
        <v>483</v>
      </c>
      <c r="B182" s="3" t="s">
        <v>54</v>
      </c>
      <c r="C182" s="96" t="s">
        <v>484</v>
      </c>
      <c r="D182" s="91"/>
      <c r="E182" s="3" t="s">
        <v>56</v>
      </c>
      <c r="F182" s="26">
        <v>2.4750000000000001</v>
      </c>
      <c r="G182" s="27">
        <v>0</v>
      </c>
      <c r="H182" s="26">
        <f>F182*AO182</f>
        <v>0</v>
      </c>
      <c r="I182" s="26">
        <f>F182*AP182</f>
        <v>0</v>
      </c>
      <c r="J182" s="26">
        <f>F182*G182</f>
        <v>0</v>
      </c>
      <c r="K182" s="28" t="s">
        <v>57</v>
      </c>
      <c r="Z182" s="26">
        <f>IF(AQ182="5",BJ182,0)</f>
        <v>0</v>
      </c>
      <c r="AB182" s="26">
        <f>IF(AQ182="1",BH182,0)</f>
        <v>0</v>
      </c>
      <c r="AC182" s="26">
        <f>IF(AQ182="1",BI182,0)</f>
        <v>0</v>
      </c>
      <c r="AD182" s="26">
        <f>IF(AQ182="7",BH182,0)</f>
        <v>0</v>
      </c>
      <c r="AE182" s="26">
        <f>IF(AQ182="7",BI182,0)</f>
        <v>0</v>
      </c>
      <c r="AF182" s="26">
        <f>IF(AQ182="2",BH182,0)</f>
        <v>0</v>
      </c>
      <c r="AG182" s="26">
        <f>IF(AQ182="2",BI182,0)</f>
        <v>0</v>
      </c>
      <c r="AH182" s="26">
        <f>IF(AQ182="0",BJ182,0)</f>
        <v>0</v>
      </c>
      <c r="AI182" s="11" t="s">
        <v>58</v>
      </c>
      <c r="AJ182" s="26">
        <f>IF(AN182=0,J182,0)</f>
        <v>0</v>
      </c>
      <c r="AK182" s="26">
        <f>IF(AN182=12,J182,0)</f>
        <v>0</v>
      </c>
      <c r="AL182" s="26">
        <f>IF(AN182=21,J182,0)</f>
        <v>0</v>
      </c>
      <c r="AN182" s="26">
        <v>12</v>
      </c>
      <c r="AO182" s="26">
        <f>G182*1</f>
        <v>0</v>
      </c>
      <c r="AP182" s="26">
        <f>G182*(1-1)</f>
        <v>0</v>
      </c>
      <c r="AQ182" s="29" t="s">
        <v>90</v>
      </c>
      <c r="AV182" s="26">
        <f>AW182+AX182</f>
        <v>0</v>
      </c>
      <c r="AW182" s="26">
        <f>F182*AO182</f>
        <v>0</v>
      </c>
      <c r="AX182" s="26">
        <f>F182*AP182</f>
        <v>0</v>
      </c>
      <c r="AY182" s="29" t="s">
        <v>481</v>
      </c>
      <c r="AZ182" s="29" t="s">
        <v>482</v>
      </c>
      <c r="BA182" s="11" t="s">
        <v>61</v>
      </c>
      <c r="BC182" s="26">
        <f>AW182+AX182</f>
        <v>0</v>
      </c>
      <c r="BD182" s="26">
        <f>G182/(100-BE182)*100</f>
        <v>0</v>
      </c>
      <c r="BE182" s="26">
        <v>0</v>
      </c>
      <c r="BF182" s="26">
        <f>182</f>
        <v>182</v>
      </c>
      <c r="BH182" s="26">
        <f>F182*AO182</f>
        <v>0</v>
      </c>
      <c r="BI182" s="26">
        <f>F182*AP182</f>
        <v>0</v>
      </c>
      <c r="BJ182" s="26">
        <f>F182*G182</f>
        <v>0</v>
      </c>
      <c r="BK182" s="26"/>
      <c r="BL182" s="26">
        <v>781</v>
      </c>
      <c r="BW182" s="26">
        <v>12</v>
      </c>
      <c r="BX182" s="5" t="s">
        <v>484</v>
      </c>
    </row>
    <row r="183" spans="1:76" x14ac:dyDescent="0.25">
      <c r="A183" s="2" t="s">
        <v>485</v>
      </c>
      <c r="B183" s="3" t="s">
        <v>486</v>
      </c>
      <c r="C183" s="96" t="s">
        <v>487</v>
      </c>
      <c r="D183" s="91"/>
      <c r="E183" s="3" t="s">
        <v>102</v>
      </c>
      <c r="F183" s="26">
        <v>5.9310000000000002E-2</v>
      </c>
      <c r="G183" s="27">
        <v>0</v>
      </c>
      <c r="H183" s="26">
        <f>F183*AO183</f>
        <v>0</v>
      </c>
      <c r="I183" s="26">
        <f>F183*AP183</f>
        <v>0</v>
      </c>
      <c r="J183" s="26">
        <f>F183*G183</f>
        <v>0</v>
      </c>
      <c r="K183" s="28" t="s">
        <v>65</v>
      </c>
      <c r="Z183" s="26">
        <f>IF(AQ183="5",BJ183,0)</f>
        <v>0</v>
      </c>
      <c r="AB183" s="26">
        <f>IF(AQ183="1",BH183,0)</f>
        <v>0</v>
      </c>
      <c r="AC183" s="26">
        <f>IF(AQ183="1",BI183,0)</f>
        <v>0</v>
      </c>
      <c r="AD183" s="26">
        <f>IF(AQ183="7",BH183,0)</f>
        <v>0</v>
      </c>
      <c r="AE183" s="26">
        <f>IF(AQ183="7",BI183,0)</f>
        <v>0</v>
      </c>
      <c r="AF183" s="26">
        <f>IF(AQ183="2",BH183,0)</f>
        <v>0</v>
      </c>
      <c r="AG183" s="26">
        <f>IF(AQ183="2",BI183,0)</f>
        <v>0</v>
      </c>
      <c r="AH183" s="26">
        <f>IF(AQ183="0",BJ183,0)</f>
        <v>0</v>
      </c>
      <c r="AI183" s="11" t="s">
        <v>58</v>
      </c>
      <c r="AJ183" s="26">
        <f>IF(AN183=0,J183,0)</f>
        <v>0</v>
      </c>
      <c r="AK183" s="26">
        <f>IF(AN183=12,J183,0)</f>
        <v>0</v>
      </c>
      <c r="AL183" s="26">
        <f>IF(AN183=21,J183,0)</f>
        <v>0</v>
      </c>
      <c r="AN183" s="26">
        <v>12</v>
      </c>
      <c r="AO183" s="26">
        <f>G183*0</f>
        <v>0</v>
      </c>
      <c r="AP183" s="26">
        <f>G183*(1-0)</f>
        <v>0</v>
      </c>
      <c r="AQ183" s="29" t="s">
        <v>80</v>
      </c>
      <c r="AV183" s="26">
        <f>AW183+AX183</f>
        <v>0</v>
      </c>
      <c r="AW183" s="26">
        <f>F183*AO183</f>
        <v>0</v>
      </c>
      <c r="AX183" s="26">
        <f>F183*AP183</f>
        <v>0</v>
      </c>
      <c r="AY183" s="29" t="s">
        <v>481</v>
      </c>
      <c r="AZ183" s="29" t="s">
        <v>482</v>
      </c>
      <c r="BA183" s="11" t="s">
        <v>61</v>
      </c>
      <c r="BB183" s="30">
        <v>100015</v>
      </c>
      <c r="BC183" s="26">
        <f>AW183+AX183</f>
        <v>0</v>
      </c>
      <c r="BD183" s="26">
        <f>G183/(100-BE183)*100</f>
        <v>0</v>
      </c>
      <c r="BE183" s="26">
        <v>0</v>
      </c>
      <c r="BF183" s="26">
        <f>183</f>
        <v>183</v>
      </c>
      <c r="BH183" s="26">
        <f>F183*AO183</f>
        <v>0</v>
      </c>
      <c r="BI183" s="26">
        <f>F183*AP183</f>
        <v>0</v>
      </c>
      <c r="BJ183" s="26">
        <f>F183*G183</f>
        <v>0</v>
      </c>
      <c r="BK183" s="26"/>
      <c r="BL183" s="26">
        <v>781</v>
      </c>
      <c r="BW183" s="26">
        <v>12</v>
      </c>
      <c r="BX183" s="5" t="s">
        <v>487</v>
      </c>
    </row>
    <row r="184" spans="1:76" x14ac:dyDescent="0.25">
      <c r="A184" s="31" t="s">
        <v>50</v>
      </c>
      <c r="B184" s="32" t="s">
        <v>488</v>
      </c>
      <c r="C184" s="116" t="s">
        <v>489</v>
      </c>
      <c r="D184" s="117"/>
      <c r="E184" s="33" t="s">
        <v>4</v>
      </c>
      <c r="F184" s="33" t="s">
        <v>4</v>
      </c>
      <c r="G184" s="34" t="s">
        <v>4</v>
      </c>
      <c r="H184" s="1">
        <f>SUM(H185:H190)</f>
        <v>0</v>
      </c>
      <c r="I184" s="1">
        <f>SUM(I185:I190)</f>
        <v>0</v>
      </c>
      <c r="J184" s="1">
        <f>SUM(J185:J190)</f>
        <v>0</v>
      </c>
      <c r="K184" s="35" t="s">
        <v>50</v>
      </c>
      <c r="AI184" s="11" t="s">
        <v>50</v>
      </c>
      <c r="AS184" s="1">
        <f>SUM(AJ185:AJ190)</f>
        <v>0</v>
      </c>
      <c r="AT184" s="1">
        <f>SUM(AK185:AK190)</f>
        <v>0</v>
      </c>
      <c r="AU184" s="1">
        <f>SUM(AL185:AL190)</f>
        <v>0</v>
      </c>
    </row>
    <row r="185" spans="1:76" x14ac:dyDescent="0.25">
      <c r="A185" s="2" t="s">
        <v>490</v>
      </c>
      <c r="B185" s="3" t="s">
        <v>491</v>
      </c>
      <c r="C185" s="96" t="s">
        <v>492</v>
      </c>
      <c r="D185" s="91"/>
      <c r="E185" s="3" t="s">
        <v>56</v>
      </c>
      <c r="F185" s="26">
        <v>39.090000000000003</v>
      </c>
      <c r="G185" s="27">
        <v>0</v>
      </c>
      <c r="H185" s="26">
        <f>F185*AO185</f>
        <v>0</v>
      </c>
      <c r="I185" s="26">
        <f>F185*AP185</f>
        <v>0</v>
      </c>
      <c r="J185" s="26">
        <f>F185*G185</f>
        <v>0</v>
      </c>
      <c r="K185" s="28" t="s">
        <v>65</v>
      </c>
      <c r="Z185" s="26">
        <f>IF(AQ185="5",BJ185,0)</f>
        <v>0</v>
      </c>
      <c r="AB185" s="26">
        <f>IF(AQ185="1",BH185,0)</f>
        <v>0</v>
      </c>
      <c r="AC185" s="26">
        <f>IF(AQ185="1",BI185,0)</f>
        <v>0</v>
      </c>
      <c r="AD185" s="26">
        <f>IF(AQ185="7",BH185,0)</f>
        <v>0</v>
      </c>
      <c r="AE185" s="26">
        <f>IF(AQ185="7",BI185,0)</f>
        <v>0</v>
      </c>
      <c r="AF185" s="26">
        <f>IF(AQ185="2",BH185,0)</f>
        <v>0</v>
      </c>
      <c r="AG185" s="26">
        <f>IF(AQ185="2",BI185,0)</f>
        <v>0</v>
      </c>
      <c r="AH185" s="26">
        <f>IF(AQ185="0",BJ185,0)</f>
        <v>0</v>
      </c>
      <c r="AI185" s="11" t="s">
        <v>58</v>
      </c>
      <c r="AJ185" s="26">
        <f>IF(AN185=0,J185,0)</f>
        <v>0</v>
      </c>
      <c r="AK185" s="26">
        <f>IF(AN185=12,J185,0)</f>
        <v>0</v>
      </c>
      <c r="AL185" s="26">
        <f>IF(AN185=21,J185,0)</f>
        <v>0</v>
      </c>
      <c r="AN185" s="26">
        <v>12</v>
      </c>
      <c r="AO185" s="26">
        <f>G185*0</f>
        <v>0</v>
      </c>
      <c r="AP185" s="26">
        <f>G185*(1-0)</f>
        <v>0</v>
      </c>
      <c r="AQ185" s="29" t="s">
        <v>90</v>
      </c>
      <c r="AV185" s="26">
        <f>AW185+AX185</f>
        <v>0</v>
      </c>
      <c r="AW185" s="26">
        <f>F185*AO185</f>
        <v>0</v>
      </c>
      <c r="AX185" s="26">
        <f>F185*AP185</f>
        <v>0</v>
      </c>
      <c r="AY185" s="29" t="s">
        <v>493</v>
      </c>
      <c r="AZ185" s="29" t="s">
        <v>482</v>
      </c>
      <c r="BA185" s="11" t="s">
        <v>61</v>
      </c>
      <c r="BB185" s="30">
        <v>100012</v>
      </c>
      <c r="BC185" s="26">
        <f>AW185+AX185</f>
        <v>0</v>
      </c>
      <c r="BD185" s="26">
        <f>G185/(100-BE185)*100</f>
        <v>0</v>
      </c>
      <c r="BE185" s="26">
        <v>0</v>
      </c>
      <c r="BF185" s="26">
        <f>185</f>
        <v>185</v>
      </c>
      <c r="BH185" s="26">
        <f>F185*AO185</f>
        <v>0</v>
      </c>
      <c r="BI185" s="26">
        <f>F185*AP185</f>
        <v>0</v>
      </c>
      <c r="BJ185" s="26">
        <f>F185*G185</f>
        <v>0</v>
      </c>
      <c r="BK185" s="26"/>
      <c r="BL185" s="26">
        <v>784</v>
      </c>
      <c r="BW185" s="26">
        <v>12</v>
      </c>
      <c r="BX185" s="5" t="s">
        <v>492</v>
      </c>
    </row>
    <row r="186" spans="1:76" x14ac:dyDescent="0.25">
      <c r="A186" s="2" t="s">
        <v>494</v>
      </c>
      <c r="B186" s="3" t="s">
        <v>495</v>
      </c>
      <c r="C186" s="96" t="s">
        <v>496</v>
      </c>
      <c r="D186" s="91"/>
      <c r="E186" s="3" t="s">
        <v>56</v>
      </c>
      <c r="F186" s="26">
        <v>1.65</v>
      </c>
      <c r="G186" s="27">
        <v>0</v>
      </c>
      <c r="H186" s="26">
        <f>F186*AO186</f>
        <v>0</v>
      </c>
      <c r="I186" s="26">
        <f>F186*AP186</f>
        <v>0</v>
      </c>
      <c r="J186" s="26">
        <f>F186*G186</f>
        <v>0</v>
      </c>
      <c r="K186" s="28" t="s">
        <v>65</v>
      </c>
      <c r="Z186" s="26">
        <f>IF(AQ186="5",BJ186,0)</f>
        <v>0</v>
      </c>
      <c r="AB186" s="26">
        <f>IF(AQ186="1",BH186,0)</f>
        <v>0</v>
      </c>
      <c r="AC186" s="26">
        <f>IF(AQ186="1",BI186,0)</f>
        <v>0</v>
      </c>
      <c r="AD186" s="26">
        <f>IF(AQ186="7",BH186,0)</f>
        <v>0</v>
      </c>
      <c r="AE186" s="26">
        <f>IF(AQ186="7",BI186,0)</f>
        <v>0</v>
      </c>
      <c r="AF186" s="26">
        <f>IF(AQ186="2",BH186,0)</f>
        <v>0</v>
      </c>
      <c r="AG186" s="26">
        <f>IF(AQ186="2",BI186,0)</f>
        <v>0</v>
      </c>
      <c r="AH186" s="26">
        <f>IF(AQ186="0",BJ186,0)</f>
        <v>0</v>
      </c>
      <c r="AI186" s="11" t="s">
        <v>58</v>
      </c>
      <c r="AJ186" s="26">
        <f>IF(AN186=0,J186,0)</f>
        <v>0</v>
      </c>
      <c r="AK186" s="26">
        <f>IF(AN186=12,J186,0)</f>
        <v>0</v>
      </c>
      <c r="AL186" s="26">
        <f>IF(AN186=21,J186,0)</f>
        <v>0</v>
      </c>
      <c r="AN186" s="26">
        <v>12</v>
      </c>
      <c r="AO186" s="26">
        <f>G186*0</f>
        <v>0</v>
      </c>
      <c r="AP186" s="26">
        <f>G186*(1-0)</f>
        <v>0</v>
      </c>
      <c r="AQ186" s="29" t="s">
        <v>90</v>
      </c>
      <c r="AV186" s="26">
        <f>AW186+AX186</f>
        <v>0</v>
      </c>
      <c r="AW186" s="26">
        <f>F186*AO186</f>
        <v>0</v>
      </c>
      <c r="AX186" s="26">
        <f>F186*AP186</f>
        <v>0</v>
      </c>
      <c r="AY186" s="29" t="s">
        <v>493</v>
      </c>
      <c r="AZ186" s="29" t="s">
        <v>482</v>
      </c>
      <c r="BA186" s="11" t="s">
        <v>61</v>
      </c>
      <c r="BB186" s="30">
        <v>100012</v>
      </c>
      <c r="BC186" s="26">
        <f>AW186+AX186</f>
        <v>0</v>
      </c>
      <c r="BD186" s="26">
        <f>G186/(100-BE186)*100</f>
        <v>0</v>
      </c>
      <c r="BE186" s="26">
        <v>0</v>
      </c>
      <c r="BF186" s="26">
        <f>186</f>
        <v>186</v>
      </c>
      <c r="BH186" s="26">
        <f>F186*AO186</f>
        <v>0</v>
      </c>
      <c r="BI186" s="26">
        <f>F186*AP186</f>
        <v>0</v>
      </c>
      <c r="BJ186" s="26">
        <f>F186*G186</f>
        <v>0</v>
      </c>
      <c r="BK186" s="26"/>
      <c r="BL186" s="26">
        <v>784</v>
      </c>
      <c r="BW186" s="26">
        <v>12</v>
      </c>
      <c r="BX186" s="5" t="s">
        <v>496</v>
      </c>
    </row>
    <row r="187" spans="1:76" x14ac:dyDescent="0.25">
      <c r="A187" s="2" t="s">
        <v>497</v>
      </c>
      <c r="B187" s="3" t="s">
        <v>498</v>
      </c>
      <c r="C187" s="96" t="s">
        <v>499</v>
      </c>
      <c r="D187" s="91"/>
      <c r="E187" s="3" t="s">
        <v>56</v>
      </c>
      <c r="F187" s="26">
        <v>44.4</v>
      </c>
      <c r="G187" s="27">
        <v>0</v>
      </c>
      <c r="H187" s="26">
        <f>F187*AO187</f>
        <v>0</v>
      </c>
      <c r="I187" s="26">
        <f>F187*AP187</f>
        <v>0</v>
      </c>
      <c r="J187" s="26">
        <f>F187*G187</f>
        <v>0</v>
      </c>
      <c r="K187" s="28" t="s">
        <v>65</v>
      </c>
      <c r="Z187" s="26">
        <f>IF(AQ187="5",BJ187,0)</f>
        <v>0</v>
      </c>
      <c r="AB187" s="26">
        <f>IF(AQ187="1",BH187,0)</f>
        <v>0</v>
      </c>
      <c r="AC187" s="26">
        <f>IF(AQ187="1",BI187,0)</f>
        <v>0</v>
      </c>
      <c r="AD187" s="26">
        <f>IF(AQ187="7",BH187,0)</f>
        <v>0</v>
      </c>
      <c r="AE187" s="26">
        <f>IF(AQ187="7",BI187,0)</f>
        <v>0</v>
      </c>
      <c r="AF187" s="26">
        <f>IF(AQ187="2",BH187,0)</f>
        <v>0</v>
      </c>
      <c r="AG187" s="26">
        <f>IF(AQ187="2",BI187,0)</f>
        <v>0</v>
      </c>
      <c r="AH187" s="26">
        <f>IF(AQ187="0",BJ187,0)</f>
        <v>0</v>
      </c>
      <c r="AI187" s="11" t="s">
        <v>58</v>
      </c>
      <c r="AJ187" s="26">
        <f>IF(AN187=0,J187,0)</f>
        <v>0</v>
      </c>
      <c r="AK187" s="26">
        <f>IF(AN187=12,J187,0)</f>
        <v>0</v>
      </c>
      <c r="AL187" s="26">
        <f>IF(AN187=21,J187,0)</f>
        <v>0</v>
      </c>
      <c r="AN187" s="26">
        <v>12</v>
      </c>
      <c r="AO187" s="26">
        <f>G187*0.600480769</f>
        <v>0</v>
      </c>
      <c r="AP187" s="26">
        <f>G187*(1-0.600480769)</f>
        <v>0</v>
      </c>
      <c r="AQ187" s="29" t="s">
        <v>90</v>
      </c>
      <c r="AV187" s="26">
        <f>AW187+AX187</f>
        <v>0</v>
      </c>
      <c r="AW187" s="26">
        <f>F187*AO187</f>
        <v>0</v>
      </c>
      <c r="AX187" s="26">
        <f>F187*AP187</f>
        <v>0</v>
      </c>
      <c r="AY187" s="29" t="s">
        <v>493</v>
      </c>
      <c r="AZ187" s="29" t="s">
        <v>482</v>
      </c>
      <c r="BA187" s="11" t="s">
        <v>61</v>
      </c>
      <c r="BB187" s="30">
        <v>100012</v>
      </c>
      <c r="BC187" s="26">
        <f>AW187+AX187</f>
        <v>0</v>
      </c>
      <c r="BD187" s="26">
        <f>G187/(100-BE187)*100</f>
        <v>0</v>
      </c>
      <c r="BE187" s="26">
        <v>0</v>
      </c>
      <c r="BF187" s="26">
        <f>187</f>
        <v>187</v>
      </c>
      <c r="BH187" s="26">
        <f>F187*AO187</f>
        <v>0</v>
      </c>
      <c r="BI187" s="26">
        <f>F187*AP187</f>
        <v>0</v>
      </c>
      <c r="BJ187" s="26">
        <f>F187*G187</f>
        <v>0</v>
      </c>
      <c r="BK187" s="26"/>
      <c r="BL187" s="26">
        <v>784</v>
      </c>
      <c r="BW187" s="26">
        <v>12</v>
      </c>
      <c r="BX187" s="5" t="s">
        <v>499</v>
      </c>
    </row>
    <row r="188" spans="1:76" ht="13.5" customHeight="1" x14ac:dyDescent="0.25">
      <c r="A188" s="36"/>
      <c r="B188" s="37" t="s">
        <v>233</v>
      </c>
      <c r="C188" s="118" t="s">
        <v>500</v>
      </c>
      <c r="D188" s="119"/>
      <c r="E188" s="119"/>
      <c r="F188" s="119"/>
      <c r="G188" s="120"/>
      <c r="H188" s="119"/>
      <c r="I188" s="119"/>
      <c r="J188" s="119"/>
      <c r="K188" s="121"/>
    </row>
    <row r="189" spans="1:76" x14ac:dyDescent="0.25">
      <c r="A189" s="2" t="s">
        <v>501</v>
      </c>
      <c r="B189" s="3" t="s">
        <v>502</v>
      </c>
      <c r="C189" s="96" t="s">
        <v>503</v>
      </c>
      <c r="D189" s="91"/>
      <c r="E189" s="3" t="s">
        <v>56</v>
      </c>
      <c r="F189" s="26">
        <v>39.090000000000003</v>
      </c>
      <c r="G189" s="27">
        <v>0</v>
      </c>
      <c r="H189" s="26">
        <f>F189*AO189</f>
        <v>0</v>
      </c>
      <c r="I189" s="26">
        <f>F189*AP189</f>
        <v>0</v>
      </c>
      <c r="J189" s="26">
        <f>F189*G189</f>
        <v>0</v>
      </c>
      <c r="K189" s="28" t="s">
        <v>65</v>
      </c>
      <c r="Z189" s="26">
        <f>IF(AQ189="5",BJ189,0)</f>
        <v>0</v>
      </c>
      <c r="AB189" s="26">
        <f>IF(AQ189="1",BH189,0)</f>
        <v>0</v>
      </c>
      <c r="AC189" s="26">
        <f>IF(AQ189="1",BI189,0)</f>
        <v>0</v>
      </c>
      <c r="AD189" s="26">
        <f>IF(AQ189="7",BH189,0)</f>
        <v>0</v>
      </c>
      <c r="AE189" s="26">
        <f>IF(AQ189="7",BI189,0)</f>
        <v>0</v>
      </c>
      <c r="AF189" s="26">
        <f>IF(AQ189="2",BH189,0)</f>
        <v>0</v>
      </c>
      <c r="AG189" s="26">
        <f>IF(AQ189="2",BI189,0)</f>
        <v>0</v>
      </c>
      <c r="AH189" s="26">
        <f>IF(AQ189="0",BJ189,0)</f>
        <v>0</v>
      </c>
      <c r="AI189" s="11" t="s">
        <v>58</v>
      </c>
      <c r="AJ189" s="26">
        <f>IF(AN189=0,J189,0)</f>
        <v>0</v>
      </c>
      <c r="AK189" s="26">
        <f>IF(AN189=12,J189,0)</f>
        <v>0</v>
      </c>
      <c r="AL189" s="26">
        <f>IF(AN189=21,J189,0)</f>
        <v>0</v>
      </c>
      <c r="AN189" s="26">
        <v>12</v>
      </c>
      <c r="AO189" s="26">
        <f>G189*0.311896274</f>
        <v>0</v>
      </c>
      <c r="AP189" s="26">
        <f>G189*(1-0.311896274)</f>
        <v>0</v>
      </c>
      <c r="AQ189" s="29" t="s">
        <v>90</v>
      </c>
      <c r="AV189" s="26">
        <f>AW189+AX189</f>
        <v>0</v>
      </c>
      <c r="AW189" s="26">
        <f>F189*AO189</f>
        <v>0</v>
      </c>
      <c r="AX189" s="26">
        <f>F189*AP189</f>
        <v>0</v>
      </c>
      <c r="AY189" s="29" t="s">
        <v>493</v>
      </c>
      <c r="AZ189" s="29" t="s">
        <v>482</v>
      </c>
      <c r="BA189" s="11" t="s">
        <v>61</v>
      </c>
      <c r="BB189" s="30">
        <v>100023</v>
      </c>
      <c r="BC189" s="26">
        <f>AW189+AX189</f>
        <v>0</v>
      </c>
      <c r="BD189" s="26">
        <f>G189/(100-BE189)*100</f>
        <v>0</v>
      </c>
      <c r="BE189" s="26">
        <v>0</v>
      </c>
      <c r="BF189" s="26">
        <f>189</f>
        <v>189</v>
      </c>
      <c r="BH189" s="26">
        <f>F189*AO189</f>
        <v>0</v>
      </c>
      <c r="BI189" s="26">
        <f>F189*AP189</f>
        <v>0</v>
      </c>
      <c r="BJ189" s="26">
        <f>F189*G189</f>
        <v>0</v>
      </c>
      <c r="BK189" s="26"/>
      <c r="BL189" s="26">
        <v>784</v>
      </c>
      <c r="BW189" s="26">
        <v>12</v>
      </c>
      <c r="BX189" s="5" t="s">
        <v>503</v>
      </c>
    </row>
    <row r="190" spans="1:76" x14ac:dyDescent="0.25">
      <c r="A190" s="2" t="s">
        <v>504</v>
      </c>
      <c r="B190" s="3" t="s">
        <v>505</v>
      </c>
      <c r="C190" s="96" t="s">
        <v>506</v>
      </c>
      <c r="D190" s="91"/>
      <c r="E190" s="3" t="s">
        <v>56</v>
      </c>
      <c r="F190" s="26">
        <v>39.090000000000003</v>
      </c>
      <c r="G190" s="27">
        <v>0</v>
      </c>
      <c r="H190" s="26">
        <f>F190*AO190</f>
        <v>0</v>
      </c>
      <c r="I190" s="26">
        <f>F190*AP190</f>
        <v>0</v>
      </c>
      <c r="J190" s="26">
        <f>F190*G190</f>
        <v>0</v>
      </c>
      <c r="K190" s="28" t="s">
        <v>65</v>
      </c>
      <c r="Z190" s="26">
        <f>IF(AQ190="5",BJ190,0)</f>
        <v>0</v>
      </c>
      <c r="AB190" s="26">
        <f>IF(AQ190="1",BH190,0)</f>
        <v>0</v>
      </c>
      <c r="AC190" s="26">
        <f>IF(AQ190="1",BI190,0)</f>
        <v>0</v>
      </c>
      <c r="AD190" s="26">
        <f>IF(AQ190="7",BH190,0)</f>
        <v>0</v>
      </c>
      <c r="AE190" s="26">
        <f>IF(AQ190="7",BI190,0)</f>
        <v>0</v>
      </c>
      <c r="AF190" s="26">
        <f>IF(AQ190="2",BH190,0)</f>
        <v>0</v>
      </c>
      <c r="AG190" s="26">
        <f>IF(AQ190="2",BI190,0)</f>
        <v>0</v>
      </c>
      <c r="AH190" s="26">
        <f>IF(AQ190="0",BJ190,0)</f>
        <v>0</v>
      </c>
      <c r="AI190" s="11" t="s">
        <v>58</v>
      </c>
      <c r="AJ190" s="26">
        <f>IF(AN190=0,J190,0)</f>
        <v>0</v>
      </c>
      <c r="AK190" s="26">
        <f>IF(AN190=12,J190,0)</f>
        <v>0</v>
      </c>
      <c r="AL190" s="26">
        <f>IF(AN190=21,J190,0)</f>
        <v>0</v>
      </c>
      <c r="AN190" s="26">
        <v>12</v>
      </c>
      <c r="AO190" s="26">
        <f>G190*0.165787217</f>
        <v>0</v>
      </c>
      <c r="AP190" s="26">
        <f>G190*(1-0.165787217)</f>
        <v>0</v>
      </c>
      <c r="AQ190" s="29" t="s">
        <v>90</v>
      </c>
      <c r="AV190" s="26">
        <f>AW190+AX190</f>
        <v>0</v>
      </c>
      <c r="AW190" s="26">
        <f>F190*AO190</f>
        <v>0</v>
      </c>
      <c r="AX190" s="26">
        <f>F190*AP190</f>
        <v>0</v>
      </c>
      <c r="AY190" s="29" t="s">
        <v>493</v>
      </c>
      <c r="AZ190" s="29" t="s">
        <v>482</v>
      </c>
      <c r="BA190" s="11" t="s">
        <v>61</v>
      </c>
      <c r="BB190" s="30">
        <v>100023</v>
      </c>
      <c r="BC190" s="26">
        <f>AW190+AX190</f>
        <v>0</v>
      </c>
      <c r="BD190" s="26">
        <f>G190/(100-BE190)*100</f>
        <v>0</v>
      </c>
      <c r="BE190" s="26">
        <v>0</v>
      </c>
      <c r="BF190" s="26">
        <f>190</f>
        <v>190</v>
      </c>
      <c r="BH190" s="26">
        <f>F190*AO190</f>
        <v>0</v>
      </c>
      <c r="BI190" s="26">
        <f>F190*AP190</f>
        <v>0</v>
      </c>
      <c r="BJ190" s="26">
        <f>F190*G190</f>
        <v>0</v>
      </c>
      <c r="BK190" s="26"/>
      <c r="BL190" s="26">
        <v>784</v>
      </c>
      <c r="BW190" s="26">
        <v>12</v>
      </c>
      <c r="BX190" s="5" t="s">
        <v>506</v>
      </c>
    </row>
    <row r="191" spans="1:76" x14ac:dyDescent="0.25">
      <c r="A191" s="31" t="s">
        <v>50</v>
      </c>
      <c r="B191" s="32" t="s">
        <v>337</v>
      </c>
      <c r="C191" s="116" t="s">
        <v>507</v>
      </c>
      <c r="D191" s="117"/>
      <c r="E191" s="33" t="s">
        <v>4</v>
      </c>
      <c r="F191" s="33" t="s">
        <v>4</v>
      </c>
      <c r="G191" s="34" t="s">
        <v>4</v>
      </c>
      <c r="H191" s="1">
        <f>SUM(H192:H194)</f>
        <v>0</v>
      </c>
      <c r="I191" s="1">
        <f>SUM(I192:I194)</f>
        <v>0</v>
      </c>
      <c r="J191" s="1">
        <f>SUM(J192:J194)</f>
        <v>0</v>
      </c>
      <c r="K191" s="35" t="s">
        <v>50</v>
      </c>
      <c r="AI191" s="11" t="s">
        <v>50</v>
      </c>
      <c r="AS191" s="1">
        <f>SUM(AJ192:AJ194)</f>
        <v>0</v>
      </c>
      <c r="AT191" s="1">
        <f>SUM(AK192:AK194)</f>
        <v>0</v>
      </c>
      <c r="AU191" s="1">
        <f>SUM(AL192:AL194)</f>
        <v>0</v>
      </c>
    </row>
    <row r="192" spans="1:76" x14ac:dyDescent="0.25">
      <c r="A192" s="2" t="s">
        <v>508</v>
      </c>
      <c r="B192" s="3" t="s">
        <v>509</v>
      </c>
      <c r="C192" s="96" t="s">
        <v>510</v>
      </c>
      <c r="D192" s="91"/>
      <c r="E192" s="3" t="s">
        <v>511</v>
      </c>
      <c r="F192" s="26">
        <v>72</v>
      </c>
      <c r="G192" s="27">
        <v>0</v>
      </c>
      <c r="H192" s="26">
        <f>F192*AO192</f>
        <v>0</v>
      </c>
      <c r="I192" s="26">
        <f>F192*AP192</f>
        <v>0</v>
      </c>
      <c r="J192" s="26">
        <f>F192*G192</f>
        <v>0</v>
      </c>
      <c r="K192" s="28" t="s">
        <v>65</v>
      </c>
      <c r="Z192" s="26">
        <f>IF(AQ192="5",BJ192,0)</f>
        <v>0</v>
      </c>
      <c r="AB192" s="26">
        <f>IF(AQ192="1",BH192,0)</f>
        <v>0</v>
      </c>
      <c r="AC192" s="26">
        <f>IF(AQ192="1",BI192,0)</f>
        <v>0</v>
      </c>
      <c r="AD192" s="26">
        <f>IF(AQ192="7",BH192,0)</f>
        <v>0</v>
      </c>
      <c r="AE192" s="26">
        <f>IF(AQ192="7",BI192,0)</f>
        <v>0</v>
      </c>
      <c r="AF192" s="26">
        <f>IF(AQ192="2",BH192,0)</f>
        <v>0</v>
      </c>
      <c r="AG192" s="26">
        <f>IF(AQ192="2",BI192,0)</f>
        <v>0</v>
      </c>
      <c r="AH192" s="26">
        <f>IF(AQ192="0",BJ192,0)</f>
        <v>0</v>
      </c>
      <c r="AI192" s="11" t="s">
        <v>58</v>
      </c>
      <c r="AJ192" s="26">
        <f>IF(AN192=0,J192,0)</f>
        <v>0</v>
      </c>
      <c r="AK192" s="26">
        <f>IF(AN192=12,J192,0)</f>
        <v>0</v>
      </c>
      <c r="AL192" s="26">
        <f>IF(AN192=21,J192,0)</f>
        <v>0</v>
      </c>
      <c r="AN192" s="26">
        <v>12</v>
      </c>
      <c r="AO192" s="26">
        <f>G192*0</f>
        <v>0</v>
      </c>
      <c r="AP192" s="26">
        <f>G192*(1-0)</f>
        <v>0</v>
      </c>
      <c r="AQ192" s="29" t="s">
        <v>53</v>
      </c>
      <c r="AV192" s="26">
        <f>AW192+AX192</f>
        <v>0</v>
      </c>
      <c r="AW192" s="26">
        <f>F192*AO192</f>
        <v>0</v>
      </c>
      <c r="AX192" s="26">
        <f>F192*AP192</f>
        <v>0</v>
      </c>
      <c r="AY192" s="29" t="s">
        <v>512</v>
      </c>
      <c r="AZ192" s="29" t="s">
        <v>513</v>
      </c>
      <c r="BA192" s="11" t="s">
        <v>61</v>
      </c>
      <c r="BB192" s="30">
        <v>100021</v>
      </c>
      <c r="BC192" s="26">
        <f>AW192+AX192</f>
        <v>0</v>
      </c>
      <c r="BD192" s="26">
        <f>G192/(100-BE192)*100</f>
        <v>0</v>
      </c>
      <c r="BE192" s="26">
        <v>0</v>
      </c>
      <c r="BF192" s="26">
        <f>192</f>
        <v>192</v>
      </c>
      <c r="BH192" s="26">
        <f>F192*AO192</f>
        <v>0</v>
      </c>
      <c r="BI192" s="26">
        <f>F192*AP192</f>
        <v>0</v>
      </c>
      <c r="BJ192" s="26">
        <f>F192*G192</f>
        <v>0</v>
      </c>
      <c r="BK192" s="26"/>
      <c r="BL192" s="26">
        <v>90</v>
      </c>
      <c r="BW192" s="26">
        <v>12</v>
      </c>
      <c r="BX192" s="5" t="s">
        <v>510</v>
      </c>
    </row>
    <row r="193" spans="1:76" ht="13.5" customHeight="1" x14ac:dyDescent="0.25">
      <c r="A193" s="36"/>
      <c r="B193" s="37" t="s">
        <v>233</v>
      </c>
      <c r="C193" s="118" t="s">
        <v>514</v>
      </c>
      <c r="D193" s="119"/>
      <c r="E193" s="119"/>
      <c r="F193" s="119"/>
      <c r="G193" s="120"/>
      <c r="H193" s="119"/>
      <c r="I193" s="119"/>
      <c r="J193" s="119"/>
      <c r="K193" s="121"/>
    </row>
    <row r="194" spans="1:76" x14ac:dyDescent="0.25">
      <c r="A194" s="2" t="s">
        <v>515</v>
      </c>
      <c r="B194" s="3" t="s">
        <v>516</v>
      </c>
      <c r="C194" s="96" t="s">
        <v>517</v>
      </c>
      <c r="D194" s="91"/>
      <c r="E194" s="3" t="s">
        <v>511</v>
      </c>
      <c r="F194" s="26">
        <v>36</v>
      </c>
      <c r="G194" s="27">
        <v>0</v>
      </c>
      <c r="H194" s="26">
        <f>F194*AO194</f>
        <v>0</v>
      </c>
      <c r="I194" s="26">
        <f>F194*AP194</f>
        <v>0</v>
      </c>
      <c r="J194" s="26">
        <f>F194*G194</f>
        <v>0</v>
      </c>
      <c r="K194" s="28" t="s">
        <v>65</v>
      </c>
      <c r="Z194" s="26">
        <f>IF(AQ194="5",BJ194,0)</f>
        <v>0</v>
      </c>
      <c r="AB194" s="26">
        <f>IF(AQ194="1",BH194,0)</f>
        <v>0</v>
      </c>
      <c r="AC194" s="26">
        <f>IF(AQ194="1",BI194,0)</f>
        <v>0</v>
      </c>
      <c r="AD194" s="26">
        <f>IF(AQ194="7",BH194,0)</f>
        <v>0</v>
      </c>
      <c r="AE194" s="26">
        <f>IF(AQ194="7",BI194,0)</f>
        <v>0</v>
      </c>
      <c r="AF194" s="26">
        <f>IF(AQ194="2",BH194,0)</f>
        <v>0</v>
      </c>
      <c r="AG194" s="26">
        <f>IF(AQ194="2",BI194,0)</f>
        <v>0</v>
      </c>
      <c r="AH194" s="26">
        <f>IF(AQ194="0",BJ194,0)</f>
        <v>0</v>
      </c>
      <c r="AI194" s="11" t="s">
        <v>58</v>
      </c>
      <c r="AJ194" s="26">
        <f>IF(AN194=0,J194,0)</f>
        <v>0</v>
      </c>
      <c r="AK194" s="26">
        <f>IF(AN194=12,J194,0)</f>
        <v>0</v>
      </c>
      <c r="AL194" s="26">
        <f>IF(AN194=21,J194,0)</f>
        <v>0</v>
      </c>
      <c r="AN194" s="26">
        <v>12</v>
      </c>
      <c r="AO194" s="26">
        <f>G194*0</f>
        <v>0</v>
      </c>
      <c r="AP194" s="26">
        <f>G194*(1-0)</f>
        <v>0</v>
      </c>
      <c r="AQ194" s="29" t="s">
        <v>53</v>
      </c>
      <c r="AV194" s="26">
        <f>AW194+AX194</f>
        <v>0</v>
      </c>
      <c r="AW194" s="26">
        <f>F194*AO194</f>
        <v>0</v>
      </c>
      <c r="AX194" s="26">
        <f>F194*AP194</f>
        <v>0</v>
      </c>
      <c r="AY194" s="29" t="s">
        <v>512</v>
      </c>
      <c r="AZ194" s="29" t="s">
        <v>513</v>
      </c>
      <c r="BA194" s="11" t="s">
        <v>61</v>
      </c>
      <c r="BB194" s="30">
        <v>100021</v>
      </c>
      <c r="BC194" s="26">
        <f>AW194+AX194</f>
        <v>0</v>
      </c>
      <c r="BD194" s="26">
        <f>G194/(100-BE194)*100</f>
        <v>0</v>
      </c>
      <c r="BE194" s="26">
        <v>0</v>
      </c>
      <c r="BF194" s="26">
        <f>194</f>
        <v>194</v>
      </c>
      <c r="BH194" s="26">
        <f>F194*AO194</f>
        <v>0</v>
      </c>
      <c r="BI194" s="26">
        <f>F194*AP194</f>
        <v>0</v>
      </c>
      <c r="BJ194" s="26">
        <f>F194*G194</f>
        <v>0</v>
      </c>
      <c r="BK194" s="26"/>
      <c r="BL194" s="26">
        <v>90</v>
      </c>
      <c r="BW194" s="26">
        <v>12</v>
      </c>
      <c r="BX194" s="5" t="s">
        <v>517</v>
      </c>
    </row>
    <row r="195" spans="1:76" ht="13.5" customHeight="1" x14ac:dyDescent="0.25">
      <c r="A195" s="36"/>
      <c r="B195" s="37" t="s">
        <v>233</v>
      </c>
      <c r="C195" s="118" t="s">
        <v>518</v>
      </c>
      <c r="D195" s="119"/>
      <c r="E195" s="119"/>
      <c r="F195" s="119"/>
      <c r="G195" s="120"/>
      <c r="H195" s="119"/>
      <c r="I195" s="119"/>
      <c r="J195" s="119"/>
      <c r="K195" s="121"/>
    </row>
    <row r="196" spans="1:76" x14ac:dyDescent="0.25">
      <c r="A196" s="31" t="s">
        <v>50</v>
      </c>
      <c r="B196" s="32" t="s">
        <v>358</v>
      </c>
      <c r="C196" s="116" t="s">
        <v>519</v>
      </c>
      <c r="D196" s="117"/>
      <c r="E196" s="33" t="s">
        <v>4</v>
      </c>
      <c r="F196" s="33" t="s">
        <v>4</v>
      </c>
      <c r="G196" s="34" t="s">
        <v>4</v>
      </c>
      <c r="H196" s="1">
        <f>SUM(H197:H206)</f>
        <v>0</v>
      </c>
      <c r="I196" s="1">
        <f>SUM(I197:I206)</f>
        <v>0</v>
      </c>
      <c r="J196" s="1">
        <f>SUM(J197:J206)</f>
        <v>0</v>
      </c>
      <c r="K196" s="35" t="s">
        <v>50</v>
      </c>
      <c r="AI196" s="11" t="s">
        <v>50</v>
      </c>
      <c r="AS196" s="1">
        <f>SUM(AJ197:AJ206)</f>
        <v>0</v>
      </c>
      <c r="AT196" s="1">
        <f>SUM(AK197:AK206)</f>
        <v>0</v>
      </c>
      <c r="AU196" s="1">
        <f>SUM(AL197:AL206)</f>
        <v>0</v>
      </c>
    </row>
    <row r="197" spans="1:76" x14ac:dyDescent="0.25">
      <c r="A197" s="2" t="s">
        <v>520</v>
      </c>
      <c r="B197" s="3" t="s">
        <v>521</v>
      </c>
      <c r="C197" s="96" t="s">
        <v>522</v>
      </c>
      <c r="D197" s="91"/>
      <c r="E197" s="3" t="s">
        <v>56</v>
      </c>
      <c r="F197" s="26">
        <v>3.64</v>
      </c>
      <c r="G197" s="27">
        <v>0</v>
      </c>
      <c r="H197" s="26">
        <f t="shared" ref="H197:H206" si="116">F197*AO197</f>
        <v>0</v>
      </c>
      <c r="I197" s="26">
        <f t="shared" ref="I197:I206" si="117">F197*AP197</f>
        <v>0</v>
      </c>
      <c r="J197" s="26">
        <f t="shared" ref="J197:J206" si="118">F197*G197</f>
        <v>0</v>
      </c>
      <c r="K197" s="28" t="s">
        <v>65</v>
      </c>
      <c r="Z197" s="26">
        <f t="shared" ref="Z197:Z206" si="119">IF(AQ197="5",BJ197,0)</f>
        <v>0</v>
      </c>
      <c r="AB197" s="26">
        <f t="shared" ref="AB197:AB206" si="120">IF(AQ197="1",BH197,0)</f>
        <v>0</v>
      </c>
      <c r="AC197" s="26">
        <f t="shared" ref="AC197:AC206" si="121">IF(AQ197="1",BI197,0)</f>
        <v>0</v>
      </c>
      <c r="AD197" s="26">
        <f t="shared" ref="AD197:AD206" si="122">IF(AQ197="7",BH197,0)</f>
        <v>0</v>
      </c>
      <c r="AE197" s="26">
        <f t="shared" ref="AE197:AE206" si="123">IF(AQ197="7",BI197,0)</f>
        <v>0</v>
      </c>
      <c r="AF197" s="26">
        <f t="shared" ref="AF197:AF206" si="124">IF(AQ197="2",BH197,0)</f>
        <v>0</v>
      </c>
      <c r="AG197" s="26">
        <f t="shared" ref="AG197:AG206" si="125">IF(AQ197="2",BI197,0)</f>
        <v>0</v>
      </c>
      <c r="AH197" s="26">
        <f t="shared" ref="AH197:AH206" si="126">IF(AQ197="0",BJ197,0)</f>
        <v>0</v>
      </c>
      <c r="AI197" s="11" t="s">
        <v>58</v>
      </c>
      <c r="AJ197" s="26">
        <f t="shared" ref="AJ197:AJ206" si="127">IF(AN197=0,J197,0)</f>
        <v>0</v>
      </c>
      <c r="AK197" s="26">
        <f t="shared" ref="AK197:AK206" si="128">IF(AN197=12,J197,0)</f>
        <v>0</v>
      </c>
      <c r="AL197" s="26">
        <f t="shared" ref="AL197:AL206" si="129">IF(AN197=21,J197,0)</f>
        <v>0</v>
      </c>
      <c r="AN197" s="26">
        <v>12</v>
      </c>
      <c r="AO197" s="26">
        <f>G197*0.162020202</f>
        <v>0</v>
      </c>
      <c r="AP197" s="26">
        <f>G197*(1-0.162020202)</f>
        <v>0</v>
      </c>
      <c r="AQ197" s="29" t="s">
        <v>53</v>
      </c>
      <c r="AV197" s="26">
        <f t="shared" ref="AV197:AV206" si="130">AW197+AX197</f>
        <v>0</v>
      </c>
      <c r="AW197" s="26">
        <f t="shared" ref="AW197:AW206" si="131">F197*AO197</f>
        <v>0</v>
      </c>
      <c r="AX197" s="26">
        <f t="shared" ref="AX197:AX206" si="132">F197*AP197</f>
        <v>0</v>
      </c>
      <c r="AY197" s="29" t="s">
        <v>523</v>
      </c>
      <c r="AZ197" s="29" t="s">
        <v>513</v>
      </c>
      <c r="BA197" s="11" t="s">
        <v>61</v>
      </c>
      <c r="BB197" s="30">
        <v>100009</v>
      </c>
      <c r="BC197" s="26">
        <f t="shared" ref="BC197:BC206" si="133">AW197+AX197</f>
        <v>0</v>
      </c>
      <c r="BD197" s="26">
        <f t="shared" ref="BD197:BD206" si="134">G197/(100-BE197)*100</f>
        <v>0</v>
      </c>
      <c r="BE197" s="26">
        <v>0</v>
      </c>
      <c r="BF197" s="26">
        <f>197</f>
        <v>197</v>
      </c>
      <c r="BH197" s="26">
        <f t="shared" ref="BH197:BH206" si="135">F197*AO197</f>
        <v>0</v>
      </c>
      <c r="BI197" s="26">
        <f t="shared" ref="BI197:BI206" si="136">F197*AP197</f>
        <v>0</v>
      </c>
      <c r="BJ197" s="26">
        <f t="shared" ref="BJ197:BJ206" si="137">F197*G197</f>
        <v>0</v>
      </c>
      <c r="BK197" s="26"/>
      <c r="BL197" s="26">
        <v>97</v>
      </c>
      <c r="BW197" s="26">
        <v>12</v>
      </c>
      <c r="BX197" s="5" t="s">
        <v>522</v>
      </c>
    </row>
    <row r="198" spans="1:76" x14ac:dyDescent="0.25">
      <c r="A198" s="2" t="s">
        <v>524</v>
      </c>
      <c r="B198" s="3" t="s">
        <v>525</v>
      </c>
      <c r="C198" s="96" t="s">
        <v>526</v>
      </c>
      <c r="D198" s="91"/>
      <c r="E198" s="3" t="s">
        <v>56</v>
      </c>
      <c r="F198" s="26">
        <v>2.25</v>
      </c>
      <c r="G198" s="27">
        <v>0</v>
      </c>
      <c r="H198" s="26">
        <f t="shared" si="116"/>
        <v>0</v>
      </c>
      <c r="I198" s="26">
        <f t="shared" si="117"/>
        <v>0</v>
      </c>
      <c r="J198" s="26">
        <f t="shared" si="118"/>
        <v>0</v>
      </c>
      <c r="K198" s="28" t="s">
        <v>65</v>
      </c>
      <c r="Z198" s="26">
        <f t="shared" si="119"/>
        <v>0</v>
      </c>
      <c r="AB198" s="26">
        <f t="shared" si="120"/>
        <v>0</v>
      </c>
      <c r="AC198" s="26">
        <f t="shared" si="121"/>
        <v>0</v>
      </c>
      <c r="AD198" s="26">
        <f t="shared" si="122"/>
        <v>0</v>
      </c>
      <c r="AE198" s="26">
        <f t="shared" si="123"/>
        <v>0</v>
      </c>
      <c r="AF198" s="26">
        <f t="shared" si="124"/>
        <v>0</v>
      </c>
      <c r="AG198" s="26">
        <f t="shared" si="125"/>
        <v>0</v>
      </c>
      <c r="AH198" s="26">
        <f t="shared" si="126"/>
        <v>0</v>
      </c>
      <c r="AI198" s="11" t="s">
        <v>58</v>
      </c>
      <c r="AJ198" s="26">
        <f t="shared" si="127"/>
        <v>0</v>
      </c>
      <c r="AK198" s="26">
        <f t="shared" si="128"/>
        <v>0</v>
      </c>
      <c r="AL198" s="26">
        <f t="shared" si="129"/>
        <v>0</v>
      </c>
      <c r="AN198" s="26">
        <v>12</v>
      </c>
      <c r="AO198" s="26">
        <f t="shared" ref="AO198:AO206" si="138">G198*0</f>
        <v>0</v>
      </c>
      <c r="AP198" s="26">
        <f t="shared" ref="AP198:AP206" si="139">G198*(1-0)</f>
        <v>0</v>
      </c>
      <c r="AQ198" s="29" t="s">
        <v>53</v>
      </c>
      <c r="AV198" s="26">
        <f t="shared" si="130"/>
        <v>0</v>
      </c>
      <c r="AW198" s="26">
        <f t="shared" si="131"/>
        <v>0</v>
      </c>
      <c r="AX198" s="26">
        <f t="shared" si="132"/>
        <v>0</v>
      </c>
      <c r="AY198" s="29" t="s">
        <v>523</v>
      </c>
      <c r="AZ198" s="29" t="s">
        <v>513</v>
      </c>
      <c r="BA198" s="11" t="s">
        <v>61</v>
      </c>
      <c r="BB198" s="30">
        <v>100009</v>
      </c>
      <c r="BC198" s="26">
        <f t="shared" si="133"/>
        <v>0</v>
      </c>
      <c r="BD198" s="26">
        <f t="shared" si="134"/>
        <v>0</v>
      </c>
      <c r="BE198" s="26">
        <v>0</v>
      </c>
      <c r="BF198" s="26">
        <f>198</f>
        <v>198</v>
      </c>
      <c r="BH198" s="26">
        <f t="shared" si="135"/>
        <v>0</v>
      </c>
      <c r="BI198" s="26">
        <f t="shared" si="136"/>
        <v>0</v>
      </c>
      <c r="BJ198" s="26">
        <f t="shared" si="137"/>
        <v>0</v>
      </c>
      <c r="BK198" s="26"/>
      <c r="BL198" s="26">
        <v>97</v>
      </c>
      <c r="BW198" s="26">
        <v>12</v>
      </c>
      <c r="BX198" s="5" t="s">
        <v>526</v>
      </c>
    </row>
    <row r="199" spans="1:76" x14ac:dyDescent="0.25">
      <c r="A199" s="2" t="s">
        <v>527</v>
      </c>
      <c r="B199" s="3" t="s">
        <v>528</v>
      </c>
      <c r="C199" s="96" t="s">
        <v>529</v>
      </c>
      <c r="D199" s="91"/>
      <c r="E199" s="3" t="s">
        <v>102</v>
      </c>
      <c r="F199" s="26">
        <v>0.83969000000000005</v>
      </c>
      <c r="G199" s="27">
        <v>0</v>
      </c>
      <c r="H199" s="26">
        <f t="shared" si="116"/>
        <v>0</v>
      </c>
      <c r="I199" s="26">
        <f t="shared" si="117"/>
        <v>0</v>
      </c>
      <c r="J199" s="26">
        <f t="shared" si="118"/>
        <v>0</v>
      </c>
      <c r="K199" s="28" t="s">
        <v>65</v>
      </c>
      <c r="Z199" s="26">
        <f t="shared" si="119"/>
        <v>0</v>
      </c>
      <c r="AB199" s="26">
        <f t="shared" si="120"/>
        <v>0</v>
      </c>
      <c r="AC199" s="26">
        <f t="shared" si="121"/>
        <v>0</v>
      </c>
      <c r="AD199" s="26">
        <f t="shared" si="122"/>
        <v>0</v>
      </c>
      <c r="AE199" s="26">
        <f t="shared" si="123"/>
        <v>0</v>
      </c>
      <c r="AF199" s="26">
        <f t="shared" si="124"/>
        <v>0</v>
      </c>
      <c r="AG199" s="26">
        <f t="shared" si="125"/>
        <v>0</v>
      </c>
      <c r="AH199" s="26">
        <f t="shared" si="126"/>
        <v>0</v>
      </c>
      <c r="AI199" s="11" t="s">
        <v>58</v>
      </c>
      <c r="AJ199" s="26">
        <f t="shared" si="127"/>
        <v>0</v>
      </c>
      <c r="AK199" s="26">
        <f t="shared" si="128"/>
        <v>0</v>
      </c>
      <c r="AL199" s="26">
        <f t="shared" si="129"/>
        <v>0</v>
      </c>
      <c r="AN199" s="26">
        <v>12</v>
      </c>
      <c r="AO199" s="26">
        <f t="shared" si="138"/>
        <v>0</v>
      </c>
      <c r="AP199" s="26">
        <f t="shared" si="139"/>
        <v>0</v>
      </c>
      <c r="AQ199" s="29" t="s">
        <v>80</v>
      </c>
      <c r="AV199" s="26">
        <f t="shared" si="130"/>
        <v>0</v>
      </c>
      <c r="AW199" s="26">
        <f t="shared" si="131"/>
        <v>0</v>
      </c>
      <c r="AX199" s="26">
        <f t="shared" si="132"/>
        <v>0</v>
      </c>
      <c r="AY199" s="29" t="s">
        <v>523</v>
      </c>
      <c r="AZ199" s="29" t="s">
        <v>513</v>
      </c>
      <c r="BA199" s="11" t="s">
        <v>61</v>
      </c>
      <c r="BB199" s="30">
        <v>100009</v>
      </c>
      <c r="BC199" s="26">
        <f t="shared" si="133"/>
        <v>0</v>
      </c>
      <c r="BD199" s="26">
        <f t="shared" si="134"/>
        <v>0</v>
      </c>
      <c r="BE199" s="26">
        <v>0</v>
      </c>
      <c r="BF199" s="26">
        <f>199</f>
        <v>199</v>
      </c>
      <c r="BH199" s="26">
        <f t="shared" si="135"/>
        <v>0</v>
      </c>
      <c r="BI199" s="26">
        <f t="shared" si="136"/>
        <v>0</v>
      </c>
      <c r="BJ199" s="26">
        <f t="shared" si="137"/>
        <v>0</v>
      </c>
      <c r="BK199" s="26"/>
      <c r="BL199" s="26">
        <v>97</v>
      </c>
      <c r="BW199" s="26">
        <v>12</v>
      </c>
      <c r="BX199" s="5" t="s">
        <v>529</v>
      </c>
    </row>
    <row r="200" spans="1:76" x14ac:dyDescent="0.25">
      <c r="A200" s="2" t="s">
        <v>530</v>
      </c>
      <c r="B200" s="3" t="s">
        <v>531</v>
      </c>
      <c r="C200" s="96" t="s">
        <v>532</v>
      </c>
      <c r="D200" s="91"/>
      <c r="E200" s="3" t="s">
        <v>102</v>
      </c>
      <c r="F200" s="26">
        <v>8.3969000000000005</v>
      </c>
      <c r="G200" s="27">
        <v>0</v>
      </c>
      <c r="H200" s="26">
        <f t="shared" si="116"/>
        <v>0</v>
      </c>
      <c r="I200" s="26">
        <f t="shared" si="117"/>
        <v>0</v>
      </c>
      <c r="J200" s="26">
        <f t="shared" si="118"/>
        <v>0</v>
      </c>
      <c r="K200" s="28" t="s">
        <v>65</v>
      </c>
      <c r="Z200" s="26">
        <f t="shared" si="119"/>
        <v>0</v>
      </c>
      <c r="AB200" s="26">
        <f t="shared" si="120"/>
        <v>0</v>
      </c>
      <c r="AC200" s="26">
        <f t="shared" si="121"/>
        <v>0</v>
      </c>
      <c r="AD200" s="26">
        <f t="shared" si="122"/>
        <v>0</v>
      </c>
      <c r="AE200" s="26">
        <f t="shared" si="123"/>
        <v>0</v>
      </c>
      <c r="AF200" s="26">
        <f t="shared" si="124"/>
        <v>0</v>
      </c>
      <c r="AG200" s="26">
        <f t="shared" si="125"/>
        <v>0</v>
      </c>
      <c r="AH200" s="26">
        <f t="shared" si="126"/>
        <v>0</v>
      </c>
      <c r="AI200" s="11" t="s">
        <v>58</v>
      </c>
      <c r="AJ200" s="26">
        <f t="shared" si="127"/>
        <v>0</v>
      </c>
      <c r="AK200" s="26">
        <f t="shared" si="128"/>
        <v>0</v>
      </c>
      <c r="AL200" s="26">
        <f t="shared" si="129"/>
        <v>0</v>
      </c>
      <c r="AN200" s="26">
        <v>12</v>
      </c>
      <c r="AO200" s="26">
        <f t="shared" si="138"/>
        <v>0</v>
      </c>
      <c r="AP200" s="26">
        <f t="shared" si="139"/>
        <v>0</v>
      </c>
      <c r="AQ200" s="29" t="s">
        <v>80</v>
      </c>
      <c r="AV200" s="26">
        <f t="shared" si="130"/>
        <v>0</v>
      </c>
      <c r="AW200" s="26">
        <f t="shared" si="131"/>
        <v>0</v>
      </c>
      <c r="AX200" s="26">
        <f t="shared" si="132"/>
        <v>0</v>
      </c>
      <c r="AY200" s="29" t="s">
        <v>523</v>
      </c>
      <c r="AZ200" s="29" t="s">
        <v>513</v>
      </c>
      <c r="BA200" s="11" t="s">
        <v>61</v>
      </c>
      <c r="BB200" s="30">
        <v>100009</v>
      </c>
      <c r="BC200" s="26">
        <f t="shared" si="133"/>
        <v>0</v>
      </c>
      <c r="BD200" s="26">
        <f t="shared" si="134"/>
        <v>0</v>
      </c>
      <c r="BE200" s="26">
        <v>0</v>
      </c>
      <c r="BF200" s="26">
        <f>200</f>
        <v>200</v>
      </c>
      <c r="BH200" s="26">
        <f t="shared" si="135"/>
        <v>0</v>
      </c>
      <c r="BI200" s="26">
        <f t="shared" si="136"/>
        <v>0</v>
      </c>
      <c r="BJ200" s="26">
        <f t="shared" si="137"/>
        <v>0</v>
      </c>
      <c r="BK200" s="26"/>
      <c r="BL200" s="26">
        <v>97</v>
      </c>
      <c r="BW200" s="26">
        <v>12</v>
      </c>
      <c r="BX200" s="5" t="s">
        <v>532</v>
      </c>
    </row>
    <row r="201" spans="1:76" x14ac:dyDescent="0.25">
      <c r="A201" s="2" t="s">
        <v>533</v>
      </c>
      <c r="B201" s="3" t="s">
        <v>534</v>
      </c>
      <c r="C201" s="96" t="s">
        <v>535</v>
      </c>
      <c r="D201" s="91"/>
      <c r="E201" s="3" t="s">
        <v>102</v>
      </c>
      <c r="F201" s="26">
        <v>0.83969000000000005</v>
      </c>
      <c r="G201" s="27">
        <v>0</v>
      </c>
      <c r="H201" s="26">
        <f t="shared" si="116"/>
        <v>0</v>
      </c>
      <c r="I201" s="26">
        <f t="shared" si="117"/>
        <v>0</v>
      </c>
      <c r="J201" s="26">
        <f t="shared" si="118"/>
        <v>0</v>
      </c>
      <c r="K201" s="28" t="s">
        <v>65</v>
      </c>
      <c r="Z201" s="26">
        <f t="shared" si="119"/>
        <v>0</v>
      </c>
      <c r="AB201" s="26">
        <f t="shared" si="120"/>
        <v>0</v>
      </c>
      <c r="AC201" s="26">
        <f t="shared" si="121"/>
        <v>0</v>
      </c>
      <c r="AD201" s="26">
        <f t="shared" si="122"/>
        <v>0</v>
      </c>
      <c r="AE201" s="26">
        <f t="shared" si="123"/>
        <v>0</v>
      </c>
      <c r="AF201" s="26">
        <f t="shared" si="124"/>
        <v>0</v>
      </c>
      <c r="AG201" s="26">
        <f t="shared" si="125"/>
        <v>0</v>
      </c>
      <c r="AH201" s="26">
        <f t="shared" si="126"/>
        <v>0</v>
      </c>
      <c r="AI201" s="11" t="s">
        <v>58</v>
      </c>
      <c r="AJ201" s="26">
        <f t="shared" si="127"/>
        <v>0</v>
      </c>
      <c r="AK201" s="26">
        <f t="shared" si="128"/>
        <v>0</v>
      </c>
      <c r="AL201" s="26">
        <f t="shared" si="129"/>
        <v>0</v>
      </c>
      <c r="AN201" s="26">
        <v>12</v>
      </c>
      <c r="AO201" s="26">
        <f t="shared" si="138"/>
        <v>0</v>
      </c>
      <c r="AP201" s="26">
        <f t="shared" si="139"/>
        <v>0</v>
      </c>
      <c r="AQ201" s="29" t="s">
        <v>80</v>
      </c>
      <c r="AV201" s="26">
        <f t="shared" si="130"/>
        <v>0</v>
      </c>
      <c r="AW201" s="26">
        <f t="shared" si="131"/>
        <v>0</v>
      </c>
      <c r="AX201" s="26">
        <f t="shared" si="132"/>
        <v>0</v>
      </c>
      <c r="AY201" s="29" t="s">
        <v>523</v>
      </c>
      <c r="AZ201" s="29" t="s">
        <v>513</v>
      </c>
      <c r="BA201" s="11" t="s">
        <v>61</v>
      </c>
      <c r="BB201" s="30">
        <v>100009</v>
      </c>
      <c r="BC201" s="26">
        <f t="shared" si="133"/>
        <v>0</v>
      </c>
      <c r="BD201" s="26">
        <f t="shared" si="134"/>
        <v>0</v>
      </c>
      <c r="BE201" s="26">
        <v>0</v>
      </c>
      <c r="BF201" s="26">
        <f>201</f>
        <v>201</v>
      </c>
      <c r="BH201" s="26">
        <f t="shared" si="135"/>
        <v>0</v>
      </c>
      <c r="BI201" s="26">
        <f t="shared" si="136"/>
        <v>0</v>
      </c>
      <c r="BJ201" s="26">
        <f t="shared" si="137"/>
        <v>0</v>
      </c>
      <c r="BK201" s="26"/>
      <c r="BL201" s="26">
        <v>97</v>
      </c>
      <c r="BW201" s="26">
        <v>12</v>
      </c>
      <c r="BX201" s="5" t="s">
        <v>535</v>
      </c>
    </row>
    <row r="202" spans="1:76" x14ac:dyDescent="0.25">
      <c r="A202" s="2" t="s">
        <v>536</v>
      </c>
      <c r="B202" s="3" t="s">
        <v>537</v>
      </c>
      <c r="C202" s="96" t="s">
        <v>538</v>
      </c>
      <c r="D202" s="91"/>
      <c r="E202" s="3" t="s">
        <v>102</v>
      </c>
      <c r="F202" s="26">
        <v>0.83969000000000005</v>
      </c>
      <c r="G202" s="27">
        <v>0</v>
      </c>
      <c r="H202" s="26">
        <f t="shared" si="116"/>
        <v>0</v>
      </c>
      <c r="I202" s="26">
        <f t="shared" si="117"/>
        <v>0</v>
      </c>
      <c r="J202" s="26">
        <f t="shared" si="118"/>
        <v>0</v>
      </c>
      <c r="K202" s="28" t="s">
        <v>65</v>
      </c>
      <c r="Z202" s="26">
        <f t="shared" si="119"/>
        <v>0</v>
      </c>
      <c r="AB202" s="26">
        <f t="shared" si="120"/>
        <v>0</v>
      </c>
      <c r="AC202" s="26">
        <f t="shared" si="121"/>
        <v>0</v>
      </c>
      <c r="AD202" s="26">
        <f t="shared" si="122"/>
        <v>0</v>
      </c>
      <c r="AE202" s="26">
        <f t="shared" si="123"/>
        <v>0</v>
      </c>
      <c r="AF202" s="26">
        <f t="shared" si="124"/>
        <v>0</v>
      </c>
      <c r="AG202" s="26">
        <f t="shared" si="125"/>
        <v>0</v>
      </c>
      <c r="AH202" s="26">
        <f t="shared" si="126"/>
        <v>0</v>
      </c>
      <c r="AI202" s="11" t="s">
        <v>58</v>
      </c>
      <c r="AJ202" s="26">
        <f t="shared" si="127"/>
        <v>0</v>
      </c>
      <c r="AK202" s="26">
        <f t="shared" si="128"/>
        <v>0</v>
      </c>
      <c r="AL202" s="26">
        <f t="shared" si="129"/>
        <v>0</v>
      </c>
      <c r="AN202" s="26">
        <v>12</v>
      </c>
      <c r="AO202" s="26">
        <f t="shared" si="138"/>
        <v>0</v>
      </c>
      <c r="AP202" s="26">
        <f t="shared" si="139"/>
        <v>0</v>
      </c>
      <c r="AQ202" s="29" t="s">
        <v>80</v>
      </c>
      <c r="AV202" s="26">
        <f t="shared" si="130"/>
        <v>0</v>
      </c>
      <c r="AW202" s="26">
        <f t="shared" si="131"/>
        <v>0</v>
      </c>
      <c r="AX202" s="26">
        <f t="shared" si="132"/>
        <v>0</v>
      </c>
      <c r="AY202" s="29" t="s">
        <v>523</v>
      </c>
      <c r="AZ202" s="29" t="s">
        <v>513</v>
      </c>
      <c r="BA202" s="11" t="s">
        <v>61</v>
      </c>
      <c r="BB202" s="30">
        <v>100009</v>
      </c>
      <c r="BC202" s="26">
        <f t="shared" si="133"/>
        <v>0</v>
      </c>
      <c r="BD202" s="26">
        <f t="shared" si="134"/>
        <v>0</v>
      </c>
      <c r="BE202" s="26">
        <v>0</v>
      </c>
      <c r="BF202" s="26">
        <f>202</f>
        <v>202</v>
      </c>
      <c r="BH202" s="26">
        <f t="shared" si="135"/>
        <v>0</v>
      </c>
      <c r="BI202" s="26">
        <f t="shared" si="136"/>
        <v>0</v>
      </c>
      <c r="BJ202" s="26">
        <f t="shared" si="137"/>
        <v>0</v>
      </c>
      <c r="BK202" s="26"/>
      <c r="BL202" s="26">
        <v>97</v>
      </c>
      <c r="BW202" s="26">
        <v>12</v>
      </c>
      <c r="BX202" s="5" t="s">
        <v>538</v>
      </c>
    </row>
    <row r="203" spans="1:76" x14ac:dyDescent="0.25">
      <c r="A203" s="2" t="s">
        <v>539</v>
      </c>
      <c r="B203" s="3" t="s">
        <v>540</v>
      </c>
      <c r="C203" s="96" t="s">
        <v>541</v>
      </c>
      <c r="D203" s="91"/>
      <c r="E203" s="3" t="s">
        <v>542</v>
      </c>
      <c r="F203" s="26">
        <v>2</v>
      </c>
      <c r="G203" s="27">
        <v>0</v>
      </c>
      <c r="H203" s="26">
        <f t="shared" si="116"/>
        <v>0</v>
      </c>
      <c r="I203" s="26">
        <f t="shared" si="117"/>
        <v>0</v>
      </c>
      <c r="J203" s="26">
        <f t="shared" si="118"/>
        <v>0</v>
      </c>
      <c r="K203" s="28" t="s">
        <v>65</v>
      </c>
      <c r="Z203" s="26">
        <f t="shared" si="119"/>
        <v>0</v>
      </c>
      <c r="AB203" s="26">
        <f t="shared" si="120"/>
        <v>0</v>
      </c>
      <c r="AC203" s="26">
        <f t="shared" si="121"/>
        <v>0</v>
      </c>
      <c r="AD203" s="26">
        <f t="shared" si="122"/>
        <v>0</v>
      </c>
      <c r="AE203" s="26">
        <f t="shared" si="123"/>
        <v>0</v>
      </c>
      <c r="AF203" s="26">
        <f t="shared" si="124"/>
        <v>0</v>
      </c>
      <c r="AG203" s="26">
        <f t="shared" si="125"/>
        <v>0</v>
      </c>
      <c r="AH203" s="26">
        <f t="shared" si="126"/>
        <v>0</v>
      </c>
      <c r="AI203" s="11" t="s">
        <v>58</v>
      </c>
      <c r="AJ203" s="26">
        <f t="shared" si="127"/>
        <v>0</v>
      </c>
      <c r="AK203" s="26">
        <f t="shared" si="128"/>
        <v>0</v>
      </c>
      <c r="AL203" s="26">
        <f t="shared" si="129"/>
        <v>0</v>
      </c>
      <c r="AN203" s="26">
        <v>12</v>
      </c>
      <c r="AO203" s="26">
        <f t="shared" si="138"/>
        <v>0</v>
      </c>
      <c r="AP203" s="26">
        <f t="shared" si="139"/>
        <v>0</v>
      </c>
      <c r="AQ203" s="29" t="s">
        <v>53</v>
      </c>
      <c r="AV203" s="26">
        <f t="shared" si="130"/>
        <v>0</v>
      </c>
      <c r="AW203" s="26">
        <f t="shared" si="131"/>
        <v>0</v>
      </c>
      <c r="AX203" s="26">
        <f t="shared" si="132"/>
        <v>0</v>
      </c>
      <c r="AY203" s="29" t="s">
        <v>523</v>
      </c>
      <c r="AZ203" s="29" t="s">
        <v>513</v>
      </c>
      <c r="BA203" s="11" t="s">
        <v>61</v>
      </c>
      <c r="BB203" s="30">
        <v>100009</v>
      </c>
      <c r="BC203" s="26">
        <f t="shared" si="133"/>
        <v>0</v>
      </c>
      <c r="BD203" s="26">
        <f t="shared" si="134"/>
        <v>0</v>
      </c>
      <c r="BE203" s="26">
        <v>0</v>
      </c>
      <c r="BF203" s="26">
        <f>203</f>
        <v>203</v>
      </c>
      <c r="BH203" s="26">
        <f t="shared" si="135"/>
        <v>0</v>
      </c>
      <c r="BI203" s="26">
        <f t="shared" si="136"/>
        <v>0</v>
      </c>
      <c r="BJ203" s="26">
        <f t="shared" si="137"/>
        <v>0</v>
      </c>
      <c r="BK203" s="26"/>
      <c r="BL203" s="26">
        <v>97</v>
      </c>
      <c r="BW203" s="26">
        <v>12</v>
      </c>
      <c r="BX203" s="5" t="s">
        <v>541</v>
      </c>
    </row>
    <row r="204" spans="1:76" x14ac:dyDescent="0.25">
      <c r="A204" s="2" t="s">
        <v>543</v>
      </c>
      <c r="B204" s="3" t="s">
        <v>544</v>
      </c>
      <c r="C204" s="96" t="s">
        <v>545</v>
      </c>
      <c r="D204" s="91"/>
      <c r="E204" s="3" t="s">
        <v>102</v>
      </c>
      <c r="F204" s="26">
        <v>0.83969000000000005</v>
      </c>
      <c r="G204" s="27">
        <v>0</v>
      </c>
      <c r="H204" s="26">
        <f t="shared" si="116"/>
        <v>0</v>
      </c>
      <c r="I204" s="26">
        <f t="shared" si="117"/>
        <v>0</v>
      </c>
      <c r="J204" s="26">
        <f t="shared" si="118"/>
        <v>0</v>
      </c>
      <c r="K204" s="28" t="s">
        <v>65</v>
      </c>
      <c r="Z204" s="26">
        <f t="shared" si="119"/>
        <v>0</v>
      </c>
      <c r="AB204" s="26">
        <f t="shared" si="120"/>
        <v>0</v>
      </c>
      <c r="AC204" s="26">
        <f t="shared" si="121"/>
        <v>0</v>
      </c>
      <c r="AD204" s="26">
        <f t="shared" si="122"/>
        <v>0</v>
      </c>
      <c r="AE204" s="26">
        <f t="shared" si="123"/>
        <v>0</v>
      </c>
      <c r="AF204" s="26">
        <f t="shared" si="124"/>
        <v>0</v>
      </c>
      <c r="AG204" s="26">
        <f t="shared" si="125"/>
        <v>0</v>
      </c>
      <c r="AH204" s="26">
        <f t="shared" si="126"/>
        <v>0</v>
      </c>
      <c r="AI204" s="11" t="s">
        <v>58</v>
      </c>
      <c r="AJ204" s="26">
        <f t="shared" si="127"/>
        <v>0</v>
      </c>
      <c r="AK204" s="26">
        <f t="shared" si="128"/>
        <v>0</v>
      </c>
      <c r="AL204" s="26">
        <f t="shared" si="129"/>
        <v>0</v>
      </c>
      <c r="AN204" s="26">
        <v>12</v>
      </c>
      <c r="AO204" s="26">
        <f t="shared" si="138"/>
        <v>0</v>
      </c>
      <c r="AP204" s="26">
        <f t="shared" si="139"/>
        <v>0</v>
      </c>
      <c r="AQ204" s="29" t="s">
        <v>80</v>
      </c>
      <c r="AV204" s="26">
        <f t="shared" si="130"/>
        <v>0</v>
      </c>
      <c r="AW204" s="26">
        <f t="shared" si="131"/>
        <v>0</v>
      </c>
      <c r="AX204" s="26">
        <f t="shared" si="132"/>
        <v>0</v>
      </c>
      <c r="AY204" s="29" t="s">
        <v>523</v>
      </c>
      <c r="AZ204" s="29" t="s">
        <v>513</v>
      </c>
      <c r="BA204" s="11" t="s">
        <v>61</v>
      </c>
      <c r="BB204" s="30">
        <v>100009</v>
      </c>
      <c r="BC204" s="26">
        <f t="shared" si="133"/>
        <v>0</v>
      </c>
      <c r="BD204" s="26">
        <f t="shared" si="134"/>
        <v>0</v>
      </c>
      <c r="BE204" s="26">
        <v>0</v>
      </c>
      <c r="BF204" s="26">
        <f>204</f>
        <v>204</v>
      </c>
      <c r="BH204" s="26">
        <f t="shared" si="135"/>
        <v>0</v>
      </c>
      <c r="BI204" s="26">
        <f t="shared" si="136"/>
        <v>0</v>
      </c>
      <c r="BJ204" s="26">
        <f t="shared" si="137"/>
        <v>0</v>
      </c>
      <c r="BK204" s="26"/>
      <c r="BL204" s="26">
        <v>97</v>
      </c>
      <c r="BW204" s="26">
        <v>12</v>
      </c>
      <c r="BX204" s="5" t="s">
        <v>545</v>
      </c>
    </row>
    <row r="205" spans="1:76" x14ac:dyDescent="0.25">
      <c r="A205" s="2" t="s">
        <v>546</v>
      </c>
      <c r="B205" s="3" t="s">
        <v>547</v>
      </c>
      <c r="C205" s="96" t="s">
        <v>548</v>
      </c>
      <c r="D205" s="91"/>
      <c r="E205" s="3" t="s">
        <v>102</v>
      </c>
      <c r="F205" s="26">
        <v>1.76725</v>
      </c>
      <c r="G205" s="27">
        <v>0</v>
      </c>
      <c r="H205" s="26">
        <f t="shared" si="116"/>
        <v>0</v>
      </c>
      <c r="I205" s="26">
        <f t="shared" si="117"/>
        <v>0</v>
      </c>
      <c r="J205" s="26">
        <f t="shared" si="118"/>
        <v>0</v>
      </c>
      <c r="K205" s="28" t="s">
        <v>65</v>
      </c>
      <c r="Z205" s="26">
        <f t="shared" si="119"/>
        <v>0</v>
      </c>
      <c r="AB205" s="26">
        <f t="shared" si="120"/>
        <v>0</v>
      </c>
      <c r="AC205" s="26">
        <f t="shared" si="121"/>
        <v>0</v>
      </c>
      <c r="AD205" s="26">
        <f t="shared" si="122"/>
        <v>0</v>
      </c>
      <c r="AE205" s="26">
        <f t="shared" si="123"/>
        <v>0</v>
      </c>
      <c r="AF205" s="26">
        <f t="shared" si="124"/>
        <v>0</v>
      </c>
      <c r="AG205" s="26">
        <f t="shared" si="125"/>
        <v>0</v>
      </c>
      <c r="AH205" s="26">
        <f t="shared" si="126"/>
        <v>0</v>
      </c>
      <c r="AI205" s="11" t="s">
        <v>58</v>
      </c>
      <c r="AJ205" s="26">
        <f t="shared" si="127"/>
        <v>0</v>
      </c>
      <c r="AK205" s="26">
        <f t="shared" si="128"/>
        <v>0</v>
      </c>
      <c r="AL205" s="26">
        <f t="shared" si="129"/>
        <v>0</v>
      </c>
      <c r="AN205" s="26">
        <v>12</v>
      </c>
      <c r="AO205" s="26">
        <f t="shared" si="138"/>
        <v>0</v>
      </c>
      <c r="AP205" s="26">
        <f t="shared" si="139"/>
        <v>0</v>
      </c>
      <c r="AQ205" s="29" t="s">
        <v>80</v>
      </c>
      <c r="AV205" s="26">
        <f t="shared" si="130"/>
        <v>0</v>
      </c>
      <c r="AW205" s="26">
        <f t="shared" si="131"/>
        <v>0</v>
      </c>
      <c r="AX205" s="26">
        <f t="shared" si="132"/>
        <v>0</v>
      </c>
      <c r="AY205" s="29" t="s">
        <v>523</v>
      </c>
      <c r="AZ205" s="29" t="s">
        <v>513</v>
      </c>
      <c r="BA205" s="11" t="s">
        <v>61</v>
      </c>
      <c r="BB205" s="30">
        <v>100009</v>
      </c>
      <c r="BC205" s="26">
        <f t="shared" si="133"/>
        <v>0</v>
      </c>
      <c r="BD205" s="26">
        <f t="shared" si="134"/>
        <v>0</v>
      </c>
      <c r="BE205" s="26">
        <v>0</v>
      </c>
      <c r="BF205" s="26">
        <f>205</f>
        <v>205</v>
      </c>
      <c r="BH205" s="26">
        <f t="shared" si="135"/>
        <v>0</v>
      </c>
      <c r="BI205" s="26">
        <f t="shared" si="136"/>
        <v>0</v>
      </c>
      <c r="BJ205" s="26">
        <f t="shared" si="137"/>
        <v>0</v>
      </c>
      <c r="BK205" s="26"/>
      <c r="BL205" s="26">
        <v>97</v>
      </c>
      <c r="BW205" s="26">
        <v>12</v>
      </c>
      <c r="BX205" s="5" t="s">
        <v>548</v>
      </c>
    </row>
    <row r="206" spans="1:76" x14ac:dyDescent="0.25">
      <c r="A206" s="38" t="s">
        <v>549</v>
      </c>
      <c r="B206" s="39" t="s">
        <v>550</v>
      </c>
      <c r="C206" s="122" t="s">
        <v>551</v>
      </c>
      <c r="D206" s="123"/>
      <c r="E206" s="39" t="s">
        <v>102</v>
      </c>
      <c r="F206" s="40">
        <v>3.3308599999999999</v>
      </c>
      <c r="G206" s="41">
        <v>0</v>
      </c>
      <c r="H206" s="40">
        <f t="shared" si="116"/>
        <v>0</v>
      </c>
      <c r="I206" s="40">
        <f t="shared" si="117"/>
        <v>0</v>
      </c>
      <c r="J206" s="40">
        <f t="shared" si="118"/>
        <v>0</v>
      </c>
      <c r="K206" s="42" t="s">
        <v>65</v>
      </c>
      <c r="Z206" s="26">
        <f t="shared" si="119"/>
        <v>0</v>
      </c>
      <c r="AB206" s="26">
        <f t="shared" si="120"/>
        <v>0</v>
      </c>
      <c r="AC206" s="26">
        <f t="shared" si="121"/>
        <v>0</v>
      </c>
      <c r="AD206" s="26">
        <f t="shared" si="122"/>
        <v>0</v>
      </c>
      <c r="AE206" s="26">
        <f t="shared" si="123"/>
        <v>0</v>
      </c>
      <c r="AF206" s="26">
        <f t="shared" si="124"/>
        <v>0</v>
      </c>
      <c r="AG206" s="26">
        <f t="shared" si="125"/>
        <v>0</v>
      </c>
      <c r="AH206" s="26">
        <f t="shared" si="126"/>
        <v>0</v>
      </c>
      <c r="AI206" s="11" t="s">
        <v>58</v>
      </c>
      <c r="AJ206" s="26">
        <f t="shared" si="127"/>
        <v>0</v>
      </c>
      <c r="AK206" s="26">
        <f t="shared" si="128"/>
        <v>0</v>
      </c>
      <c r="AL206" s="26">
        <f t="shared" si="129"/>
        <v>0</v>
      </c>
      <c r="AN206" s="26">
        <v>12</v>
      </c>
      <c r="AO206" s="26">
        <f t="shared" si="138"/>
        <v>0</v>
      </c>
      <c r="AP206" s="26">
        <f t="shared" si="139"/>
        <v>0</v>
      </c>
      <c r="AQ206" s="29" t="s">
        <v>80</v>
      </c>
      <c r="AV206" s="26">
        <f t="shared" si="130"/>
        <v>0</v>
      </c>
      <c r="AW206" s="26">
        <f t="shared" si="131"/>
        <v>0</v>
      </c>
      <c r="AX206" s="26">
        <f t="shared" si="132"/>
        <v>0</v>
      </c>
      <c r="AY206" s="29" t="s">
        <v>523</v>
      </c>
      <c r="AZ206" s="29" t="s">
        <v>513</v>
      </c>
      <c r="BA206" s="11" t="s">
        <v>61</v>
      </c>
      <c r="BB206" s="30">
        <v>100018</v>
      </c>
      <c r="BC206" s="26">
        <f t="shared" si="133"/>
        <v>0</v>
      </c>
      <c r="BD206" s="26">
        <f t="shared" si="134"/>
        <v>0</v>
      </c>
      <c r="BE206" s="26">
        <v>0</v>
      </c>
      <c r="BF206" s="26">
        <f>206</f>
        <v>206</v>
      </c>
      <c r="BH206" s="26">
        <f t="shared" si="135"/>
        <v>0</v>
      </c>
      <c r="BI206" s="26">
        <f t="shared" si="136"/>
        <v>0</v>
      </c>
      <c r="BJ206" s="26">
        <f t="shared" si="137"/>
        <v>0</v>
      </c>
      <c r="BK206" s="26"/>
      <c r="BL206" s="26">
        <v>97</v>
      </c>
      <c r="BW206" s="26">
        <v>12</v>
      </c>
      <c r="BX206" s="5" t="s">
        <v>551</v>
      </c>
    </row>
    <row r="207" spans="1:76" x14ac:dyDescent="0.25">
      <c r="H207" s="124" t="s">
        <v>552</v>
      </c>
      <c r="I207" s="124"/>
      <c r="J207" s="43">
        <f>J12+J16+J18+J21+J25+J43+J138+J144+J153+J157+J180+J184+J191+J196</f>
        <v>0</v>
      </c>
    </row>
    <row r="208" spans="1:76" x14ac:dyDescent="0.25">
      <c r="A208" s="44" t="s">
        <v>553</v>
      </c>
    </row>
    <row r="209" spans="1:11" ht="12.75" customHeight="1" x14ac:dyDescent="0.25">
      <c r="A209" s="96" t="s">
        <v>50</v>
      </c>
      <c r="B209" s="91"/>
      <c r="C209" s="91"/>
      <c r="D209" s="91"/>
      <c r="E209" s="91"/>
      <c r="F209" s="91"/>
      <c r="G209" s="91"/>
      <c r="H209" s="91"/>
      <c r="I209" s="91"/>
      <c r="J209" s="91"/>
      <c r="K209" s="91"/>
    </row>
  </sheetData>
  <sheetProtection password="8A17" sheet="1"/>
  <mergeCells count="225">
    <mergeCell ref="C205:D205"/>
    <mergeCell ref="C206:D206"/>
    <mergeCell ref="H207:I207"/>
    <mergeCell ref="A209:K209"/>
    <mergeCell ref="C200:D200"/>
    <mergeCell ref="C201:D201"/>
    <mergeCell ref="C202:D202"/>
    <mergeCell ref="C203:D203"/>
    <mergeCell ref="C204:D204"/>
    <mergeCell ref="C195:K195"/>
    <mergeCell ref="C196:D196"/>
    <mergeCell ref="C197:D197"/>
    <mergeCell ref="C198:D198"/>
    <mergeCell ref="C199:D199"/>
    <mergeCell ref="C190:D190"/>
    <mergeCell ref="C191:D191"/>
    <mergeCell ref="C192:D192"/>
    <mergeCell ref="C193:K193"/>
    <mergeCell ref="C194:D194"/>
    <mergeCell ref="C185:D185"/>
    <mergeCell ref="C186:D186"/>
    <mergeCell ref="C187:D187"/>
    <mergeCell ref="C188:K188"/>
    <mergeCell ref="C189:D189"/>
    <mergeCell ref="C180:D180"/>
    <mergeCell ref="C181:D181"/>
    <mergeCell ref="C182:D182"/>
    <mergeCell ref="C183:D183"/>
    <mergeCell ref="C184:D184"/>
    <mergeCell ref="C175:D175"/>
    <mergeCell ref="C176:K176"/>
    <mergeCell ref="C177:D177"/>
    <mergeCell ref="C178:K178"/>
    <mergeCell ref="C179:D179"/>
    <mergeCell ref="C170:K170"/>
    <mergeCell ref="C171:D171"/>
    <mergeCell ref="C172:K172"/>
    <mergeCell ref="C173:D173"/>
    <mergeCell ref="C174:K174"/>
    <mergeCell ref="C165:D165"/>
    <mergeCell ref="C166:K166"/>
    <mergeCell ref="C167:D167"/>
    <mergeCell ref="C168:K168"/>
    <mergeCell ref="C169:D169"/>
    <mergeCell ref="C160:K160"/>
    <mergeCell ref="C161:D161"/>
    <mergeCell ref="C162:K162"/>
    <mergeCell ref="C163:D163"/>
    <mergeCell ref="C164:K164"/>
    <mergeCell ref="C155:D155"/>
    <mergeCell ref="C156:D156"/>
    <mergeCell ref="C157:D157"/>
    <mergeCell ref="C158:D158"/>
    <mergeCell ref="C159:D159"/>
    <mergeCell ref="C150:D150"/>
    <mergeCell ref="C151:D151"/>
    <mergeCell ref="C152:D152"/>
    <mergeCell ref="C153:D153"/>
    <mergeCell ref="C154:D154"/>
    <mergeCell ref="C145:D145"/>
    <mergeCell ref="C146:D146"/>
    <mergeCell ref="C147:D147"/>
    <mergeCell ref="C148:D148"/>
    <mergeCell ref="C149:D149"/>
    <mergeCell ref="C140:D140"/>
    <mergeCell ref="C141:D141"/>
    <mergeCell ref="C142:D142"/>
    <mergeCell ref="C143:D143"/>
    <mergeCell ref="C144:D144"/>
    <mergeCell ref="C135:D135"/>
    <mergeCell ref="C136:D136"/>
    <mergeCell ref="C137:D137"/>
    <mergeCell ref="C138:D138"/>
    <mergeCell ref="C139:D139"/>
    <mergeCell ref="C130:D130"/>
    <mergeCell ref="C131:K131"/>
    <mergeCell ref="C132:D132"/>
    <mergeCell ref="C133:D133"/>
    <mergeCell ref="C134:D134"/>
    <mergeCell ref="C125:D125"/>
    <mergeCell ref="C126:D126"/>
    <mergeCell ref="C127:D127"/>
    <mergeCell ref="C128:D128"/>
    <mergeCell ref="C129:D129"/>
    <mergeCell ref="C120:D120"/>
    <mergeCell ref="C121:D121"/>
    <mergeCell ref="C122:D122"/>
    <mergeCell ref="C123:D123"/>
    <mergeCell ref="C124:D124"/>
    <mergeCell ref="C115:D115"/>
    <mergeCell ref="C116:D116"/>
    <mergeCell ref="C117:D117"/>
    <mergeCell ref="C118:D118"/>
    <mergeCell ref="C119:D119"/>
    <mergeCell ref="C110:D110"/>
    <mergeCell ref="C111:D111"/>
    <mergeCell ref="C112:D112"/>
    <mergeCell ref="C113:D113"/>
    <mergeCell ref="C114:D114"/>
    <mergeCell ref="C105:D105"/>
    <mergeCell ref="C106:D106"/>
    <mergeCell ref="C107:D107"/>
    <mergeCell ref="C108:D108"/>
    <mergeCell ref="C109:D109"/>
    <mergeCell ref="C100:D100"/>
    <mergeCell ref="C101:D101"/>
    <mergeCell ref="C102:D102"/>
    <mergeCell ref="C103:D103"/>
    <mergeCell ref="C104:D104"/>
    <mergeCell ref="C95:K95"/>
    <mergeCell ref="C96:D96"/>
    <mergeCell ref="C97:K97"/>
    <mergeCell ref="C98:D98"/>
    <mergeCell ref="C99:K99"/>
    <mergeCell ref="C90:D90"/>
    <mergeCell ref="C91:K91"/>
    <mergeCell ref="C92:D92"/>
    <mergeCell ref="C93:K93"/>
    <mergeCell ref="C94:D94"/>
    <mergeCell ref="C85:K85"/>
    <mergeCell ref="C86:D86"/>
    <mergeCell ref="C87:K87"/>
    <mergeCell ref="C88:D88"/>
    <mergeCell ref="C89:K89"/>
    <mergeCell ref="C80:D80"/>
    <mergeCell ref="C81:K81"/>
    <mergeCell ref="C82:D82"/>
    <mergeCell ref="C83:K83"/>
    <mergeCell ref="C84:D84"/>
    <mergeCell ref="C75:K75"/>
    <mergeCell ref="C76:D76"/>
    <mergeCell ref="C77:K77"/>
    <mergeCell ref="C78:D78"/>
    <mergeCell ref="C79:K79"/>
    <mergeCell ref="C70:D70"/>
    <mergeCell ref="C71:K71"/>
    <mergeCell ref="C72:D72"/>
    <mergeCell ref="C73:K73"/>
    <mergeCell ref="C74:D74"/>
    <mergeCell ref="C65:D65"/>
    <mergeCell ref="C66:D66"/>
    <mergeCell ref="C67:D67"/>
    <mergeCell ref="C68:D68"/>
    <mergeCell ref="C69:D69"/>
    <mergeCell ref="C60:D60"/>
    <mergeCell ref="C61:D61"/>
    <mergeCell ref="C62:D62"/>
    <mergeCell ref="C63:D63"/>
    <mergeCell ref="C64:D64"/>
    <mergeCell ref="C55:D55"/>
    <mergeCell ref="C56:D56"/>
    <mergeCell ref="C57:D57"/>
    <mergeCell ref="C58:D58"/>
    <mergeCell ref="C59:D59"/>
    <mergeCell ref="C50:D50"/>
    <mergeCell ref="C51:D51"/>
    <mergeCell ref="C52:D52"/>
    <mergeCell ref="C53:D53"/>
    <mergeCell ref="C54:D54"/>
    <mergeCell ref="C45:D45"/>
    <mergeCell ref="C46:D46"/>
    <mergeCell ref="C47:D47"/>
    <mergeCell ref="C48:D48"/>
    <mergeCell ref="C49:D49"/>
    <mergeCell ref="C40:D40"/>
    <mergeCell ref="C41:D41"/>
    <mergeCell ref="C42:D42"/>
    <mergeCell ref="C43:D43"/>
    <mergeCell ref="C44:D44"/>
    <mergeCell ref="C35:D35"/>
    <mergeCell ref="C36:D36"/>
    <mergeCell ref="C37:D37"/>
    <mergeCell ref="C38:D38"/>
    <mergeCell ref="C39:D39"/>
    <mergeCell ref="C30:D30"/>
    <mergeCell ref="C31:D31"/>
    <mergeCell ref="C32:D32"/>
    <mergeCell ref="C33:D33"/>
    <mergeCell ref="C34:D34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1:D11"/>
    <mergeCell ref="H10:J10"/>
    <mergeCell ref="C12:D12"/>
    <mergeCell ref="C13:D13"/>
    <mergeCell ref="C14:D14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5"/>
  <sheetViews>
    <sheetView workbookViewId="0">
      <pane ySplit="11" topLeftCell="A12" activePane="bottomLeft" state="frozen"/>
      <selection pane="bottomLeft" sqref="A1:G1"/>
    </sheetView>
  </sheetViews>
  <sheetFormatPr defaultColWidth="12.140625" defaultRowHeight="15" customHeight="1" x14ac:dyDescent="0.25"/>
  <cols>
    <col min="1" max="2" width="8.5703125" customWidth="1"/>
    <col min="3" max="3" width="71.42578125" customWidth="1"/>
    <col min="4" max="4" width="12.140625" customWidth="1"/>
    <col min="5" max="7" width="27.85546875" customWidth="1"/>
    <col min="8" max="9" width="0" hidden="1" customWidth="1"/>
  </cols>
  <sheetData>
    <row r="1" spans="1:9" ht="54.75" customHeight="1" x14ac:dyDescent="0.25">
      <c r="A1" s="87" t="s">
        <v>554</v>
      </c>
      <c r="B1" s="87"/>
      <c r="C1" s="87"/>
      <c r="D1" s="87"/>
      <c r="E1" s="87"/>
      <c r="F1" s="87"/>
      <c r="G1" s="87"/>
    </row>
    <row r="2" spans="1:9" x14ac:dyDescent="0.25">
      <c r="A2" s="88" t="s">
        <v>1</v>
      </c>
      <c r="B2" s="89"/>
      <c r="C2" s="97" t="str">
        <f>'Stavební rozpočet'!C2</f>
        <v>Rekonstrukce rozvodů vody, odpadního potrubí splaškové a dešťové kanalizace</v>
      </c>
      <c r="D2" s="89" t="s">
        <v>3</v>
      </c>
      <c r="E2" s="89" t="s">
        <v>4</v>
      </c>
      <c r="F2" s="95" t="s">
        <v>5</v>
      </c>
      <c r="G2" s="125" t="str">
        <f>'Stavební rozpočet'!I2</f>
        <v>Město Bohumín, Masarykova 158, Bohumín</v>
      </c>
    </row>
    <row r="3" spans="1:9" ht="15" customHeight="1" x14ac:dyDescent="0.25">
      <c r="A3" s="90"/>
      <c r="B3" s="91"/>
      <c r="C3" s="99"/>
      <c r="D3" s="91"/>
      <c r="E3" s="91"/>
      <c r="F3" s="91"/>
      <c r="G3" s="104"/>
    </row>
    <row r="4" spans="1:9" x14ac:dyDescent="0.25">
      <c r="A4" s="92" t="s">
        <v>7</v>
      </c>
      <c r="B4" s="91"/>
      <c r="C4" s="96" t="str">
        <f>'Stavební rozpočet'!C4</f>
        <v xml:space="preserve"> </v>
      </c>
      <c r="D4" s="91" t="s">
        <v>8</v>
      </c>
      <c r="E4" s="91" t="s">
        <v>9</v>
      </c>
      <c r="F4" s="96" t="s">
        <v>10</v>
      </c>
      <c r="G4" s="126" t="str">
        <f>'Stavební rozpočet'!I4</f>
        <v>ENERGETING.CZ, s.r.o.</v>
      </c>
    </row>
    <row r="5" spans="1:9" ht="15" customHeight="1" x14ac:dyDescent="0.25">
      <c r="A5" s="90"/>
      <c r="B5" s="91"/>
      <c r="C5" s="91"/>
      <c r="D5" s="91"/>
      <c r="E5" s="91"/>
      <c r="F5" s="91"/>
      <c r="G5" s="104"/>
    </row>
    <row r="6" spans="1:9" x14ac:dyDescent="0.25">
      <c r="A6" s="92" t="s">
        <v>12</v>
      </c>
      <c r="B6" s="91"/>
      <c r="C6" s="96" t="str">
        <f>'Stavební rozpočet'!C6</f>
        <v>Bytový dům Svat. Čecha 1093, Bohumín</v>
      </c>
      <c r="D6" s="91" t="s">
        <v>14</v>
      </c>
      <c r="E6" s="91" t="s">
        <v>4</v>
      </c>
      <c r="F6" s="96" t="s">
        <v>15</v>
      </c>
      <c r="G6" s="126" t="str">
        <f>'Stavební rozpočet'!I6</f>
        <v> </v>
      </c>
    </row>
    <row r="7" spans="1:9" ht="15" customHeight="1" x14ac:dyDescent="0.25">
      <c r="A7" s="90"/>
      <c r="B7" s="91"/>
      <c r="C7" s="91"/>
      <c r="D7" s="91"/>
      <c r="E7" s="91"/>
      <c r="F7" s="91"/>
      <c r="G7" s="104"/>
    </row>
    <row r="8" spans="1:9" x14ac:dyDescent="0.25">
      <c r="A8" s="92" t="s">
        <v>20</v>
      </c>
      <c r="B8" s="91"/>
      <c r="C8" s="96" t="str">
        <f>'Stavební rozpočet'!I8</f>
        <v> </v>
      </c>
      <c r="D8" s="91" t="s">
        <v>19</v>
      </c>
      <c r="E8" s="91" t="s">
        <v>9</v>
      </c>
      <c r="F8" s="91" t="s">
        <v>19</v>
      </c>
      <c r="G8" s="126" t="str">
        <f>'Stavební rozpočet'!G8</f>
        <v>26.11.2024</v>
      </c>
    </row>
    <row r="9" spans="1:9" x14ac:dyDescent="0.25">
      <c r="A9" s="93"/>
      <c r="B9" s="94"/>
      <c r="C9" s="94"/>
      <c r="D9" s="123"/>
      <c r="E9" s="94"/>
      <c r="F9" s="94"/>
      <c r="G9" s="127"/>
    </row>
    <row r="10" spans="1:9" x14ac:dyDescent="0.25">
      <c r="A10" s="45" t="s">
        <v>555</v>
      </c>
      <c r="B10" s="46" t="s">
        <v>22</v>
      </c>
      <c r="C10" s="47" t="s">
        <v>556</v>
      </c>
      <c r="E10" s="48" t="s">
        <v>557</v>
      </c>
      <c r="F10" s="49" t="s">
        <v>558</v>
      </c>
      <c r="G10" s="49" t="s">
        <v>559</v>
      </c>
    </row>
    <row r="11" spans="1:9" x14ac:dyDescent="0.25">
      <c r="A11" s="50" t="s">
        <v>50</v>
      </c>
      <c r="B11" s="51" t="s">
        <v>51</v>
      </c>
      <c r="C11" s="91" t="s">
        <v>52</v>
      </c>
      <c r="D11" s="91"/>
      <c r="E11" s="52">
        <f>'Stavební rozpočet'!H12</f>
        <v>0</v>
      </c>
      <c r="F11" s="52">
        <f>'Stavební rozpočet'!I12</f>
        <v>0</v>
      </c>
      <c r="G11" s="52">
        <f>'Stavební rozpočet'!J12</f>
        <v>0</v>
      </c>
      <c r="H11" s="29" t="s">
        <v>560</v>
      </c>
      <c r="I11" s="26">
        <f t="shared" ref="I11:I24" si="0">IF(H11="F",0,G11)</f>
        <v>0</v>
      </c>
    </row>
    <row r="12" spans="1:9" x14ac:dyDescent="0.25">
      <c r="A12" s="2" t="s">
        <v>50</v>
      </c>
      <c r="B12" s="3" t="s">
        <v>71</v>
      </c>
      <c r="C12" s="91" t="s">
        <v>72</v>
      </c>
      <c r="D12" s="91"/>
      <c r="E12" s="26">
        <f>'Stavební rozpočet'!H16</f>
        <v>0</v>
      </c>
      <c r="F12" s="26">
        <f>'Stavební rozpočet'!I16</f>
        <v>0</v>
      </c>
      <c r="G12" s="26">
        <f>'Stavební rozpočet'!J16</f>
        <v>0</v>
      </c>
      <c r="H12" s="29" t="s">
        <v>560</v>
      </c>
      <c r="I12" s="26">
        <f t="shared" si="0"/>
        <v>0</v>
      </c>
    </row>
    <row r="13" spans="1:9" x14ac:dyDescent="0.25">
      <c r="A13" s="2" t="s">
        <v>50</v>
      </c>
      <c r="B13" s="3" t="s">
        <v>78</v>
      </c>
      <c r="C13" s="91" t="s">
        <v>79</v>
      </c>
      <c r="D13" s="91"/>
      <c r="E13" s="26">
        <f>'Stavební rozpočet'!H18</f>
        <v>0</v>
      </c>
      <c r="F13" s="26">
        <f>'Stavební rozpočet'!I18</f>
        <v>0</v>
      </c>
      <c r="G13" s="26">
        <f>'Stavební rozpočet'!J18</f>
        <v>0</v>
      </c>
      <c r="H13" s="29" t="s">
        <v>560</v>
      </c>
      <c r="I13" s="26">
        <f t="shared" si="0"/>
        <v>0</v>
      </c>
    </row>
    <row r="14" spans="1:9" x14ac:dyDescent="0.25">
      <c r="A14" s="2" t="s">
        <v>50</v>
      </c>
      <c r="B14" s="3" t="s">
        <v>88</v>
      </c>
      <c r="C14" s="91" t="s">
        <v>89</v>
      </c>
      <c r="D14" s="91"/>
      <c r="E14" s="26">
        <f>'Stavební rozpočet'!H21</f>
        <v>0</v>
      </c>
      <c r="F14" s="26">
        <f>'Stavební rozpočet'!I21</f>
        <v>0</v>
      </c>
      <c r="G14" s="26">
        <f>'Stavební rozpočet'!J21</f>
        <v>0</v>
      </c>
      <c r="H14" s="29" t="s">
        <v>560</v>
      </c>
      <c r="I14" s="26">
        <f t="shared" si="0"/>
        <v>0</v>
      </c>
    </row>
    <row r="15" spans="1:9" x14ac:dyDescent="0.25">
      <c r="A15" s="2" t="s">
        <v>50</v>
      </c>
      <c r="B15" s="3" t="s">
        <v>103</v>
      </c>
      <c r="C15" s="91" t="s">
        <v>104</v>
      </c>
      <c r="D15" s="91"/>
      <c r="E15" s="26">
        <f>'Stavební rozpočet'!H25</f>
        <v>0</v>
      </c>
      <c r="F15" s="26">
        <f>'Stavební rozpočet'!I25</f>
        <v>0</v>
      </c>
      <c r="G15" s="26">
        <f>'Stavební rozpočet'!J25</f>
        <v>0</v>
      </c>
      <c r="H15" s="29" t="s">
        <v>560</v>
      </c>
      <c r="I15" s="26">
        <f t="shared" si="0"/>
        <v>0</v>
      </c>
    </row>
    <row r="16" spans="1:9" x14ac:dyDescent="0.25">
      <c r="A16" s="2" t="s">
        <v>50</v>
      </c>
      <c r="B16" s="3" t="s">
        <v>155</v>
      </c>
      <c r="C16" s="91" t="s">
        <v>156</v>
      </c>
      <c r="D16" s="91"/>
      <c r="E16" s="26">
        <f>'Stavební rozpočet'!H43</f>
        <v>0</v>
      </c>
      <c r="F16" s="26">
        <f>'Stavební rozpočet'!I43</f>
        <v>0</v>
      </c>
      <c r="G16" s="26">
        <f>'Stavební rozpočet'!J43</f>
        <v>0</v>
      </c>
      <c r="H16" s="29" t="s">
        <v>560</v>
      </c>
      <c r="I16" s="26">
        <f t="shared" si="0"/>
        <v>0</v>
      </c>
    </row>
    <row r="17" spans="1:9" x14ac:dyDescent="0.25">
      <c r="A17" s="2" t="s">
        <v>50</v>
      </c>
      <c r="B17" s="3" t="s">
        <v>381</v>
      </c>
      <c r="C17" s="91" t="s">
        <v>382</v>
      </c>
      <c r="D17" s="91"/>
      <c r="E17" s="26">
        <f>'Stavební rozpočet'!H138</f>
        <v>0</v>
      </c>
      <c r="F17" s="26">
        <f>'Stavební rozpočet'!I138</f>
        <v>0</v>
      </c>
      <c r="G17" s="26">
        <f>'Stavební rozpočet'!J138</f>
        <v>0</v>
      </c>
      <c r="H17" s="29" t="s">
        <v>560</v>
      </c>
      <c r="I17" s="26">
        <f t="shared" si="0"/>
        <v>0</v>
      </c>
    </row>
    <row r="18" spans="1:9" x14ac:dyDescent="0.25">
      <c r="A18" s="2" t="s">
        <v>50</v>
      </c>
      <c r="B18" s="3" t="s">
        <v>399</v>
      </c>
      <c r="C18" s="91" t="s">
        <v>400</v>
      </c>
      <c r="D18" s="91"/>
      <c r="E18" s="26">
        <f>'Stavební rozpočet'!H144</f>
        <v>0</v>
      </c>
      <c r="F18" s="26">
        <f>'Stavební rozpočet'!I144</f>
        <v>0</v>
      </c>
      <c r="G18" s="26">
        <f>'Stavební rozpočet'!J144</f>
        <v>0</v>
      </c>
      <c r="H18" s="29" t="s">
        <v>560</v>
      </c>
      <c r="I18" s="26">
        <f t="shared" si="0"/>
        <v>0</v>
      </c>
    </row>
    <row r="19" spans="1:9" x14ac:dyDescent="0.25">
      <c r="A19" s="2" t="s">
        <v>50</v>
      </c>
      <c r="B19" s="3" t="s">
        <v>423</v>
      </c>
      <c r="C19" s="91" t="s">
        <v>424</v>
      </c>
      <c r="D19" s="91"/>
      <c r="E19" s="26">
        <f>'Stavební rozpočet'!H153</f>
        <v>0</v>
      </c>
      <c r="F19" s="26">
        <f>'Stavební rozpočet'!I153</f>
        <v>0</v>
      </c>
      <c r="G19" s="26">
        <f>'Stavební rozpočet'!J153</f>
        <v>0</v>
      </c>
      <c r="H19" s="29" t="s">
        <v>560</v>
      </c>
      <c r="I19" s="26">
        <f t="shared" si="0"/>
        <v>0</v>
      </c>
    </row>
    <row r="20" spans="1:9" x14ac:dyDescent="0.25">
      <c r="A20" s="2" t="s">
        <v>50</v>
      </c>
      <c r="B20" s="3" t="s">
        <v>435</v>
      </c>
      <c r="C20" s="91" t="s">
        <v>436</v>
      </c>
      <c r="D20" s="91"/>
      <c r="E20" s="26">
        <f>'Stavební rozpočet'!H157</f>
        <v>0</v>
      </c>
      <c r="F20" s="26">
        <f>'Stavební rozpočet'!I157</f>
        <v>0</v>
      </c>
      <c r="G20" s="26">
        <f>'Stavební rozpočet'!J157</f>
        <v>0</v>
      </c>
      <c r="H20" s="29" t="s">
        <v>560</v>
      </c>
      <c r="I20" s="26">
        <f t="shared" si="0"/>
        <v>0</v>
      </c>
    </row>
    <row r="21" spans="1:9" x14ac:dyDescent="0.25">
      <c r="A21" s="2" t="s">
        <v>50</v>
      </c>
      <c r="B21" s="3" t="s">
        <v>476</v>
      </c>
      <c r="C21" s="91" t="s">
        <v>477</v>
      </c>
      <c r="D21" s="91"/>
      <c r="E21" s="26">
        <f>'Stavební rozpočet'!H180</f>
        <v>0</v>
      </c>
      <c r="F21" s="26">
        <f>'Stavební rozpočet'!I180</f>
        <v>0</v>
      </c>
      <c r="G21" s="26">
        <f>'Stavební rozpočet'!J180</f>
        <v>0</v>
      </c>
      <c r="H21" s="29" t="s">
        <v>560</v>
      </c>
      <c r="I21" s="26">
        <f t="shared" si="0"/>
        <v>0</v>
      </c>
    </row>
    <row r="22" spans="1:9" x14ac:dyDescent="0.25">
      <c r="A22" s="2" t="s">
        <v>50</v>
      </c>
      <c r="B22" s="3" t="s">
        <v>488</v>
      </c>
      <c r="C22" s="91" t="s">
        <v>489</v>
      </c>
      <c r="D22" s="91"/>
      <c r="E22" s="26">
        <f>'Stavební rozpočet'!H184</f>
        <v>0</v>
      </c>
      <c r="F22" s="26">
        <f>'Stavební rozpočet'!I184</f>
        <v>0</v>
      </c>
      <c r="G22" s="26">
        <f>'Stavební rozpočet'!J184</f>
        <v>0</v>
      </c>
      <c r="H22" s="29" t="s">
        <v>560</v>
      </c>
      <c r="I22" s="26">
        <f t="shared" si="0"/>
        <v>0</v>
      </c>
    </row>
    <row r="23" spans="1:9" x14ac:dyDescent="0.25">
      <c r="A23" s="2" t="s">
        <v>50</v>
      </c>
      <c r="B23" s="3" t="s">
        <v>337</v>
      </c>
      <c r="C23" s="91" t="s">
        <v>507</v>
      </c>
      <c r="D23" s="91"/>
      <c r="E23" s="26">
        <f>'Stavební rozpočet'!H191</f>
        <v>0</v>
      </c>
      <c r="F23" s="26">
        <f>'Stavební rozpočet'!I191</f>
        <v>0</v>
      </c>
      <c r="G23" s="26">
        <f>'Stavební rozpočet'!J191</f>
        <v>0</v>
      </c>
      <c r="H23" s="29" t="s">
        <v>560</v>
      </c>
      <c r="I23" s="26">
        <f t="shared" si="0"/>
        <v>0</v>
      </c>
    </row>
    <row r="24" spans="1:9" x14ac:dyDescent="0.25">
      <c r="A24" s="2" t="s">
        <v>50</v>
      </c>
      <c r="B24" s="3" t="s">
        <v>358</v>
      </c>
      <c r="C24" s="91" t="s">
        <v>519</v>
      </c>
      <c r="D24" s="91"/>
      <c r="E24" s="26">
        <f>'Stavební rozpočet'!H196</f>
        <v>0</v>
      </c>
      <c r="F24" s="26">
        <f>'Stavební rozpočet'!I196</f>
        <v>0</v>
      </c>
      <c r="G24" s="26">
        <f>'Stavební rozpočet'!J196</f>
        <v>0</v>
      </c>
      <c r="H24" s="29" t="s">
        <v>560</v>
      </c>
      <c r="I24" s="26">
        <f t="shared" si="0"/>
        <v>0</v>
      </c>
    </row>
    <row r="25" spans="1:9" x14ac:dyDescent="0.25">
      <c r="F25" s="4" t="s">
        <v>552</v>
      </c>
      <c r="G25" s="53">
        <f>SUM(I11:I24)</f>
        <v>0</v>
      </c>
    </row>
  </sheetData>
  <sheetProtection password="8A17" sheet="1"/>
  <mergeCells count="39">
    <mergeCell ref="C22:D22"/>
    <mergeCell ref="C23:D23"/>
    <mergeCell ref="C24:D24"/>
    <mergeCell ref="C17:D17"/>
    <mergeCell ref="C18:D18"/>
    <mergeCell ref="C19:D19"/>
    <mergeCell ref="C20:D20"/>
    <mergeCell ref="C21:D21"/>
    <mergeCell ref="C12:D12"/>
    <mergeCell ref="C13:D13"/>
    <mergeCell ref="C14:D14"/>
    <mergeCell ref="C15:D15"/>
    <mergeCell ref="C16:D16"/>
    <mergeCell ref="G2:G3"/>
    <mergeCell ref="G4:G5"/>
    <mergeCell ref="G6:G7"/>
    <mergeCell ref="G8:G9"/>
    <mergeCell ref="C11:D11"/>
    <mergeCell ref="C8:C9"/>
    <mergeCell ref="E2:E3"/>
    <mergeCell ref="E4:E5"/>
    <mergeCell ref="E6:E7"/>
    <mergeCell ref="E8:E9"/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22"/>
  <sheetViews>
    <sheetView workbookViewId="0">
      <selection sqref="A1:H1"/>
    </sheetView>
  </sheetViews>
  <sheetFormatPr defaultColWidth="12.140625" defaultRowHeight="15" customHeight="1" x14ac:dyDescent="0.25"/>
  <cols>
    <col min="1" max="2" width="9.140625" customWidth="1"/>
    <col min="3" max="3" width="14.28515625" customWidth="1"/>
    <col min="4" max="4" width="42.85546875" customWidth="1"/>
    <col min="5" max="5" width="80.7109375" customWidth="1"/>
    <col min="6" max="6" width="24.140625" customWidth="1"/>
    <col min="7" max="7" width="15.7109375" customWidth="1"/>
    <col min="8" max="8" width="20" customWidth="1"/>
  </cols>
  <sheetData>
    <row r="1" spans="1:8" ht="54.75" customHeight="1" x14ac:dyDescent="0.25">
      <c r="A1" s="87" t="s">
        <v>561</v>
      </c>
      <c r="B1" s="87"/>
      <c r="C1" s="87"/>
      <c r="D1" s="87"/>
      <c r="E1" s="87"/>
      <c r="F1" s="87"/>
      <c r="G1" s="87"/>
      <c r="H1" s="87"/>
    </row>
    <row r="2" spans="1:8" x14ac:dyDescent="0.25">
      <c r="A2" s="88" t="s">
        <v>1</v>
      </c>
      <c r="B2" s="89"/>
      <c r="C2" s="97" t="str">
        <f>'Stavební rozpočet'!C2</f>
        <v>Rekonstrukce rozvodů vody, odpadního potrubí splaškové a dešťové kanalizace</v>
      </c>
      <c r="D2" s="98"/>
      <c r="E2" s="95" t="s">
        <v>5</v>
      </c>
      <c r="F2" s="95" t="str">
        <f>'Stavební rozpočet'!I2</f>
        <v>Město Bohumín, Masarykova 158, Bohumín</v>
      </c>
      <c r="G2" s="89"/>
      <c r="H2" s="103"/>
    </row>
    <row r="3" spans="1:8" ht="15" customHeight="1" x14ac:dyDescent="0.25">
      <c r="A3" s="90"/>
      <c r="B3" s="91"/>
      <c r="C3" s="99"/>
      <c r="D3" s="99"/>
      <c r="E3" s="91"/>
      <c r="F3" s="91"/>
      <c r="G3" s="91"/>
      <c r="H3" s="104"/>
    </row>
    <row r="4" spans="1:8" x14ac:dyDescent="0.25">
      <c r="A4" s="92" t="s">
        <v>7</v>
      </c>
      <c r="B4" s="91"/>
      <c r="C4" s="96" t="str">
        <f>'Stavební rozpočet'!C4</f>
        <v xml:space="preserve"> </v>
      </c>
      <c r="D4" s="91"/>
      <c r="E4" s="96" t="s">
        <v>10</v>
      </c>
      <c r="F4" s="96" t="str">
        <f>'Stavební rozpočet'!I4</f>
        <v>ENERGETING.CZ, s.r.o.</v>
      </c>
      <c r="G4" s="91"/>
      <c r="H4" s="104"/>
    </row>
    <row r="5" spans="1:8" ht="15" customHeight="1" x14ac:dyDescent="0.25">
      <c r="A5" s="90"/>
      <c r="B5" s="91"/>
      <c r="C5" s="91"/>
      <c r="D5" s="91"/>
      <c r="E5" s="91"/>
      <c r="F5" s="91"/>
      <c r="G5" s="91"/>
      <c r="H5" s="104"/>
    </row>
    <row r="6" spans="1:8" x14ac:dyDescent="0.25">
      <c r="A6" s="92" t="s">
        <v>12</v>
      </c>
      <c r="B6" s="91"/>
      <c r="C6" s="96" t="str">
        <f>'Stavební rozpočet'!C6</f>
        <v>Bytový dům Svat. Čecha 1093, Bohumín</v>
      </c>
      <c r="D6" s="91"/>
      <c r="E6" s="96" t="s">
        <v>15</v>
      </c>
      <c r="F6" s="96" t="str">
        <f>'Stavební rozpočet'!I6</f>
        <v> </v>
      </c>
      <c r="G6" s="91"/>
      <c r="H6" s="104"/>
    </row>
    <row r="7" spans="1:8" ht="15" customHeight="1" x14ac:dyDescent="0.25">
      <c r="A7" s="90"/>
      <c r="B7" s="91"/>
      <c r="C7" s="91"/>
      <c r="D7" s="91"/>
      <c r="E7" s="91"/>
      <c r="F7" s="91"/>
      <c r="G7" s="91"/>
      <c r="H7" s="104"/>
    </row>
    <row r="8" spans="1:8" x14ac:dyDescent="0.25">
      <c r="A8" s="92" t="s">
        <v>20</v>
      </c>
      <c r="B8" s="91"/>
      <c r="C8" s="96" t="str">
        <f>'Stavební rozpočet'!I8</f>
        <v> </v>
      </c>
      <c r="D8" s="91"/>
      <c r="E8" s="96" t="s">
        <v>19</v>
      </c>
      <c r="F8" s="96" t="str">
        <f>'Stavební rozpočet'!G8</f>
        <v>26.11.2024</v>
      </c>
      <c r="G8" s="91"/>
      <c r="H8" s="104"/>
    </row>
    <row r="9" spans="1:8" x14ac:dyDescent="0.25">
      <c r="A9" s="93"/>
      <c r="B9" s="94"/>
      <c r="C9" s="94"/>
      <c r="D9" s="94"/>
      <c r="E9" s="94"/>
      <c r="F9" s="94"/>
      <c r="G9" s="94"/>
      <c r="H9" s="127"/>
    </row>
    <row r="10" spans="1:8" x14ac:dyDescent="0.25">
      <c r="A10" s="46" t="s">
        <v>21</v>
      </c>
      <c r="B10" s="54" t="s">
        <v>555</v>
      </c>
      <c r="C10" s="54" t="s">
        <v>22</v>
      </c>
      <c r="D10" s="128" t="s">
        <v>23</v>
      </c>
      <c r="E10" s="129"/>
      <c r="F10" s="54" t="s">
        <v>24</v>
      </c>
      <c r="G10" s="55" t="s">
        <v>25</v>
      </c>
      <c r="H10" s="56" t="s">
        <v>562</v>
      </c>
    </row>
    <row r="11" spans="1:8" x14ac:dyDescent="0.25">
      <c r="A11" s="57" t="s">
        <v>50</v>
      </c>
      <c r="B11" s="21" t="s">
        <v>50</v>
      </c>
      <c r="C11" s="21" t="s">
        <v>51</v>
      </c>
      <c r="D11" s="115" t="s">
        <v>52</v>
      </c>
      <c r="E11" s="115"/>
      <c r="F11" s="21" t="s">
        <v>50</v>
      </c>
      <c r="G11" s="58" t="s">
        <v>50</v>
      </c>
      <c r="H11" s="25" t="s">
        <v>50</v>
      </c>
    </row>
    <row r="12" spans="1:8" x14ac:dyDescent="0.25">
      <c r="A12" s="2" t="s">
        <v>53</v>
      </c>
      <c r="B12" s="3" t="s">
        <v>58</v>
      </c>
      <c r="C12" s="3" t="s">
        <v>54</v>
      </c>
      <c r="D12" s="91" t="s">
        <v>55</v>
      </c>
      <c r="E12" s="91"/>
      <c r="F12" s="3" t="s">
        <v>56</v>
      </c>
      <c r="G12" s="26">
        <v>37.44</v>
      </c>
      <c r="H12" s="59">
        <v>0</v>
      </c>
    </row>
    <row r="13" spans="1:8" x14ac:dyDescent="0.25">
      <c r="A13" s="36"/>
      <c r="D13" s="60" t="s">
        <v>563</v>
      </c>
      <c r="E13" s="130" t="s">
        <v>564</v>
      </c>
      <c r="F13" s="130"/>
      <c r="G13" s="61">
        <v>37.44</v>
      </c>
      <c r="H13" s="62"/>
    </row>
    <row r="14" spans="1:8" x14ac:dyDescent="0.25">
      <c r="A14" s="2" t="s">
        <v>62</v>
      </c>
      <c r="B14" s="3" t="s">
        <v>58</v>
      </c>
      <c r="C14" s="3" t="s">
        <v>63</v>
      </c>
      <c r="D14" s="91" t="s">
        <v>64</v>
      </c>
      <c r="E14" s="91"/>
      <c r="F14" s="3" t="s">
        <v>56</v>
      </c>
      <c r="G14" s="26">
        <v>3.64</v>
      </c>
      <c r="H14" s="59">
        <v>0</v>
      </c>
    </row>
    <row r="15" spans="1:8" x14ac:dyDescent="0.25">
      <c r="A15" s="36"/>
      <c r="D15" s="60" t="s">
        <v>565</v>
      </c>
      <c r="E15" s="130" t="s">
        <v>566</v>
      </c>
      <c r="F15" s="130"/>
      <c r="G15" s="61">
        <v>3.64</v>
      </c>
      <c r="H15" s="62"/>
    </row>
    <row r="16" spans="1:8" x14ac:dyDescent="0.25">
      <c r="A16" s="2" t="s">
        <v>66</v>
      </c>
      <c r="B16" s="3" t="s">
        <v>58</v>
      </c>
      <c r="C16" s="3" t="s">
        <v>67</v>
      </c>
      <c r="D16" s="91" t="s">
        <v>68</v>
      </c>
      <c r="E16" s="91"/>
      <c r="F16" s="3" t="s">
        <v>69</v>
      </c>
      <c r="G16" s="26">
        <v>10.4</v>
      </c>
      <c r="H16" s="59">
        <v>0</v>
      </c>
    </row>
    <row r="17" spans="1:8" x14ac:dyDescent="0.25">
      <c r="A17" s="36"/>
      <c r="D17" s="60" t="s">
        <v>567</v>
      </c>
      <c r="E17" s="130" t="s">
        <v>566</v>
      </c>
      <c r="F17" s="130"/>
      <c r="G17" s="61">
        <v>10.4</v>
      </c>
      <c r="H17" s="62"/>
    </row>
    <row r="18" spans="1:8" x14ac:dyDescent="0.25">
      <c r="A18" s="63" t="s">
        <v>50</v>
      </c>
      <c r="B18" s="32" t="s">
        <v>50</v>
      </c>
      <c r="C18" s="32" t="s">
        <v>71</v>
      </c>
      <c r="D18" s="117" t="s">
        <v>72</v>
      </c>
      <c r="E18" s="117"/>
      <c r="F18" s="32" t="s">
        <v>50</v>
      </c>
      <c r="G18" s="11" t="s">
        <v>50</v>
      </c>
      <c r="H18" s="35" t="s">
        <v>50</v>
      </c>
    </row>
    <row r="19" spans="1:8" x14ac:dyDescent="0.25">
      <c r="A19" s="2" t="s">
        <v>73</v>
      </c>
      <c r="B19" s="3" t="s">
        <v>58</v>
      </c>
      <c r="C19" s="3" t="s">
        <v>74</v>
      </c>
      <c r="D19" s="91" t="s">
        <v>75</v>
      </c>
      <c r="E19" s="91"/>
      <c r="F19" s="3" t="s">
        <v>56</v>
      </c>
      <c r="G19" s="26">
        <v>0.60414000000000001</v>
      </c>
      <c r="H19" s="59">
        <v>0</v>
      </c>
    </row>
    <row r="20" spans="1:8" x14ac:dyDescent="0.25">
      <c r="A20" s="36"/>
      <c r="D20" s="60" t="s">
        <v>568</v>
      </c>
      <c r="E20" s="130" t="s">
        <v>569</v>
      </c>
      <c r="F20" s="130"/>
      <c r="G20" s="61">
        <v>0.60414000000000001</v>
      </c>
      <c r="H20" s="62"/>
    </row>
    <row r="21" spans="1:8" x14ac:dyDescent="0.25">
      <c r="A21" s="63" t="s">
        <v>50</v>
      </c>
      <c r="B21" s="32" t="s">
        <v>50</v>
      </c>
      <c r="C21" s="32" t="s">
        <v>78</v>
      </c>
      <c r="D21" s="117" t="s">
        <v>79</v>
      </c>
      <c r="E21" s="117"/>
      <c r="F21" s="32" t="s">
        <v>50</v>
      </c>
      <c r="G21" s="11" t="s">
        <v>50</v>
      </c>
      <c r="H21" s="35" t="s">
        <v>50</v>
      </c>
    </row>
    <row r="22" spans="1:8" x14ac:dyDescent="0.25">
      <c r="A22" s="2" t="s">
        <v>80</v>
      </c>
      <c r="B22" s="3" t="s">
        <v>58</v>
      </c>
      <c r="C22" s="3" t="s">
        <v>81</v>
      </c>
      <c r="D22" s="91" t="s">
        <v>82</v>
      </c>
      <c r="E22" s="91"/>
      <c r="F22" s="3" t="s">
        <v>56</v>
      </c>
      <c r="G22" s="26">
        <v>1.65</v>
      </c>
      <c r="H22" s="59">
        <v>0</v>
      </c>
    </row>
    <row r="23" spans="1:8" x14ac:dyDescent="0.25">
      <c r="A23" s="36"/>
      <c r="D23" s="60" t="s">
        <v>570</v>
      </c>
      <c r="E23" s="130" t="s">
        <v>566</v>
      </c>
      <c r="F23" s="130"/>
      <c r="G23" s="61">
        <v>1.65</v>
      </c>
      <c r="H23" s="62"/>
    </row>
    <row r="24" spans="1:8" x14ac:dyDescent="0.25">
      <c r="A24" s="2" t="s">
        <v>85</v>
      </c>
      <c r="B24" s="3" t="s">
        <v>58</v>
      </c>
      <c r="C24" s="3" t="s">
        <v>86</v>
      </c>
      <c r="D24" s="91" t="s">
        <v>87</v>
      </c>
      <c r="E24" s="91"/>
      <c r="F24" s="3" t="s">
        <v>56</v>
      </c>
      <c r="G24" s="26">
        <v>1.65</v>
      </c>
      <c r="H24" s="59">
        <v>0</v>
      </c>
    </row>
    <row r="25" spans="1:8" x14ac:dyDescent="0.25">
      <c r="A25" s="36"/>
      <c r="D25" s="60" t="s">
        <v>570</v>
      </c>
      <c r="E25" s="130" t="s">
        <v>566</v>
      </c>
      <c r="F25" s="130"/>
      <c r="G25" s="61">
        <v>1.65</v>
      </c>
      <c r="H25" s="62"/>
    </row>
    <row r="26" spans="1:8" x14ac:dyDescent="0.25">
      <c r="A26" s="63" t="s">
        <v>50</v>
      </c>
      <c r="B26" s="32" t="s">
        <v>50</v>
      </c>
      <c r="C26" s="32" t="s">
        <v>88</v>
      </c>
      <c r="D26" s="117" t="s">
        <v>89</v>
      </c>
      <c r="E26" s="117"/>
      <c r="F26" s="32" t="s">
        <v>50</v>
      </c>
      <c r="G26" s="11" t="s">
        <v>50</v>
      </c>
      <c r="H26" s="35" t="s">
        <v>50</v>
      </c>
    </row>
    <row r="27" spans="1:8" x14ac:dyDescent="0.25">
      <c r="A27" s="2" t="s">
        <v>90</v>
      </c>
      <c r="B27" s="3" t="s">
        <v>58</v>
      </c>
      <c r="C27" s="3" t="s">
        <v>91</v>
      </c>
      <c r="D27" s="91" t="s">
        <v>92</v>
      </c>
      <c r="E27" s="91"/>
      <c r="F27" s="3" t="s">
        <v>93</v>
      </c>
      <c r="G27" s="26">
        <v>74</v>
      </c>
      <c r="H27" s="59">
        <v>0</v>
      </c>
    </row>
    <row r="28" spans="1:8" x14ac:dyDescent="0.25">
      <c r="A28" s="36"/>
      <c r="D28" s="60" t="s">
        <v>571</v>
      </c>
      <c r="E28" s="130" t="s">
        <v>572</v>
      </c>
      <c r="F28" s="130"/>
      <c r="G28" s="61">
        <v>74</v>
      </c>
      <c r="H28" s="62"/>
    </row>
    <row r="29" spans="1:8" x14ac:dyDescent="0.25">
      <c r="A29" s="2" t="s">
        <v>96</v>
      </c>
      <c r="B29" s="3" t="s">
        <v>58</v>
      </c>
      <c r="C29" s="3" t="s">
        <v>97</v>
      </c>
      <c r="D29" s="91" t="s">
        <v>98</v>
      </c>
      <c r="E29" s="91"/>
      <c r="F29" s="3" t="s">
        <v>93</v>
      </c>
      <c r="G29" s="26">
        <v>74</v>
      </c>
      <c r="H29" s="59">
        <v>0</v>
      </c>
    </row>
    <row r="30" spans="1:8" x14ac:dyDescent="0.25">
      <c r="A30" s="36"/>
      <c r="D30" s="60" t="s">
        <v>571</v>
      </c>
      <c r="E30" s="130" t="s">
        <v>573</v>
      </c>
      <c r="F30" s="130"/>
      <c r="G30" s="61">
        <v>74</v>
      </c>
      <c r="H30" s="62"/>
    </row>
    <row r="31" spans="1:8" x14ac:dyDescent="0.25">
      <c r="A31" s="2" t="s">
        <v>99</v>
      </c>
      <c r="B31" s="3" t="s">
        <v>58</v>
      </c>
      <c r="C31" s="3" t="s">
        <v>100</v>
      </c>
      <c r="D31" s="91" t="s">
        <v>101</v>
      </c>
      <c r="E31" s="91"/>
      <c r="F31" s="3" t="s">
        <v>102</v>
      </c>
      <c r="G31" s="26">
        <v>0.52244000000000002</v>
      </c>
      <c r="H31" s="59">
        <v>0</v>
      </c>
    </row>
    <row r="32" spans="1:8" x14ac:dyDescent="0.25">
      <c r="A32" s="63" t="s">
        <v>50</v>
      </c>
      <c r="B32" s="32" t="s">
        <v>50</v>
      </c>
      <c r="C32" s="32" t="s">
        <v>103</v>
      </c>
      <c r="D32" s="117" t="s">
        <v>104</v>
      </c>
      <c r="E32" s="117"/>
      <c r="F32" s="32" t="s">
        <v>50</v>
      </c>
      <c r="G32" s="11" t="s">
        <v>50</v>
      </c>
      <c r="H32" s="35" t="s">
        <v>50</v>
      </c>
    </row>
    <row r="33" spans="1:8" x14ac:dyDescent="0.25">
      <c r="A33" s="2" t="s">
        <v>105</v>
      </c>
      <c r="B33" s="3" t="s">
        <v>58</v>
      </c>
      <c r="C33" s="3" t="s">
        <v>106</v>
      </c>
      <c r="D33" s="91" t="s">
        <v>107</v>
      </c>
      <c r="E33" s="91"/>
      <c r="F33" s="3" t="s">
        <v>93</v>
      </c>
      <c r="G33" s="26">
        <v>8</v>
      </c>
      <c r="H33" s="59">
        <v>0</v>
      </c>
    </row>
    <row r="34" spans="1:8" x14ac:dyDescent="0.25">
      <c r="A34" s="36"/>
      <c r="D34" s="60" t="s">
        <v>574</v>
      </c>
      <c r="E34" s="130" t="s">
        <v>575</v>
      </c>
      <c r="F34" s="130"/>
      <c r="G34" s="61">
        <v>8</v>
      </c>
      <c r="H34" s="62"/>
    </row>
    <row r="35" spans="1:8" x14ac:dyDescent="0.25">
      <c r="A35" s="2" t="s">
        <v>110</v>
      </c>
      <c r="B35" s="3" t="s">
        <v>58</v>
      </c>
      <c r="C35" s="3" t="s">
        <v>111</v>
      </c>
      <c r="D35" s="91" t="s">
        <v>112</v>
      </c>
      <c r="E35" s="91"/>
      <c r="F35" s="3" t="s">
        <v>93</v>
      </c>
      <c r="G35" s="26">
        <v>8</v>
      </c>
      <c r="H35" s="59">
        <v>0</v>
      </c>
    </row>
    <row r="36" spans="1:8" x14ac:dyDescent="0.25">
      <c r="A36" s="36"/>
      <c r="D36" s="60" t="s">
        <v>574</v>
      </c>
      <c r="E36" s="130" t="s">
        <v>575</v>
      </c>
      <c r="F36" s="130"/>
      <c r="G36" s="61">
        <v>8</v>
      </c>
      <c r="H36" s="62"/>
    </row>
    <row r="37" spans="1:8" x14ac:dyDescent="0.25">
      <c r="A37" s="2" t="s">
        <v>113</v>
      </c>
      <c r="B37" s="3" t="s">
        <v>58</v>
      </c>
      <c r="C37" s="3" t="s">
        <v>114</v>
      </c>
      <c r="D37" s="91" t="s">
        <v>115</v>
      </c>
      <c r="E37" s="91"/>
      <c r="F37" s="3" t="s">
        <v>69</v>
      </c>
      <c r="G37" s="26">
        <v>288</v>
      </c>
      <c r="H37" s="59">
        <v>0</v>
      </c>
    </row>
    <row r="38" spans="1:8" x14ac:dyDescent="0.25">
      <c r="A38" s="36"/>
      <c r="D38" s="60" t="s">
        <v>576</v>
      </c>
      <c r="E38" s="130" t="s">
        <v>577</v>
      </c>
      <c r="F38" s="130"/>
      <c r="G38" s="61">
        <v>216</v>
      </c>
      <c r="H38" s="62"/>
    </row>
    <row r="39" spans="1:8" x14ac:dyDescent="0.25">
      <c r="A39" s="2" t="s">
        <v>50</v>
      </c>
      <c r="B39" s="3" t="s">
        <v>50</v>
      </c>
      <c r="C39" s="3" t="s">
        <v>50</v>
      </c>
      <c r="D39" s="60" t="s">
        <v>578</v>
      </c>
      <c r="E39" s="130" t="s">
        <v>579</v>
      </c>
      <c r="F39" s="130"/>
      <c r="G39" s="61">
        <v>72</v>
      </c>
      <c r="H39" s="28" t="s">
        <v>50</v>
      </c>
    </row>
    <row r="40" spans="1:8" x14ac:dyDescent="0.25">
      <c r="A40" s="2" t="s">
        <v>116</v>
      </c>
      <c r="B40" s="3" t="s">
        <v>58</v>
      </c>
      <c r="C40" s="3" t="s">
        <v>117</v>
      </c>
      <c r="D40" s="91" t="s">
        <v>118</v>
      </c>
      <c r="E40" s="91"/>
      <c r="F40" s="3" t="s">
        <v>69</v>
      </c>
      <c r="G40" s="26">
        <v>36</v>
      </c>
      <c r="H40" s="59">
        <v>0</v>
      </c>
    </row>
    <row r="41" spans="1:8" x14ac:dyDescent="0.25">
      <c r="A41" s="36"/>
      <c r="D41" s="60" t="s">
        <v>580</v>
      </c>
      <c r="E41" s="130" t="s">
        <v>577</v>
      </c>
      <c r="F41" s="130"/>
      <c r="G41" s="61">
        <v>24</v>
      </c>
      <c r="H41" s="62"/>
    </row>
    <row r="42" spans="1:8" x14ac:dyDescent="0.25">
      <c r="A42" s="2" t="s">
        <v>50</v>
      </c>
      <c r="B42" s="3" t="s">
        <v>50</v>
      </c>
      <c r="C42" s="3" t="s">
        <v>50</v>
      </c>
      <c r="D42" s="60" t="s">
        <v>581</v>
      </c>
      <c r="E42" s="130" t="s">
        <v>579</v>
      </c>
      <c r="F42" s="130"/>
      <c r="G42" s="61">
        <v>12</v>
      </c>
      <c r="H42" s="28" t="s">
        <v>50</v>
      </c>
    </row>
    <row r="43" spans="1:8" x14ac:dyDescent="0.25">
      <c r="A43" s="2" t="s">
        <v>119</v>
      </c>
      <c r="B43" s="3" t="s">
        <v>58</v>
      </c>
      <c r="C43" s="3" t="s">
        <v>117</v>
      </c>
      <c r="D43" s="91" t="s">
        <v>118</v>
      </c>
      <c r="E43" s="91"/>
      <c r="F43" s="3" t="s">
        <v>69</v>
      </c>
      <c r="G43" s="26">
        <v>286.8</v>
      </c>
      <c r="H43" s="59">
        <v>0</v>
      </c>
    </row>
    <row r="44" spans="1:8" x14ac:dyDescent="0.25">
      <c r="A44" s="36"/>
      <c r="D44" s="60" t="s">
        <v>582</v>
      </c>
      <c r="E44" s="130" t="s">
        <v>583</v>
      </c>
      <c r="F44" s="130"/>
      <c r="G44" s="61">
        <v>70</v>
      </c>
      <c r="H44" s="62"/>
    </row>
    <row r="45" spans="1:8" x14ac:dyDescent="0.25">
      <c r="A45" s="2" t="s">
        <v>50</v>
      </c>
      <c r="B45" s="3" t="s">
        <v>50</v>
      </c>
      <c r="C45" s="3" t="s">
        <v>50</v>
      </c>
      <c r="D45" s="60" t="s">
        <v>584</v>
      </c>
      <c r="E45" s="130" t="s">
        <v>585</v>
      </c>
      <c r="F45" s="130"/>
      <c r="G45" s="61">
        <v>140.80000000000001</v>
      </c>
      <c r="H45" s="28" t="s">
        <v>50</v>
      </c>
    </row>
    <row r="46" spans="1:8" x14ac:dyDescent="0.25">
      <c r="A46" s="2" t="s">
        <v>50</v>
      </c>
      <c r="B46" s="3" t="s">
        <v>50</v>
      </c>
      <c r="C46" s="3" t="s">
        <v>50</v>
      </c>
      <c r="D46" s="60" t="s">
        <v>586</v>
      </c>
      <c r="E46" s="130" t="s">
        <v>587</v>
      </c>
      <c r="F46" s="130"/>
      <c r="G46" s="61">
        <v>76</v>
      </c>
      <c r="H46" s="28" t="s">
        <v>50</v>
      </c>
    </row>
    <row r="47" spans="1:8" x14ac:dyDescent="0.25">
      <c r="A47" s="2" t="s">
        <v>120</v>
      </c>
      <c r="B47" s="3" t="s">
        <v>58</v>
      </c>
      <c r="C47" s="3" t="s">
        <v>121</v>
      </c>
      <c r="D47" s="91" t="s">
        <v>122</v>
      </c>
      <c r="E47" s="91"/>
      <c r="F47" s="3" t="s">
        <v>69</v>
      </c>
      <c r="G47" s="26">
        <v>72</v>
      </c>
      <c r="H47" s="59">
        <v>0</v>
      </c>
    </row>
    <row r="48" spans="1:8" x14ac:dyDescent="0.25">
      <c r="A48" s="36"/>
      <c r="D48" s="60" t="s">
        <v>588</v>
      </c>
      <c r="E48" s="130" t="s">
        <v>577</v>
      </c>
      <c r="F48" s="130"/>
      <c r="G48" s="61">
        <v>48</v>
      </c>
      <c r="H48" s="62"/>
    </row>
    <row r="49" spans="1:8" x14ac:dyDescent="0.25">
      <c r="A49" s="2" t="s">
        <v>50</v>
      </c>
      <c r="B49" s="3" t="s">
        <v>50</v>
      </c>
      <c r="C49" s="3" t="s">
        <v>50</v>
      </c>
      <c r="D49" s="60" t="s">
        <v>589</v>
      </c>
      <c r="E49" s="130" t="s">
        <v>579</v>
      </c>
      <c r="F49" s="130"/>
      <c r="G49" s="61">
        <v>24</v>
      </c>
      <c r="H49" s="28" t="s">
        <v>50</v>
      </c>
    </row>
    <row r="50" spans="1:8" x14ac:dyDescent="0.25">
      <c r="A50" s="2" t="s">
        <v>123</v>
      </c>
      <c r="B50" s="3" t="s">
        <v>58</v>
      </c>
      <c r="C50" s="3" t="s">
        <v>124</v>
      </c>
      <c r="D50" s="91" t="s">
        <v>125</v>
      </c>
      <c r="E50" s="91"/>
      <c r="F50" s="3" t="s">
        <v>69</v>
      </c>
      <c r="G50" s="26">
        <v>216</v>
      </c>
      <c r="H50" s="59">
        <v>0</v>
      </c>
    </row>
    <row r="51" spans="1:8" x14ac:dyDescent="0.25">
      <c r="A51" s="36"/>
      <c r="D51" s="60" t="s">
        <v>590</v>
      </c>
      <c r="E51" s="130" t="s">
        <v>577</v>
      </c>
      <c r="F51" s="130"/>
      <c r="G51" s="61">
        <v>168</v>
      </c>
      <c r="H51" s="62"/>
    </row>
    <row r="52" spans="1:8" x14ac:dyDescent="0.25">
      <c r="A52" s="2" t="s">
        <v>50</v>
      </c>
      <c r="B52" s="3" t="s">
        <v>50</v>
      </c>
      <c r="C52" s="3" t="s">
        <v>50</v>
      </c>
      <c r="D52" s="60" t="s">
        <v>591</v>
      </c>
      <c r="E52" s="130" t="s">
        <v>579</v>
      </c>
      <c r="F52" s="130"/>
      <c r="G52" s="61">
        <v>48</v>
      </c>
      <c r="H52" s="28" t="s">
        <v>50</v>
      </c>
    </row>
    <row r="53" spans="1:8" x14ac:dyDescent="0.25">
      <c r="A53" s="2" t="s">
        <v>126</v>
      </c>
      <c r="B53" s="3" t="s">
        <v>58</v>
      </c>
      <c r="C53" s="3" t="s">
        <v>127</v>
      </c>
      <c r="D53" s="91" t="s">
        <v>128</v>
      </c>
      <c r="E53" s="91"/>
      <c r="F53" s="3" t="s">
        <v>69</v>
      </c>
      <c r="G53" s="26">
        <v>36</v>
      </c>
      <c r="H53" s="59">
        <v>0</v>
      </c>
    </row>
    <row r="54" spans="1:8" x14ac:dyDescent="0.25">
      <c r="A54" s="36"/>
      <c r="D54" s="60" t="s">
        <v>580</v>
      </c>
      <c r="E54" s="130" t="s">
        <v>577</v>
      </c>
      <c r="F54" s="130"/>
      <c r="G54" s="61">
        <v>24</v>
      </c>
      <c r="H54" s="62"/>
    </row>
    <row r="55" spans="1:8" x14ac:dyDescent="0.25">
      <c r="A55" s="2" t="s">
        <v>50</v>
      </c>
      <c r="B55" s="3" t="s">
        <v>50</v>
      </c>
      <c r="C55" s="3" t="s">
        <v>50</v>
      </c>
      <c r="D55" s="60" t="s">
        <v>581</v>
      </c>
      <c r="E55" s="130" t="s">
        <v>579</v>
      </c>
      <c r="F55" s="130"/>
      <c r="G55" s="61">
        <v>12</v>
      </c>
      <c r="H55" s="28" t="s">
        <v>50</v>
      </c>
    </row>
    <row r="56" spans="1:8" x14ac:dyDescent="0.25">
      <c r="A56" s="2" t="s">
        <v>129</v>
      </c>
      <c r="B56" s="3" t="s">
        <v>58</v>
      </c>
      <c r="C56" s="3" t="s">
        <v>54</v>
      </c>
      <c r="D56" s="91" t="s">
        <v>130</v>
      </c>
      <c r="E56" s="91"/>
      <c r="F56" s="3" t="s">
        <v>93</v>
      </c>
      <c r="G56" s="26">
        <v>72</v>
      </c>
      <c r="H56" s="59">
        <v>0</v>
      </c>
    </row>
    <row r="57" spans="1:8" x14ac:dyDescent="0.25">
      <c r="A57" s="2" t="s">
        <v>131</v>
      </c>
      <c r="B57" s="3" t="s">
        <v>58</v>
      </c>
      <c r="C57" s="3" t="s">
        <v>132</v>
      </c>
      <c r="D57" s="91" t="s">
        <v>133</v>
      </c>
      <c r="E57" s="91"/>
      <c r="F57" s="3" t="s">
        <v>69</v>
      </c>
      <c r="G57" s="26">
        <v>216.8</v>
      </c>
      <c r="H57" s="59">
        <v>0</v>
      </c>
    </row>
    <row r="58" spans="1:8" x14ac:dyDescent="0.25">
      <c r="A58" s="36"/>
      <c r="D58" s="60" t="s">
        <v>584</v>
      </c>
      <c r="E58" s="130" t="s">
        <v>585</v>
      </c>
      <c r="F58" s="130"/>
      <c r="G58" s="61">
        <v>140.80000000000001</v>
      </c>
      <c r="H58" s="62"/>
    </row>
    <row r="59" spans="1:8" x14ac:dyDescent="0.25">
      <c r="A59" s="2" t="s">
        <v>50</v>
      </c>
      <c r="B59" s="3" t="s">
        <v>50</v>
      </c>
      <c r="C59" s="3" t="s">
        <v>50</v>
      </c>
      <c r="D59" s="60" t="s">
        <v>586</v>
      </c>
      <c r="E59" s="130" t="s">
        <v>587</v>
      </c>
      <c r="F59" s="130"/>
      <c r="G59" s="61">
        <v>76</v>
      </c>
      <c r="H59" s="28" t="s">
        <v>50</v>
      </c>
    </row>
    <row r="60" spans="1:8" x14ac:dyDescent="0.25">
      <c r="A60" s="2" t="s">
        <v>134</v>
      </c>
      <c r="B60" s="3" t="s">
        <v>58</v>
      </c>
      <c r="C60" s="3" t="s">
        <v>135</v>
      </c>
      <c r="D60" s="91" t="s">
        <v>136</v>
      </c>
      <c r="E60" s="91"/>
      <c r="F60" s="3" t="s">
        <v>69</v>
      </c>
      <c r="G60" s="26">
        <v>70</v>
      </c>
      <c r="H60" s="59">
        <v>0</v>
      </c>
    </row>
    <row r="61" spans="1:8" x14ac:dyDescent="0.25">
      <c r="A61" s="36"/>
      <c r="D61" s="60" t="s">
        <v>582</v>
      </c>
      <c r="E61" s="130" t="s">
        <v>583</v>
      </c>
      <c r="F61" s="130"/>
      <c r="G61" s="61">
        <v>70</v>
      </c>
      <c r="H61" s="62"/>
    </row>
    <row r="62" spans="1:8" x14ac:dyDescent="0.25">
      <c r="A62" s="2" t="s">
        <v>137</v>
      </c>
      <c r="B62" s="3" t="s">
        <v>58</v>
      </c>
      <c r="C62" s="3" t="s">
        <v>138</v>
      </c>
      <c r="D62" s="91" t="s">
        <v>139</v>
      </c>
      <c r="E62" s="91"/>
      <c r="F62" s="3" t="s">
        <v>93</v>
      </c>
      <c r="G62" s="26">
        <v>72</v>
      </c>
      <c r="H62" s="59">
        <v>0</v>
      </c>
    </row>
    <row r="63" spans="1:8" x14ac:dyDescent="0.25">
      <c r="A63" s="36"/>
      <c r="D63" s="60" t="s">
        <v>592</v>
      </c>
      <c r="E63" s="130" t="s">
        <v>593</v>
      </c>
      <c r="F63" s="130"/>
      <c r="G63" s="61">
        <v>72</v>
      </c>
      <c r="H63" s="62"/>
    </row>
    <row r="64" spans="1:8" x14ac:dyDescent="0.25">
      <c r="A64" s="2" t="s">
        <v>140</v>
      </c>
      <c r="B64" s="3" t="s">
        <v>58</v>
      </c>
      <c r="C64" s="3" t="s">
        <v>141</v>
      </c>
      <c r="D64" s="91" t="s">
        <v>142</v>
      </c>
      <c r="E64" s="91"/>
      <c r="F64" s="3" t="s">
        <v>93</v>
      </c>
      <c r="G64" s="26">
        <v>144</v>
      </c>
      <c r="H64" s="59">
        <v>0</v>
      </c>
    </row>
    <row r="65" spans="1:8" x14ac:dyDescent="0.25">
      <c r="A65" s="36"/>
      <c r="D65" s="60" t="s">
        <v>592</v>
      </c>
      <c r="E65" s="130" t="s">
        <v>594</v>
      </c>
      <c r="F65" s="130"/>
      <c r="G65" s="61">
        <v>72</v>
      </c>
      <c r="H65" s="62"/>
    </row>
    <row r="66" spans="1:8" x14ac:dyDescent="0.25">
      <c r="A66" s="2" t="s">
        <v>50</v>
      </c>
      <c r="B66" s="3" t="s">
        <v>50</v>
      </c>
      <c r="C66" s="3" t="s">
        <v>50</v>
      </c>
      <c r="D66" s="60" t="s">
        <v>215</v>
      </c>
      <c r="E66" s="130" t="s">
        <v>595</v>
      </c>
      <c r="F66" s="130"/>
      <c r="G66" s="61">
        <v>48</v>
      </c>
      <c r="H66" s="28" t="s">
        <v>50</v>
      </c>
    </row>
    <row r="67" spans="1:8" x14ac:dyDescent="0.25">
      <c r="A67" s="2" t="s">
        <v>50</v>
      </c>
      <c r="B67" s="3" t="s">
        <v>50</v>
      </c>
      <c r="C67" s="3" t="s">
        <v>50</v>
      </c>
      <c r="D67" s="60" t="s">
        <v>146</v>
      </c>
      <c r="E67" s="130" t="s">
        <v>596</v>
      </c>
      <c r="F67" s="130"/>
      <c r="G67" s="61">
        <v>24</v>
      </c>
      <c r="H67" s="28" t="s">
        <v>50</v>
      </c>
    </row>
    <row r="68" spans="1:8" x14ac:dyDescent="0.25">
      <c r="A68" s="2" t="s">
        <v>143</v>
      </c>
      <c r="B68" s="3" t="s">
        <v>58</v>
      </c>
      <c r="C68" s="3" t="s">
        <v>144</v>
      </c>
      <c r="D68" s="91" t="s">
        <v>145</v>
      </c>
      <c r="E68" s="91"/>
      <c r="F68" s="3" t="s">
        <v>93</v>
      </c>
      <c r="G68" s="26">
        <v>72</v>
      </c>
      <c r="H68" s="59">
        <v>0</v>
      </c>
    </row>
    <row r="69" spans="1:8" x14ac:dyDescent="0.25">
      <c r="A69" s="36"/>
      <c r="D69" s="60" t="s">
        <v>592</v>
      </c>
      <c r="E69" s="130" t="s">
        <v>597</v>
      </c>
      <c r="F69" s="130"/>
      <c r="G69" s="61">
        <v>72</v>
      </c>
      <c r="H69" s="62"/>
    </row>
    <row r="70" spans="1:8" x14ac:dyDescent="0.25">
      <c r="A70" s="2" t="s">
        <v>146</v>
      </c>
      <c r="B70" s="3" t="s">
        <v>58</v>
      </c>
      <c r="C70" s="3" t="s">
        <v>147</v>
      </c>
      <c r="D70" s="91" t="s">
        <v>148</v>
      </c>
      <c r="E70" s="91"/>
      <c r="F70" s="3" t="s">
        <v>69</v>
      </c>
      <c r="G70" s="26">
        <v>610.79999999999995</v>
      </c>
      <c r="H70" s="59">
        <v>0</v>
      </c>
    </row>
    <row r="71" spans="1:8" x14ac:dyDescent="0.25">
      <c r="A71" s="36"/>
      <c r="D71" s="60" t="s">
        <v>598</v>
      </c>
      <c r="E71" s="130" t="s">
        <v>599</v>
      </c>
      <c r="F71" s="130"/>
      <c r="G71" s="61">
        <v>324</v>
      </c>
      <c r="H71" s="62"/>
    </row>
    <row r="72" spans="1:8" x14ac:dyDescent="0.25">
      <c r="A72" s="2" t="s">
        <v>50</v>
      </c>
      <c r="B72" s="3" t="s">
        <v>50</v>
      </c>
      <c r="C72" s="3" t="s">
        <v>50</v>
      </c>
      <c r="D72" s="60" t="s">
        <v>600</v>
      </c>
      <c r="E72" s="130" t="s">
        <v>601</v>
      </c>
      <c r="F72" s="130"/>
      <c r="G72" s="61">
        <v>216.8</v>
      </c>
      <c r="H72" s="28" t="s">
        <v>50</v>
      </c>
    </row>
    <row r="73" spans="1:8" x14ac:dyDescent="0.25">
      <c r="A73" s="2" t="s">
        <v>50</v>
      </c>
      <c r="B73" s="3" t="s">
        <v>50</v>
      </c>
      <c r="C73" s="3" t="s">
        <v>50</v>
      </c>
      <c r="D73" s="60" t="s">
        <v>602</v>
      </c>
      <c r="E73" s="130" t="s">
        <v>603</v>
      </c>
      <c r="F73" s="130"/>
      <c r="G73" s="61">
        <v>70</v>
      </c>
      <c r="H73" s="28" t="s">
        <v>50</v>
      </c>
    </row>
    <row r="74" spans="1:8" x14ac:dyDescent="0.25">
      <c r="A74" s="2" t="s">
        <v>149</v>
      </c>
      <c r="B74" s="3" t="s">
        <v>58</v>
      </c>
      <c r="C74" s="3" t="s">
        <v>150</v>
      </c>
      <c r="D74" s="91" t="s">
        <v>151</v>
      </c>
      <c r="E74" s="91"/>
      <c r="F74" s="3" t="s">
        <v>102</v>
      </c>
      <c r="G74" s="26">
        <v>1.244</v>
      </c>
      <c r="H74" s="59">
        <v>0</v>
      </c>
    </row>
    <row r="75" spans="1:8" x14ac:dyDescent="0.25">
      <c r="A75" s="36"/>
      <c r="D75" s="60" t="s">
        <v>604</v>
      </c>
      <c r="E75" s="130" t="s">
        <v>50</v>
      </c>
      <c r="F75" s="130"/>
      <c r="G75" s="61">
        <v>1.244</v>
      </c>
      <c r="H75" s="62"/>
    </row>
    <row r="76" spans="1:8" x14ac:dyDescent="0.25">
      <c r="A76" s="2" t="s">
        <v>152</v>
      </c>
      <c r="B76" s="3" t="s">
        <v>58</v>
      </c>
      <c r="C76" s="3" t="s">
        <v>153</v>
      </c>
      <c r="D76" s="91" t="s">
        <v>154</v>
      </c>
      <c r="E76" s="91"/>
      <c r="F76" s="3" t="s">
        <v>102</v>
      </c>
      <c r="G76" s="26">
        <v>1.9153899999999999</v>
      </c>
      <c r="H76" s="59">
        <v>0</v>
      </c>
    </row>
    <row r="77" spans="1:8" x14ac:dyDescent="0.25">
      <c r="A77" s="63" t="s">
        <v>50</v>
      </c>
      <c r="B77" s="32" t="s">
        <v>50</v>
      </c>
      <c r="C77" s="32" t="s">
        <v>155</v>
      </c>
      <c r="D77" s="117" t="s">
        <v>156</v>
      </c>
      <c r="E77" s="117"/>
      <c r="F77" s="32" t="s">
        <v>50</v>
      </c>
      <c r="G77" s="11" t="s">
        <v>50</v>
      </c>
      <c r="H77" s="35" t="s">
        <v>50</v>
      </c>
    </row>
    <row r="78" spans="1:8" x14ac:dyDescent="0.25">
      <c r="A78" s="2" t="s">
        <v>157</v>
      </c>
      <c r="B78" s="3" t="s">
        <v>58</v>
      </c>
      <c r="C78" s="3" t="s">
        <v>158</v>
      </c>
      <c r="D78" s="91" t="s">
        <v>159</v>
      </c>
      <c r="E78" s="91"/>
      <c r="F78" s="3" t="s">
        <v>69</v>
      </c>
      <c r="G78" s="26">
        <v>4.5</v>
      </c>
      <c r="H78" s="59">
        <v>0</v>
      </c>
    </row>
    <row r="79" spans="1:8" x14ac:dyDescent="0.25">
      <c r="A79" s="36"/>
      <c r="D79" s="60" t="s">
        <v>605</v>
      </c>
      <c r="E79" s="130" t="s">
        <v>606</v>
      </c>
      <c r="F79" s="130"/>
      <c r="G79" s="61">
        <v>4.5</v>
      </c>
      <c r="H79" s="62"/>
    </row>
    <row r="80" spans="1:8" x14ac:dyDescent="0.25">
      <c r="A80" s="2" t="s">
        <v>161</v>
      </c>
      <c r="B80" s="3" t="s">
        <v>58</v>
      </c>
      <c r="C80" s="3" t="s">
        <v>162</v>
      </c>
      <c r="D80" s="91" t="s">
        <v>163</v>
      </c>
      <c r="E80" s="91"/>
      <c r="F80" s="3" t="s">
        <v>69</v>
      </c>
      <c r="G80" s="26">
        <v>693.6</v>
      </c>
      <c r="H80" s="59">
        <v>0</v>
      </c>
    </row>
    <row r="81" spans="1:8" x14ac:dyDescent="0.25">
      <c r="A81" s="36"/>
      <c r="D81" s="60" t="s">
        <v>607</v>
      </c>
      <c r="E81" s="130" t="s">
        <v>577</v>
      </c>
      <c r="F81" s="130"/>
      <c r="G81" s="61">
        <v>499.2</v>
      </c>
      <c r="H81" s="62"/>
    </row>
    <row r="82" spans="1:8" x14ac:dyDescent="0.25">
      <c r="A82" s="2" t="s">
        <v>50</v>
      </c>
      <c r="B82" s="3" t="s">
        <v>50</v>
      </c>
      <c r="C82" s="3" t="s">
        <v>50</v>
      </c>
      <c r="D82" s="60" t="s">
        <v>608</v>
      </c>
      <c r="E82" s="130" t="s">
        <v>579</v>
      </c>
      <c r="F82" s="130"/>
      <c r="G82" s="61">
        <v>194.4</v>
      </c>
      <c r="H82" s="28" t="s">
        <v>50</v>
      </c>
    </row>
    <row r="83" spans="1:8" x14ac:dyDescent="0.25">
      <c r="A83" s="2" t="s">
        <v>164</v>
      </c>
      <c r="B83" s="3" t="s">
        <v>58</v>
      </c>
      <c r="C83" s="3" t="s">
        <v>162</v>
      </c>
      <c r="D83" s="91" t="s">
        <v>163</v>
      </c>
      <c r="E83" s="91"/>
      <c r="F83" s="3" t="s">
        <v>69</v>
      </c>
      <c r="G83" s="26">
        <v>1075.4000000000001</v>
      </c>
      <c r="H83" s="59">
        <v>0</v>
      </c>
    </row>
    <row r="84" spans="1:8" x14ac:dyDescent="0.25">
      <c r="A84" s="36"/>
      <c r="D84" s="60" t="s">
        <v>609</v>
      </c>
      <c r="E84" s="130" t="s">
        <v>610</v>
      </c>
      <c r="F84" s="130"/>
      <c r="G84" s="61">
        <v>649.6</v>
      </c>
      <c r="H84" s="62"/>
    </row>
    <row r="85" spans="1:8" x14ac:dyDescent="0.25">
      <c r="A85" s="2" t="s">
        <v>50</v>
      </c>
      <c r="B85" s="3" t="s">
        <v>50</v>
      </c>
      <c r="C85" s="3" t="s">
        <v>50</v>
      </c>
      <c r="D85" s="60" t="s">
        <v>611</v>
      </c>
      <c r="E85" s="130" t="s">
        <v>612</v>
      </c>
      <c r="F85" s="130"/>
      <c r="G85" s="61">
        <v>131.6</v>
      </c>
      <c r="H85" s="28" t="s">
        <v>50</v>
      </c>
    </row>
    <row r="86" spans="1:8" x14ac:dyDescent="0.25">
      <c r="A86" s="2" t="s">
        <v>50</v>
      </c>
      <c r="B86" s="3" t="s">
        <v>50</v>
      </c>
      <c r="C86" s="3" t="s">
        <v>50</v>
      </c>
      <c r="D86" s="60" t="s">
        <v>613</v>
      </c>
      <c r="E86" s="130" t="s">
        <v>614</v>
      </c>
      <c r="F86" s="130"/>
      <c r="G86" s="61">
        <v>214.2</v>
      </c>
      <c r="H86" s="28" t="s">
        <v>50</v>
      </c>
    </row>
    <row r="87" spans="1:8" x14ac:dyDescent="0.25">
      <c r="A87" s="2" t="s">
        <v>50</v>
      </c>
      <c r="B87" s="3" t="s">
        <v>50</v>
      </c>
      <c r="C87" s="3" t="s">
        <v>50</v>
      </c>
      <c r="D87" s="60" t="s">
        <v>615</v>
      </c>
      <c r="E87" s="130" t="s">
        <v>616</v>
      </c>
      <c r="F87" s="130"/>
      <c r="G87" s="61">
        <v>32</v>
      </c>
      <c r="H87" s="28" t="s">
        <v>50</v>
      </c>
    </row>
    <row r="88" spans="1:8" x14ac:dyDescent="0.25">
      <c r="A88" s="2" t="s">
        <v>50</v>
      </c>
      <c r="B88" s="3" t="s">
        <v>50</v>
      </c>
      <c r="C88" s="3" t="s">
        <v>50</v>
      </c>
      <c r="D88" s="60" t="s">
        <v>617</v>
      </c>
      <c r="E88" s="130" t="s">
        <v>618</v>
      </c>
      <c r="F88" s="130"/>
      <c r="G88" s="61">
        <v>48</v>
      </c>
      <c r="H88" s="28" t="s">
        <v>50</v>
      </c>
    </row>
    <row r="89" spans="1:8" x14ac:dyDescent="0.25">
      <c r="A89" s="2" t="s">
        <v>165</v>
      </c>
      <c r="B89" s="3" t="s">
        <v>58</v>
      </c>
      <c r="C89" s="3" t="s">
        <v>166</v>
      </c>
      <c r="D89" s="91" t="s">
        <v>167</v>
      </c>
      <c r="E89" s="91"/>
      <c r="F89" s="3" t="s">
        <v>69</v>
      </c>
      <c r="G89" s="26">
        <v>96.5</v>
      </c>
      <c r="H89" s="59">
        <v>0</v>
      </c>
    </row>
    <row r="90" spans="1:8" x14ac:dyDescent="0.25">
      <c r="A90" s="36"/>
      <c r="D90" s="60" t="s">
        <v>619</v>
      </c>
      <c r="E90" s="130" t="s">
        <v>620</v>
      </c>
      <c r="F90" s="130"/>
      <c r="G90" s="61">
        <v>49.5</v>
      </c>
      <c r="H90" s="62"/>
    </row>
    <row r="91" spans="1:8" x14ac:dyDescent="0.25">
      <c r="A91" s="2" t="s">
        <v>50</v>
      </c>
      <c r="B91" s="3" t="s">
        <v>50</v>
      </c>
      <c r="C91" s="3" t="s">
        <v>50</v>
      </c>
      <c r="D91" s="60" t="s">
        <v>621</v>
      </c>
      <c r="E91" s="130" t="s">
        <v>622</v>
      </c>
      <c r="F91" s="130"/>
      <c r="G91" s="61">
        <v>47</v>
      </c>
      <c r="H91" s="28" t="s">
        <v>50</v>
      </c>
    </row>
    <row r="92" spans="1:8" x14ac:dyDescent="0.25">
      <c r="A92" s="2" t="s">
        <v>168</v>
      </c>
      <c r="B92" s="3" t="s">
        <v>58</v>
      </c>
      <c r="C92" s="3" t="s">
        <v>169</v>
      </c>
      <c r="D92" s="91" t="s">
        <v>170</v>
      </c>
      <c r="E92" s="91"/>
      <c r="F92" s="3" t="s">
        <v>93</v>
      </c>
      <c r="G92" s="26">
        <v>151</v>
      </c>
      <c r="H92" s="59">
        <v>0</v>
      </c>
    </row>
    <row r="93" spans="1:8" x14ac:dyDescent="0.25">
      <c r="A93" s="36"/>
      <c r="D93" s="60" t="s">
        <v>623</v>
      </c>
      <c r="E93" s="130" t="s">
        <v>624</v>
      </c>
      <c r="F93" s="130"/>
      <c r="G93" s="61">
        <v>7</v>
      </c>
      <c r="H93" s="62"/>
    </row>
    <row r="94" spans="1:8" x14ac:dyDescent="0.25">
      <c r="A94" s="2" t="s">
        <v>50</v>
      </c>
      <c r="B94" s="3" t="s">
        <v>50</v>
      </c>
      <c r="C94" s="3" t="s">
        <v>50</v>
      </c>
      <c r="D94" s="60" t="s">
        <v>625</v>
      </c>
      <c r="E94" s="130" t="s">
        <v>626</v>
      </c>
      <c r="F94" s="130"/>
      <c r="G94" s="61">
        <v>144</v>
      </c>
      <c r="H94" s="28" t="s">
        <v>50</v>
      </c>
    </row>
    <row r="95" spans="1:8" x14ac:dyDescent="0.25">
      <c r="A95" s="2" t="s">
        <v>171</v>
      </c>
      <c r="B95" s="3" t="s">
        <v>58</v>
      </c>
      <c r="C95" s="3" t="s">
        <v>172</v>
      </c>
      <c r="D95" s="91" t="s">
        <v>173</v>
      </c>
      <c r="E95" s="91"/>
      <c r="F95" s="3" t="s">
        <v>93</v>
      </c>
      <c r="G95" s="26">
        <v>12</v>
      </c>
      <c r="H95" s="59">
        <v>0</v>
      </c>
    </row>
    <row r="96" spans="1:8" x14ac:dyDescent="0.25">
      <c r="A96" s="36"/>
      <c r="D96" s="60" t="s">
        <v>627</v>
      </c>
      <c r="E96" s="130" t="s">
        <v>628</v>
      </c>
      <c r="F96" s="130"/>
      <c r="G96" s="61">
        <v>12</v>
      </c>
      <c r="H96" s="62"/>
    </row>
    <row r="97" spans="1:8" x14ac:dyDescent="0.25">
      <c r="A97" s="2" t="s">
        <v>174</v>
      </c>
      <c r="B97" s="3" t="s">
        <v>58</v>
      </c>
      <c r="C97" s="3" t="s">
        <v>175</v>
      </c>
      <c r="D97" s="91" t="s">
        <v>176</v>
      </c>
      <c r="E97" s="91"/>
      <c r="F97" s="3" t="s">
        <v>93</v>
      </c>
      <c r="G97" s="26">
        <v>1</v>
      </c>
      <c r="H97" s="59">
        <v>0</v>
      </c>
    </row>
    <row r="98" spans="1:8" x14ac:dyDescent="0.25">
      <c r="A98" s="36"/>
      <c r="D98" s="60" t="s">
        <v>53</v>
      </c>
      <c r="E98" s="130" t="s">
        <v>629</v>
      </c>
      <c r="F98" s="130"/>
      <c r="G98" s="61">
        <v>1</v>
      </c>
      <c r="H98" s="62"/>
    </row>
    <row r="99" spans="1:8" x14ac:dyDescent="0.25">
      <c r="A99" s="2" t="s">
        <v>51</v>
      </c>
      <c r="B99" s="3" t="s">
        <v>58</v>
      </c>
      <c r="C99" s="3" t="s">
        <v>177</v>
      </c>
      <c r="D99" s="91" t="s">
        <v>178</v>
      </c>
      <c r="E99" s="91"/>
      <c r="F99" s="3" t="s">
        <v>93</v>
      </c>
      <c r="G99" s="26">
        <v>6</v>
      </c>
      <c r="H99" s="59">
        <v>0</v>
      </c>
    </row>
    <row r="100" spans="1:8" x14ac:dyDescent="0.25">
      <c r="A100" s="2" t="s">
        <v>179</v>
      </c>
      <c r="B100" s="3" t="s">
        <v>58</v>
      </c>
      <c r="C100" s="3" t="s">
        <v>180</v>
      </c>
      <c r="D100" s="91" t="s">
        <v>181</v>
      </c>
      <c r="E100" s="91"/>
      <c r="F100" s="3" t="s">
        <v>93</v>
      </c>
      <c r="G100" s="26">
        <v>6</v>
      </c>
      <c r="H100" s="59">
        <v>0</v>
      </c>
    </row>
    <row r="101" spans="1:8" x14ac:dyDescent="0.25">
      <c r="A101" s="2" t="s">
        <v>182</v>
      </c>
      <c r="B101" s="3" t="s">
        <v>58</v>
      </c>
      <c r="C101" s="3" t="s">
        <v>183</v>
      </c>
      <c r="D101" s="91" t="s">
        <v>184</v>
      </c>
      <c r="E101" s="91"/>
      <c r="F101" s="3" t="s">
        <v>69</v>
      </c>
      <c r="G101" s="26">
        <v>376.8</v>
      </c>
      <c r="H101" s="59">
        <v>0</v>
      </c>
    </row>
    <row r="102" spans="1:8" x14ac:dyDescent="0.25">
      <c r="A102" s="36"/>
      <c r="D102" s="60" t="s">
        <v>630</v>
      </c>
      <c r="E102" s="130" t="s">
        <v>577</v>
      </c>
      <c r="F102" s="130"/>
      <c r="G102" s="61">
        <v>268.8</v>
      </c>
      <c r="H102" s="62"/>
    </row>
    <row r="103" spans="1:8" x14ac:dyDescent="0.25">
      <c r="A103" s="2" t="s">
        <v>50</v>
      </c>
      <c r="B103" s="3" t="s">
        <v>50</v>
      </c>
      <c r="C103" s="3" t="s">
        <v>50</v>
      </c>
      <c r="D103" s="60" t="s">
        <v>631</v>
      </c>
      <c r="E103" s="130" t="s">
        <v>579</v>
      </c>
      <c r="F103" s="130"/>
      <c r="G103" s="61">
        <v>108</v>
      </c>
      <c r="H103" s="28" t="s">
        <v>50</v>
      </c>
    </row>
    <row r="104" spans="1:8" x14ac:dyDescent="0.25">
      <c r="A104" s="2" t="s">
        <v>185</v>
      </c>
      <c r="B104" s="3" t="s">
        <v>58</v>
      </c>
      <c r="C104" s="3" t="s">
        <v>186</v>
      </c>
      <c r="D104" s="91" t="s">
        <v>187</v>
      </c>
      <c r="E104" s="91"/>
      <c r="F104" s="3" t="s">
        <v>69</v>
      </c>
      <c r="G104" s="26">
        <v>30.12</v>
      </c>
      <c r="H104" s="59">
        <v>0</v>
      </c>
    </row>
    <row r="105" spans="1:8" x14ac:dyDescent="0.25">
      <c r="A105" s="2" t="s">
        <v>188</v>
      </c>
      <c r="B105" s="3" t="s">
        <v>58</v>
      </c>
      <c r="C105" s="3" t="s">
        <v>189</v>
      </c>
      <c r="D105" s="91" t="s">
        <v>190</v>
      </c>
      <c r="E105" s="91"/>
      <c r="F105" s="3" t="s">
        <v>69</v>
      </c>
      <c r="G105" s="26">
        <v>33.6</v>
      </c>
      <c r="H105" s="59">
        <v>0</v>
      </c>
    </row>
    <row r="106" spans="1:8" x14ac:dyDescent="0.25">
      <c r="A106" s="2" t="s">
        <v>191</v>
      </c>
      <c r="B106" s="3" t="s">
        <v>58</v>
      </c>
      <c r="C106" s="3" t="s">
        <v>192</v>
      </c>
      <c r="D106" s="91" t="s">
        <v>193</v>
      </c>
      <c r="E106" s="91"/>
      <c r="F106" s="3" t="s">
        <v>69</v>
      </c>
      <c r="G106" s="26">
        <v>33.6</v>
      </c>
      <c r="H106" s="59">
        <v>0</v>
      </c>
    </row>
    <row r="107" spans="1:8" x14ac:dyDescent="0.25">
      <c r="A107" s="2" t="s">
        <v>194</v>
      </c>
      <c r="B107" s="3" t="s">
        <v>58</v>
      </c>
      <c r="C107" s="3" t="s">
        <v>195</v>
      </c>
      <c r="D107" s="91" t="s">
        <v>196</v>
      </c>
      <c r="E107" s="91"/>
      <c r="F107" s="3" t="s">
        <v>69</v>
      </c>
      <c r="G107" s="26">
        <v>144.69999999999999</v>
      </c>
      <c r="H107" s="59">
        <v>0</v>
      </c>
    </row>
    <row r="108" spans="1:8" x14ac:dyDescent="0.25">
      <c r="A108" s="2" t="s">
        <v>71</v>
      </c>
      <c r="B108" s="3" t="s">
        <v>58</v>
      </c>
      <c r="C108" s="3" t="s">
        <v>197</v>
      </c>
      <c r="D108" s="91" t="s">
        <v>198</v>
      </c>
      <c r="E108" s="91"/>
      <c r="F108" s="3" t="s">
        <v>69</v>
      </c>
      <c r="G108" s="26">
        <v>17.2</v>
      </c>
      <c r="H108" s="59">
        <v>0</v>
      </c>
    </row>
    <row r="109" spans="1:8" x14ac:dyDescent="0.25">
      <c r="A109" s="2" t="s">
        <v>199</v>
      </c>
      <c r="B109" s="3" t="s">
        <v>58</v>
      </c>
      <c r="C109" s="3" t="s">
        <v>200</v>
      </c>
      <c r="D109" s="91" t="s">
        <v>201</v>
      </c>
      <c r="E109" s="91"/>
      <c r="F109" s="3" t="s">
        <v>69</v>
      </c>
      <c r="G109" s="26">
        <v>11.4</v>
      </c>
      <c r="H109" s="59">
        <v>0</v>
      </c>
    </row>
    <row r="110" spans="1:8" x14ac:dyDescent="0.25">
      <c r="A110" s="2" t="s">
        <v>202</v>
      </c>
      <c r="B110" s="3" t="s">
        <v>58</v>
      </c>
      <c r="C110" s="3" t="s">
        <v>203</v>
      </c>
      <c r="D110" s="91" t="s">
        <v>204</v>
      </c>
      <c r="E110" s="91"/>
      <c r="F110" s="3" t="s">
        <v>93</v>
      </c>
      <c r="G110" s="26">
        <v>7</v>
      </c>
      <c r="H110" s="59">
        <v>0</v>
      </c>
    </row>
    <row r="111" spans="1:8" x14ac:dyDescent="0.25">
      <c r="A111" s="2" t="s">
        <v>205</v>
      </c>
      <c r="B111" s="3" t="s">
        <v>58</v>
      </c>
      <c r="C111" s="3" t="s">
        <v>206</v>
      </c>
      <c r="D111" s="91" t="s">
        <v>207</v>
      </c>
      <c r="E111" s="91"/>
      <c r="F111" s="3" t="s">
        <v>93</v>
      </c>
      <c r="G111" s="26">
        <v>12</v>
      </c>
      <c r="H111" s="59">
        <v>0</v>
      </c>
    </row>
    <row r="112" spans="1:8" x14ac:dyDescent="0.25">
      <c r="A112" s="2" t="s">
        <v>208</v>
      </c>
      <c r="B112" s="3" t="s">
        <v>58</v>
      </c>
      <c r="C112" s="3" t="s">
        <v>209</v>
      </c>
      <c r="D112" s="91" t="s">
        <v>210</v>
      </c>
      <c r="E112" s="91"/>
      <c r="F112" s="3" t="s">
        <v>93</v>
      </c>
      <c r="G112" s="26">
        <v>1</v>
      </c>
      <c r="H112" s="59">
        <v>0</v>
      </c>
    </row>
    <row r="113" spans="1:8" x14ac:dyDescent="0.25">
      <c r="A113" s="2" t="s">
        <v>211</v>
      </c>
      <c r="B113" s="3" t="s">
        <v>58</v>
      </c>
      <c r="C113" s="3" t="s">
        <v>212</v>
      </c>
      <c r="D113" s="91" t="s">
        <v>213</v>
      </c>
      <c r="E113" s="91"/>
      <c r="F113" s="3" t="s">
        <v>69</v>
      </c>
      <c r="G113" s="26">
        <v>316.8</v>
      </c>
      <c r="H113" s="59">
        <v>0</v>
      </c>
    </row>
    <row r="114" spans="1:8" x14ac:dyDescent="0.25">
      <c r="A114" s="36"/>
      <c r="D114" s="60" t="s">
        <v>632</v>
      </c>
      <c r="E114" s="130" t="s">
        <v>577</v>
      </c>
      <c r="F114" s="130"/>
      <c r="G114" s="61">
        <v>230.4</v>
      </c>
      <c r="H114" s="62"/>
    </row>
    <row r="115" spans="1:8" x14ac:dyDescent="0.25">
      <c r="A115" s="2" t="s">
        <v>50</v>
      </c>
      <c r="B115" s="3" t="s">
        <v>50</v>
      </c>
      <c r="C115" s="3" t="s">
        <v>50</v>
      </c>
      <c r="D115" s="60" t="s">
        <v>633</v>
      </c>
      <c r="E115" s="130" t="s">
        <v>579</v>
      </c>
      <c r="F115" s="130"/>
      <c r="G115" s="61">
        <v>86.4</v>
      </c>
      <c r="H115" s="28" t="s">
        <v>50</v>
      </c>
    </row>
    <row r="116" spans="1:8" x14ac:dyDescent="0.25">
      <c r="A116" s="2" t="s">
        <v>214</v>
      </c>
      <c r="B116" s="3" t="s">
        <v>58</v>
      </c>
      <c r="C116" s="3" t="s">
        <v>212</v>
      </c>
      <c r="D116" s="91" t="s">
        <v>213</v>
      </c>
      <c r="E116" s="91"/>
      <c r="F116" s="3" t="s">
        <v>69</v>
      </c>
      <c r="G116" s="26">
        <v>249.3</v>
      </c>
      <c r="H116" s="59">
        <v>0</v>
      </c>
    </row>
    <row r="117" spans="1:8" x14ac:dyDescent="0.25">
      <c r="A117" s="2" t="s">
        <v>215</v>
      </c>
      <c r="B117" s="3" t="s">
        <v>58</v>
      </c>
      <c r="C117" s="3" t="s">
        <v>216</v>
      </c>
      <c r="D117" s="91" t="s">
        <v>217</v>
      </c>
      <c r="E117" s="91"/>
      <c r="F117" s="3" t="s">
        <v>69</v>
      </c>
      <c r="G117" s="26">
        <v>30.12</v>
      </c>
      <c r="H117" s="59">
        <v>0</v>
      </c>
    </row>
    <row r="118" spans="1:8" x14ac:dyDescent="0.25">
      <c r="A118" s="2" t="s">
        <v>218</v>
      </c>
      <c r="B118" s="3" t="s">
        <v>58</v>
      </c>
      <c r="C118" s="3" t="s">
        <v>219</v>
      </c>
      <c r="D118" s="91" t="s">
        <v>220</v>
      </c>
      <c r="E118" s="91"/>
      <c r="F118" s="3" t="s">
        <v>69</v>
      </c>
      <c r="G118" s="26">
        <v>33.6</v>
      </c>
      <c r="H118" s="59">
        <v>0</v>
      </c>
    </row>
    <row r="119" spans="1:8" x14ac:dyDescent="0.25">
      <c r="A119" s="2" t="s">
        <v>221</v>
      </c>
      <c r="B119" s="3" t="s">
        <v>58</v>
      </c>
      <c r="C119" s="3" t="s">
        <v>222</v>
      </c>
      <c r="D119" s="91" t="s">
        <v>223</v>
      </c>
      <c r="E119" s="91"/>
      <c r="F119" s="3" t="s">
        <v>69</v>
      </c>
      <c r="G119" s="26">
        <v>33.6</v>
      </c>
      <c r="H119" s="59">
        <v>0</v>
      </c>
    </row>
    <row r="120" spans="1:8" x14ac:dyDescent="0.25">
      <c r="A120" s="2" t="s">
        <v>224</v>
      </c>
      <c r="B120" s="3" t="s">
        <v>58</v>
      </c>
      <c r="C120" s="3" t="s">
        <v>225</v>
      </c>
      <c r="D120" s="91" t="s">
        <v>226</v>
      </c>
      <c r="E120" s="91"/>
      <c r="F120" s="3" t="s">
        <v>69</v>
      </c>
      <c r="G120" s="26">
        <v>146.19999999999999</v>
      </c>
      <c r="H120" s="59">
        <v>0</v>
      </c>
    </row>
    <row r="121" spans="1:8" x14ac:dyDescent="0.25">
      <c r="A121" s="2" t="s">
        <v>227</v>
      </c>
      <c r="B121" s="3" t="s">
        <v>58</v>
      </c>
      <c r="C121" s="3" t="s">
        <v>228</v>
      </c>
      <c r="D121" s="91" t="s">
        <v>229</v>
      </c>
      <c r="E121" s="91"/>
      <c r="F121" s="3" t="s">
        <v>69</v>
      </c>
      <c r="G121" s="26">
        <v>17.899999999999999</v>
      </c>
      <c r="H121" s="59">
        <v>0</v>
      </c>
    </row>
    <row r="122" spans="1:8" x14ac:dyDescent="0.25">
      <c r="A122" s="2" t="s">
        <v>230</v>
      </c>
      <c r="B122" s="3" t="s">
        <v>58</v>
      </c>
      <c r="C122" s="3" t="s">
        <v>231</v>
      </c>
      <c r="D122" s="91" t="s">
        <v>232</v>
      </c>
      <c r="E122" s="91"/>
      <c r="F122" s="3" t="s">
        <v>69</v>
      </c>
      <c r="G122" s="26">
        <v>376.8</v>
      </c>
      <c r="H122" s="59">
        <v>0</v>
      </c>
    </row>
    <row r="123" spans="1:8" x14ac:dyDescent="0.25">
      <c r="A123" s="36"/>
      <c r="D123" s="60" t="s">
        <v>630</v>
      </c>
      <c r="E123" s="130" t="s">
        <v>577</v>
      </c>
      <c r="F123" s="130"/>
      <c r="G123" s="61">
        <v>268.8</v>
      </c>
      <c r="H123" s="62"/>
    </row>
    <row r="124" spans="1:8" x14ac:dyDescent="0.25">
      <c r="A124" s="2" t="s">
        <v>50</v>
      </c>
      <c r="B124" s="3" t="s">
        <v>50</v>
      </c>
      <c r="C124" s="3" t="s">
        <v>50</v>
      </c>
      <c r="D124" s="60" t="s">
        <v>631</v>
      </c>
      <c r="E124" s="130" t="s">
        <v>579</v>
      </c>
      <c r="F124" s="130"/>
      <c r="G124" s="61">
        <v>108</v>
      </c>
      <c r="H124" s="28" t="s">
        <v>50</v>
      </c>
    </row>
    <row r="125" spans="1:8" x14ac:dyDescent="0.25">
      <c r="A125" s="2" t="s">
        <v>235</v>
      </c>
      <c r="B125" s="3" t="s">
        <v>58</v>
      </c>
      <c r="C125" s="3" t="s">
        <v>236</v>
      </c>
      <c r="D125" s="91" t="s">
        <v>232</v>
      </c>
      <c r="E125" s="91"/>
      <c r="F125" s="3" t="s">
        <v>69</v>
      </c>
      <c r="G125" s="26">
        <v>4.2</v>
      </c>
      <c r="H125" s="59">
        <v>0</v>
      </c>
    </row>
    <row r="126" spans="1:8" x14ac:dyDescent="0.25">
      <c r="A126" s="36"/>
      <c r="D126" s="60" t="s">
        <v>634</v>
      </c>
      <c r="E126" s="130" t="s">
        <v>635</v>
      </c>
      <c r="F126" s="130"/>
      <c r="G126" s="61">
        <v>4.2</v>
      </c>
      <c r="H126" s="62"/>
    </row>
    <row r="127" spans="1:8" x14ac:dyDescent="0.25">
      <c r="A127" s="2" t="s">
        <v>238</v>
      </c>
      <c r="B127" s="3" t="s">
        <v>58</v>
      </c>
      <c r="C127" s="3" t="s">
        <v>239</v>
      </c>
      <c r="D127" s="91" t="s">
        <v>232</v>
      </c>
      <c r="E127" s="91"/>
      <c r="F127" s="3" t="s">
        <v>69</v>
      </c>
      <c r="G127" s="26">
        <v>11.3</v>
      </c>
      <c r="H127" s="59">
        <v>0</v>
      </c>
    </row>
    <row r="128" spans="1:8" x14ac:dyDescent="0.25">
      <c r="A128" s="2" t="s">
        <v>241</v>
      </c>
      <c r="B128" s="3" t="s">
        <v>58</v>
      </c>
      <c r="C128" s="3" t="s">
        <v>242</v>
      </c>
      <c r="D128" s="91" t="s">
        <v>243</v>
      </c>
      <c r="E128" s="91"/>
      <c r="F128" s="3" t="s">
        <v>69</v>
      </c>
      <c r="G128" s="26">
        <v>30.12</v>
      </c>
      <c r="H128" s="59">
        <v>0</v>
      </c>
    </row>
    <row r="129" spans="1:8" x14ac:dyDescent="0.25">
      <c r="A129" s="2" t="s">
        <v>245</v>
      </c>
      <c r="B129" s="3" t="s">
        <v>58</v>
      </c>
      <c r="C129" s="3" t="s">
        <v>246</v>
      </c>
      <c r="D129" s="91" t="s">
        <v>243</v>
      </c>
      <c r="E129" s="91"/>
      <c r="F129" s="3" t="s">
        <v>69</v>
      </c>
      <c r="G129" s="26">
        <v>33.6</v>
      </c>
      <c r="H129" s="59">
        <v>0</v>
      </c>
    </row>
    <row r="130" spans="1:8" x14ac:dyDescent="0.25">
      <c r="A130" s="2" t="s">
        <v>248</v>
      </c>
      <c r="B130" s="3" t="s">
        <v>58</v>
      </c>
      <c r="C130" s="3" t="s">
        <v>249</v>
      </c>
      <c r="D130" s="91" t="s">
        <v>243</v>
      </c>
      <c r="E130" s="91"/>
      <c r="F130" s="3" t="s">
        <v>69</v>
      </c>
      <c r="G130" s="26">
        <v>33.6</v>
      </c>
      <c r="H130" s="59">
        <v>0</v>
      </c>
    </row>
    <row r="131" spans="1:8" x14ac:dyDescent="0.25">
      <c r="A131" s="2" t="s">
        <v>251</v>
      </c>
      <c r="B131" s="3" t="s">
        <v>58</v>
      </c>
      <c r="C131" s="3" t="s">
        <v>252</v>
      </c>
      <c r="D131" s="91" t="s">
        <v>243</v>
      </c>
      <c r="E131" s="91"/>
      <c r="F131" s="3" t="s">
        <v>69</v>
      </c>
      <c r="G131" s="26">
        <v>144.69999999999999</v>
      </c>
      <c r="H131" s="59">
        <v>0</v>
      </c>
    </row>
    <row r="132" spans="1:8" x14ac:dyDescent="0.25">
      <c r="A132" s="2" t="s">
        <v>78</v>
      </c>
      <c r="B132" s="3" t="s">
        <v>58</v>
      </c>
      <c r="C132" s="3" t="s">
        <v>254</v>
      </c>
      <c r="D132" s="91" t="s">
        <v>243</v>
      </c>
      <c r="E132" s="91"/>
      <c r="F132" s="3" t="s">
        <v>69</v>
      </c>
      <c r="G132" s="26">
        <v>13</v>
      </c>
      <c r="H132" s="59">
        <v>0</v>
      </c>
    </row>
    <row r="133" spans="1:8" x14ac:dyDescent="0.25">
      <c r="A133" s="2" t="s">
        <v>255</v>
      </c>
      <c r="B133" s="3" t="s">
        <v>58</v>
      </c>
      <c r="C133" s="3" t="s">
        <v>256</v>
      </c>
      <c r="D133" s="91" t="s">
        <v>257</v>
      </c>
      <c r="E133" s="91"/>
      <c r="F133" s="3" t="s">
        <v>69</v>
      </c>
      <c r="G133" s="26">
        <v>316.8</v>
      </c>
      <c r="H133" s="59">
        <v>0</v>
      </c>
    </row>
    <row r="134" spans="1:8" x14ac:dyDescent="0.25">
      <c r="A134" s="36"/>
      <c r="D134" s="60" t="s">
        <v>632</v>
      </c>
      <c r="E134" s="130" t="s">
        <v>577</v>
      </c>
      <c r="F134" s="130"/>
      <c r="G134" s="61">
        <v>230.4</v>
      </c>
      <c r="H134" s="62"/>
    </row>
    <row r="135" spans="1:8" x14ac:dyDescent="0.25">
      <c r="A135" s="2" t="s">
        <v>50</v>
      </c>
      <c r="B135" s="3" t="s">
        <v>50</v>
      </c>
      <c r="C135" s="3" t="s">
        <v>50</v>
      </c>
      <c r="D135" s="60" t="s">
        <v>633</v>
      </c>
      <c r="E135" s="130" t="s">
        <v>579</v>
      </c>
      <c r="F135" s="130"/>
      <c r="G135" s="61">
        <v>86.4</v>
      </c>
      <c r="H135" s="28" t="s">
        <v>50</v>
      </c>
    </row>
    <row r="136" spans="1:8" x14ac:dyDescent="0.25">
      <c r="A136" s="2" t="s">
        <v>258</v>
      </c>
      <c r="B136" s="3" t="s">
        <v>58</v>
      </c>
      <c r="C136" s="3" t="s">
        <v>256</v>
      </c>
      <c r="D136" s="91" t="s">
        <v>257</v>
      </c>
      <c r="E136" s="91"/>
      <c r="F136" s="3" t="s">
        <v>69</v>
      </c>
      <c r="G136" s="26">
        <v>200</v>
      </c>
      <c r="H136" s="59">
        <v>0</v>
      </c>
    </row>
    <row r="137" spans="1:8" x14ac:dyDescent="0.25">
      <c r="A137" s="2" t="s">
        <v>259</v>
      </c>
      <c r="B137" s="3" t="s">
        <v>58</v>
      </c>
      <c r="C137" s="3" t="s">
        <v>260</v>
      </c>
      <c r="D137" s="91" t="s">
        <v>257</v>
      </c>
      <c r="E137" s="91"/>
      <c r="F137" s="3" t="s">
        <v>69</v>
      </c>
      <c r="G137" s="26">
        <v>30.12</v>
      </c>
      <c r="H137" s="59">
        <v>0</v>
      </c>
    </row>
    <row r="138" spans="1:8" x14ac:dyDescent="0.25">
      <c r="A138" s="2" t="s">
        <v>261</v>
      </c>
      <c r="B138" s="3" t="s">
        <v>58</v>
      </c>
      <c r="C138" s="3" t="s">
        <v>262</v>
      </c>
      <c r="D138" s="91" t="s">
        <v>257</v>
      </c>
      <c r="E138" s="91"/>
      <c r="F138" s="3" t="s">
        <v>69</v>
      </c>
      <c r="G138" s="26">
        <v>33.6</v>
      </c>
      <c r="H138" s="59">
        <v>0</v>
      </c>
    </row>
    <row r="139" spans="1:8" x14ac:dyDescent="0.25">
      <c r="A139" s="2" t="s">
        <v>263</v>
      </c>
      <c r="B139" s="3" t="s">
        <v>58</v>
      </c>
      <c r="C139" s="3" t="s">
        <v>264</v>
      </c>
      <c r="D139" s="91" t="s">
        <v>257</v>
      </c>
      <c r="E139" s="91"/>
      <c r="F139" s="3" t="s">
        <v>69</v>
      </c>
      <c r="G139" s="26">
        <v>33.6</v>
      </c>
      <c r="H139" s="59">
        <v>0</v>
      </c>
    </row>
    <row r="140" spans="1:8" x14ac:dyDescent="0.25">
      <c r="A140" s="2" t="s">
        <v>265</v>
      </c>
      <c r="B140" s="3" t="s">
        <v>58</v>
      </c>
      <c r="C140" s="3" t="s">
        <v>266</v>
      </c>
      <c r="D140" s="91" t="s">
        <v>257</v>
      </c>
      <c r="E140" s="91"/>
      <c r="F140" s="3" t="s">
        <v>69</v>
      </c>
      <c r="G140" s="26">
        <v>116</v>
      </c>
      <c r="H140" s="59">
        <v>0</v>
      </c>
    </row>
    <row r="141" spans="1:8" x14ac:dyDescent="0.25">
      <c r="A141" s="2" t="s">
        <v>267</v>
      </c>
      <c r="B141" s="3" t="s">
        <v>58</v>
      </c>
      <c r="C141" s="3" t="s">
        <v>268</v>
      </c>
      <c r="D141" s="91" t="s">
        <v>257</v>
      </c>
      <c r="E141" s="91"/>
      <c r="F141" s="3" t="s">
        <v>69</v>
      </c>
      <c r="G141" s="26">
        <v>70</v>
      </c>
      <c r="H141" s="59">
        <v>0</v>
      </c>
    </row>
    <row r="142" spans="1:8" x14ac:dyDescent="0.25">
      <c r="A142" s="36"/>
      <c r="D142" s="60" t="s">
        <v>582</v>
      </c>
      <c r="E142" s="130" t="s">
        <v>583</v>
      </c>
      <c r="F142" s="130"/>
      <c r="G142" s="61">
        <v>70</v>
      </c>
      <c r="H142" s="62"/>
    </row>
    <row r="143" spans="1:8" x14ac:dyDescent="0.25">
      <c r="A143" s="2" t="s">
        <v>270</v>
      </c>
      <c r="B143" s="3" t="s">
        <v>58</v>
      </c>
      <c r="C143" s="3" t="s">
        <v>271</v>
      </c>
      <c r="D143" s="91" t="s">
        <v>272</v>
      </c>
      <c r="E143" s="91"/>
      <c r="F143" s="3" t="s">
        <v>69</v>
      </c>
      <c r="G143" s="26">
        <v>152.5</v>
      </c>
      <c r="H143" s="59">
        <v>0</v>
      </c>
    </row>
    <row r="144" spans="1:8" x14ac:dyDescent="0.25">
      <c r="A144" s="36"/>
      <c r="D144" s="60" t="s">
        <v>636</v>
      </c>
      <c r="E144" s="130" t="s">
        <v>637</v>
      </c>
      <c r="F144" s="130"/>
      <c r="G144" s="61">
        <v>49.3</v>
      </c>
      <c r="H144" s="62"/>
    </row>
    <row r="145" spans="1:8" x14ac:dyDescent="0.25">
      <c r="A145" s="2" t="s">
        <v>50</v>
      </c>
      <c r="B145" s="3" t="s">
        <v>50</v>
      </c>
      <c r="C145" s="3" t="s">
        <v>50</v>
      </c>
      <c r="D145" s="60" t="s">
        <v>638</v>
      </c>
      <c r="E145" s="130" t="s">
        <v>639</v>
      </c>
      <c r="F145" s="130"/>
      <c r="G145" s="61">
        <v>88.8</v>
      </c>
      <c r="H145" s="28" t="s">
        <v>50</v>
      </c>
    </row>
    <row r="146" spans="1:8" x14ac:dyDescent="0.25">
      <c r="A146" s="2" t="s">
        <v>50</v>
      </c>
      <c r="B146" s="3" t="s">
        <v>50</v>
      </c>
      <c r="C146" s="3" t="s">
        <v>50</v>
      </c>
      <c r="D146" s="60" t="s">
        <v>640</v>
      </c>
      <c r="E146" s="130" t="s">
        <v>641</v>
      </c>
      <c r="F146" s="130"/>
      <c r="G146" s="61">
        <v>14.4</v>
      </c>
      <c r="H146" s="28" t="s">
        <v>50</v>
      </c>
    </row>
    <row r="147" spans="1:8" x14ac:dyDescent="0.25">
      <c r="A147" s="2" t="s">
        <v>273</v>
      </c>
      <c r="B147" s="3" t="s">
        <v>58</v>
      </c>
      <c r="C147" s="3" t="s">
        <v>274</v>
      </c>
      <c r="D147" s="91" t="s">
        <v>275</v>
      </c>
      <c r="E147" s="91"/>
      <c r="F147" s="3" t="s">
        <v>69</v>
      </c>
      <c r="G147" s="26">
        <v>49.3</v>
      </c>
      <c r="H147" s="59">
        <v>0</v>
      </c>
    </row>
    <row r="148" spans="1:8" x14ac:dyDescent="0.25">
      <c r="A148" s="2" t="s">
        <v>276</v>
      </c>
      <c r="B148" s="3" t="s">
        <v>58</v>
      </c>
      <c r="C148" s="3" t="s">
        <v>277</v>
      </c>
      <c r="D148" s="91" t="s">
        <v>278</v>
      </c>
      <c r="E148" s="91"/>
      <c r="F148" s="3" t="s">
        <v>69</v>
      </c>
      <c r="G148" s="26">
        <v>88.8</v>
      </c>
      <c r="H148" s="59">
        <v>0</v>
      </c>
    </row>
    <row r="149" spans="1:8" x14ac:dyDescent="0.25">
      <c r="A149" s="2" t="s">
        <v>279</v>
      </c>
      <c r="B149" s="3" t="s">
        <v>58</v>
      </c>
      <c r="C149" s="3" t="s">
        <v>280</v>
      </c>
      <c r="D149" s="91" t="s">
        <v>281</v>
      </c>
      <c r="E149" s="91"/>
      <c r="F149" s="3" t="s">
        <v>69</v>
      </c>
      <c r="G149" s="26">
        <v>14.4</v>
      </c>
      <c r="H149" s="59">
        <v>0</v>
      </c>
    </row>
    <row r="150" spans="1:8" x14ac:dyDescent="0.25">
      <c r="A150" s="2" t="s">
        <v>282</v>
      </c>
      <c r="B150" s="3" t="s">
        <v>58</v>
      </c>
      <c r="C150" s="3" t="s">
        <v>283</v>
      </c>
      <c r="D150" s="91" t="s">
        <v>284</v>
      </c>
      <c r="E150" s="91"/>
      <c r="F150" s="3" t="s">
        <v>69</v>
      </c>
      <c r="G150" s="26">
        <v>57.6</v>
      </c>
      <c r="H150" s="59">
        <v>0</v>
      </c>
    </row>
    <row r="151" spans="1:8" x14ac:dyDescent="0.25">
      <c r="A151" s="36"/>
      <c r="D151" s="60" t="s">
        <v>642</v>
      </c>
      <c r="E151" s="130" t="s">
        <v>643</v>
      </c>
      <c r="F151" s="130"/>
      <c r="G151" s="61">
        <v>28.8</v>
      </c>
      <c r="H151" s="62"/>
    </row>
    <row r="152" spans="1:8" x14ac:dyDescent="0.25">
      <c r="A152" s="2" t="s">
        <v>50</v>
      </c>
      <c r="B152" s="3" t="s">
        <v>50</v>
      </c>
      <c r="C152" s="3" t="s">
        <v>50</v>
      </c>
      <c r="D152" s="60" t="s">
        <v>642</v>
      </c>
      <c r="E152" s="130" t="s">
        <v>644</v>
      </c>
      <c r="F152" s="130"/>
      <c r="G152" s="61">
        <v>28.8</v>
      </c>
      <c r="H152" s="28" t="s">
        <v>50</v>
      </c>
    </row>
    <row r="153" spans="1:8" x14ac:dyDescent="0.25">
      <c r="A153" s="2" t="s">
        <v>285</v>
      </c>
      <c r="B153" s="3" t="s">
        <v>58</v>
      </c>
      <c r="C153" s="3" t="s">
        <v>286</v>
      </c>
      <c r="D153" s="91" t="s">
        <v>287</v>
      </c>
      <c r="E153" s="91"/>
      <c r="F153" s="3" t="s">
        <v>69</v>
      </c>
      <c r="G153" s="26">
        <v>31.68</v>
      </c>
      <c r="H153" s="59">
        <v>0</v>
      </c>
    </row>
    <row r="154" spans="1:8" x14ac:dyDescent="0.25">
      <c r="A154" s="36"/>
      <c r="D154" s="60" t="s">
        <v>642</v>
      </c>
      <c r="E154" s="130" t="s">
        <v>643</v>
      </c>
      <c r="F154" s="130"/>
      <c r="G154" s="61">
        <v>28.8</v>
      </c>
      <c r="H154" s="62"/>
    </row>
    <row r="155" spans="1:8" x14ac:dyDescent="0.25">
      <c r="A155" s="2" t="s">
        <v>50</v>
      </c>
      <c r="B155" s="3" t="s">
        <v>50</v>
      </c>
      <c r="C155" s="3" t="s">
        <v>50</v>
      </c>
      <c r="D155" s="60" t="s">
        <v>645</v>
      </c>
      <c r="E155" s="130" t="s">
        <v>50</v>
      </c>
      <c r="F155" s="130"/>
      <c r="G155" s="61">
        <v>2.88</v>
      </c>
      <c r="H155" s="28" t="s">
        <v>50</v>
      </c>
    </row>
    <row r="156" spans="1:8" x14ac:dyDescent="0.25">
      <c r="A156" s="2" t="s">
        <v>288</v>
      </c>
      <c r="B156" s="3" t="s">
        <v>58</v>
      </c>
      <c r="C156" s="3" t="s">
        <v>289</v>
      </c>
      <c r="D156" s="91" t="s">
        <v>290</v>
      </c>
      <c r="E156" s="91"/>
      <c r="F156" s="3" t="s">
        <v>69</v>
      </c>
      <c r="G156" s="26">
        <v>31.68</v>
      </c>
      <c r="H156" s="59">
        <v>0</v>
      </c>
    </row>
    <row r="157" spans="1:8" x14ac:dyDescent="0.25">
      <c r="A157" s="36"/>
      <c r="D157" s="60" t="s">
        <v>642</v>
      </c>
      <c r="E157" s="130" t="s">
        <v>644</v>
      </c>
      <c r="F157" s="130"/>
      <c r="G157" s="61">
        <v>28.8</v>
      </c>
      <c r="H157" s="62"/>
    </row>
    <row r="158" spans="1:8" x14ac:dyDescent="0.25">
      <c r="A158" s="2" t="s">
        <v>50</v>
      </c>
      <c r="B158" s="3" t="s">
        <v>50</v>
      </c>
      <c r="C158" s="3" t="s">
        <v>50</v>
      </c>
      <c r="D158" s="60" t="s">
        <v>645</v>
      </c>
      <c r="E158" s="130" t="s">
        <v>50</v>
      </c>
      <c r="F158" s="130"/>
      <c r="G158" s="61">
        <v>2.88</v>
      </c>
      <c r="H158" s="28" t="s">
        <v>50</v>
      </c>
    </row>
    <row r="159" spans="1:8" x14ac:dyDescent="0.25">
      <c r="A159" s="2" t="s">
        <v>291</v>
      </c>
      <c r="B159" s="3" t="s">
        <v>58</v>
      </c>
      <c r="C159" s="3" t="s">
        <v>292</v>
      </c>
      <c r="D159" s="91" t="s">
        <v>293</v>
      </c>
      <c r="E159" s="91"/>
      <c r="F159" s="3" t="s">
        <v>69</v>
      </c>
      <c r="G159" s="26">
        <v>153.69999999999999</v>
      </c>
      <c r="H159" s="59">
        <v>0</v>
      </c>
    </row>
    <row r="160" spans="1:8" x14ac:dyDescent="0.25">
      <c r="A160" s="36"/>
      <c r="D160" s="60" t="s">
        <v>646</v>
      </c>
      <c r="E160" s="130" t="s">
        <v>647</v>
      </c>
      <c r="F160" s="130"/>
      <c r="G160" s="61">
        <v>30.2</v>
      </c>
      <c r="H160" s="62"/>
    </row>
    <row r="161" spans="1:8" x14ac:dyDescent="0.25">
      <c r="A161" s="2" t="s">
        <v>50</v>
      </c>
      <c r="B161" s="3" t="s">
        <v>50</v>
      </c>
      <c r="C161" s="3" t="s">
        <v>50</v>
      </c>
      <c r="D161" s="60" t="s">
        <v>648</v>
      </c>
      <c r="E161" s="130" t="s">
        <v>649</v>
      </c>
      <c r="F161" s="130"/>
      <c r="G161" s="61">
        <v>17.899999999999999</v>
      </c>
      <c r="H161" s="28" t="s">
        <v>50</v>
      </c>
    </row>
    <row r="162" spans="1:8" x14ac:dyDescent="0.25">
      <c r="A162" s="2" t="s">
        <v>50</v>
      </c>
      <c r="B162" s="3" t="s">
        <v>50</v>
      </c>
      <c r="C162" s="3" t="s">
        <v>50</v>
      </c>
      <c r="D162" s="60" t="s">
        <v>650</v>
      </c>
      <c r="E162" s="130" t="s">
        <v>651</v>
      </c>
      <c r="F162" s="130"/>
      <c r="G162" s="61">
        <v>105.6</v>
      </c>
      <c r="H162" s="28" t="s">
        <v>50</v>
      </c>
    </row>
    <row r="163" spans="1:8" x14ac:dyDescent="0.25">
      <c r="A163" s="2" t="s">
        <v>294</v>
      </c>
      <c r="B163" s="3" t="s">
        <v>58</v>
      </c>
      <c r="C163" s="3" t="s">
        <v>295</v>
      </c>
      <c r="D163" s="91" t="s">
        <v>296</v>
      </c>
      <c r="E163" s="91"/>
      <c r="F163" s="3" t="s">
        <v>69</v>
      </c>
      <c r="G163" s="26">
        <v>30.2</v>
      </c>
      <c r="H163" s="59">
        <v>0</v>
      </c>
    </row>
    <row r="164" spans="1:8" x14ac:dyDescent="0.25">
      <c r="A164" s="2" t="s">
        <v>297</v>
      </c>
      <c r="B164" s="3" t="s">
        <v>58</v>
      </c>
      <c r="C164" s="3" t="s">
        <v>298</v>
      </c>
      <c r="D164" s="91" t="s">
        <v>299</v>
      </c>
      <c r="E164" s="91"/>
      <c r="F164" s="3" t="s">
        <v>69</v>
      </c>
      <c r="G164" s="26">
        <v>17.899999999999999</v>
      </c>
      <c r="H164" s="59">
        <v>0</v>
      </c>
    </row>
    <row r="165" spans="1:8" x14ac:dyDescent="0.25">
      <c r="A165" s="2" t="s">
        <v>300</v>
      </c>
      <c r="B165" s="3" t="s">
        <v>58</v>
      </c>
      <c r="C165" s="3" t="s">
        <v>301</v>
      </c>
      <c r="D165" s="91" t="s">
        <v>302</v>
      </c>
      <c r="E165" s="91"/>
      <c r="F165" s="3" t="s">
        <v>69</v>
      </c>
      <c r="G165" s="26">
        <v>116.16</v>
      </c>
      <c r="H165" s="59">
        <v>0</v>
      </c>
    </row>
    <row r="166" spans="1:8" x14ac:dyDescent="0.25">
      <c r="A166" s="36"/>
      <c r="D166" s="60" t="s">
        <v>650</v>
      </c>
      <c r="E166" s="130" t="s">
        <v>651</v>
      </c>
      <c r="F166" s="130"/>
      <c r="G166" s="61">
        <v>105.6</v>
      </c>
      <c r="H166" s="62"/>
    </row>
    <row r="167" spans="1:8" x14ac:dyDescent="0.25">
      <c r="A167" s="2" t="s">
        <v>50</v>
      </c>
      <c r="B167" s="3" t="s">
        <v>50</v>
      </c>
      <c r="C167" s="3" t="s">
        <v>50</v>
      </c>
      <c r="D167" s="60" t="s">
        <v>652</v>
      </c>
      <c r="E167" s="130" t="s">
        <v>50</v>
      </c>
      <c r="F167" s="130"/>
      <c r="G167" s="61">
        <v>10.56</v>
      </c>
      <c r="H167" s="28" t="s">
        <v>50</v>
      </c>
    </row>
    <row r="168" spans="1:8" x14ac:dyDescent="0.25">
      <c r="A168" s="2" t="s">
        <v>303</v>
      </c>
      <c r="B168" s="3" t="s">
        <v>58</v>
      </c>
      <c r="C168" s="3" t="s">
        <v>304</v>
      </c>
      <c r="D168" s="91" t="s">
        <v>305</v>
      </c>
      <c r="E168" s="91"/>
      <c r="F168" s="3" t="s">
        <v>93</v>
      </c>
      <c r="G168" s="26">
        <v>35</v>
      </c>
      <c r="H168" s="59">
        <v>0</v>
      </c>
    </row>
    <row r="169" spans="1:8" x14ac:dyDescent="0.25">
      <c r="A169" s="36"/>
      <c r="D169" s="60" t="s">
        <v>653</v>
      </c>
      <c r="E169" s="130" t="s">
        <v>654</v>
      </c>
      <c r="F169" s="130"/>
      <c r="G169" s="61">
        <v>35</v>
      </c>
      <c r="H169" s="62"/>
    </row>
    <row r="170" spans="1:8" x14ac:dyDescent="0.25">
      <c r="A170" s="2" t="s">
        <v>306</v>
      </c>
      <c r="B170" s="3" t="s">
        <v>58</v>
      </c>
      <c r="C170" s="3" t="s">
        <v>307</v>
      </c>
      <c r="D170" s="91" t="s">
        <v>308</v>
      </c>
      <c r="E170" s="91"/>
      <c r="F170" s="3" t="s">
        <v>93</v>
      </c>
      <c r="G170" s="26">
        <v>72</v>
      </c>
      <c r="H170" s="59">
        <v>0</v>
      </c>
    </row>
    <row r="171" spans="1:8" x14ac:dyDescent="0.25">
      <c r="A171" s="36"/>
      <c r="D171" s="60" t="s">
        <v>655</v>
      </c>
      <c r="E171" s="130" t="s">
        <v>656</v>
      </c>
      <c r="F171" s="130"/>
      <c r="G171" s="61">
        <v>46</v>
      </c>
      <c r="H171" s="62"/>
    </row>
    <row r="172" spans="1:8" x14ac:dyDescent="0.25">
      <c r="A172" s="2" t="s">
        <v>50</v>
      </c>
      <c r="B172" s="3" t="s">
        <v>50</v>
      </c>
      <c r="C172" s="3" t="s">
        <v>50</v>
      </c>
      <c r="D172" s="60" t="s">
        <v>657</v>
      </c>
      <c r="E172" s="130" t="s">
        <v>658</v>
      </c>
      <c r="F172" s="130"/>
      <c r="G172" s="61">
        <v>22</v>
      </c>
      <c r="H172" s="28" t="s">
        <v>50</v>
      </c>
    </row>
    <row r="173" spans="1:8" x14ac:dyDescent="0.25">
      <c r="A173" s="2" t="s">
        <v>50</v>
      </c>
      <c r="B173" s="3" t="s">
        <v>50</v>
      </c>
      <c r="C173" s="3" t="s">
        <v>50</v>
      </c>
      <c r="D173" s="60" t="s">
        <v>659</v>
      </c>
      <c r="E173" s="130" t="s">
        <v>660</v>
      </c>
      <c r="F173" s="130"/>
      <c r="G173" s="61">
        <v>4</v>
      </c>
      <c r="H173" s="28" t="s">
        <v>50</v>
      </c>
    </row>
    <row r="174" spans="1:8" x14ac:dyDescent="0.25">
      <c r="A174" s="2" t="s">
        <v>309</v>
      </c>
      <c r="B174" s="3" t="s">
        <v>58</v>
      </c>
      <c r="C174" s="3" t="s">
        <v>310</v>
      </c>
      <c r="D174" s="91" t="s">
        <v>311</v>
      </c>
      <c r="E174" s="91"/>
      <c r="F174" s="3" t="s">
        <v>93</v>
      </c>
      <c r="G174" s="26">
        <v>35</v>
      </c>
      <c r="H174" s="59">
        <v>0</v>
      </c>
    </row>
    <row r="175" spans="1:8" x14ac:dyDescent="0.25">
      <c r="A175" s="36"/>
      <c r="D175" s="60" t="s">
        <v>653</v>
      </c>
      <c r="E175" s="130" t="s">
        <v>654</v>
      </c>
      <c r="F175" s="130"/>
      <c r="G175" s="61">
        <v>35</v>
      </c>
      <c r="H175" s="62"/>
    </row>
    <row r="176" spans="1:8" x14ac:dyDescent="0.25">
      <c r="A176" s="2" t="s">
        <v>312</v>
      </c>
      <c r="B176" s="3" t="s">
        <v>58</v>
      </c>
      <c r="C176" s="3" t="s">
        <v>313</v>
      </c>
      <c r="D176" s="91" t="s">
        <v>314</v>
      </c>
      <c r="E176" s="91"/>
      <c r="F176" s="3" t="s">
        <v>93</v>
      </c>
      <c r="G176" s="26">
        <v>72</v>
      </c>
      <c r="H176" s="59">
        <v>0</v>
      </c>
    </row>
    <row r="177" spans="1:8" x14ac:dyDescent="0.25">
      <c r="A177" s="36"/>
      <c r="D177" s="60" t="s">
        <v>655</v>
      </c>
      <c r="E177" s="130" t="s">
        <v>656</v>
      </c>
      <c r="F177" s="130"/>
      <c r="G177" s="61">
        <v>46</v>
      </c>
      <c r="H177" s="62"/>
    </row>
    <row r="178" spans="1:8" x14ac:dyDescent="0.25">
      <c r="A178" s="2" t="s">
        <v>50</v>
      </c>
      <c r="B178" s="3" t="s">
        <v>50</v>
      </c>
      <c r="C178" s="3" t="s">
        <v>50</v>
      </c>
      <c r="D178" s="60" t="s">
        <v>657</v>
      </c>
      <c r="E178" s="130" t="s">
        <v>658</v>
      </c>
      <c r="F178" s="130"/>
      <c r="G178" s="61">
        <v>22</v>
      </c>
      <c r="H178" s="28" t="s">
        <v>50</v>
      </c>
    </row>
    <row r="179" spans="1:8" x14ac:dyDescent="0.25">
      <c r="A179" s="2" t="s">
        <v>50</v>
      </c>
      <c r="B179" s="3" t="s">
        <v>50</v>
      </c>
      <c r="C179" s="3" t="s">
        <v>50</v>
      </c>
      <c r="D179" s="60" t="s">
        <v>659</v>
      </c>
      <c r="E179" s="130" t="s">
        <v>660</v>
      </c>
      <c r="F179" s="130"/>
      <c r="G179" s="61">
        <v>4</v>
      </c>
      <c r="H179" s="28" t="s">
        <v>50</v>
      </c>
    </row>
    <row r="180" spans="1:8" x14ac:dyDescent="0.25">
      <c r="A180" s="2" t="s">
        <v>315</v>
      </c>
      <c r="B180" s="3" t="s">
        <v>58</v>
      </c>
      <c r="C180" s="3" t="s">
        <v>316</v>
      </c>
      <c r="D180" s="91" t="s">
        <v>317</v>
      </c>
      <c r="E180" s="91"/>
      <c r="F180" s="3" t="s">
        <v>93</v>
      </c>
      <c r="G180" s="26">
        <v>624</v>
      </c>
      <c r="H180" s="59">
        <v>0</v>
      </c>
    </row>
    <row r="181" spans="1:8" x14ac:dyDescent="0.25">
      <c r="A181" s="36"/>
      <c r="D181" s="60" t="s">
        <v>661</v>
      </c>
      <c r="E181" s="130" t="s">
        <v>662</v>
      </c>
      <c r="F181" s="130"/>
      <c r="G181" s="61">
        <v>432</v>
      </c>
      <c r="H181" s="62"/>
    </row>
    <row r="182" spans="1:8" x14ac:dyDescent="0.25">
      <c r="A182" s="2" t="s">
        <v>50</v>
      </c>
      <c r="B182" s="3" t="s">
        <v>50</v>
      </c>
      <c r="C182" s="3" t="s">
        <v>50</v>
      </c>
      <c r="D182" s="60" t="s">
        <v>663</v>
      </c>
      <c r="E182" s="130" t="s">
        <v>664</v>
      </c>
      <c r="F182" s="130"/>
      <c r="G182" s="61">
        <v>192</v>
      </c>
      <c r="H182" s="28" t="s">
        <v>50</v>
      </c>
    </row>
    <row r="183" spans="1:8" x14ac:dyDescent="0.25">
      <c r="A183" s="2" t="s">
        <v>318</v>
      </c>
      <c r="B183" s="3" t="s">
        <v>58</v>
      </c>
      <c r="C183" s="3" t="s">
        <v>319</v>
      </c>
      <c r="D183" s="91" t="s">
        <v>320</v>
      </c>
      <c r="E183" s="91"/>
      <c r="F183" s="3" t="s">
        <v>93</v>
      </c>
      <c r="G183" s="26">
        <v>165</v>
      </c>
      <c r="H183" s="59">
        <v>0</v>
      </c>
    </row>
    <row r="184" spans="1:8" x14ac:dyDescent="0.25">
      <c r="A184" s="36"/>
      <c r="D184" s="60" t="s">
        <v>665</v>
      </c>
      <c r="E184" s="130" t="s">
        <v>50</v>
      </c>
      <c r="F184" s="130"/>
      <c r="G184" s="61">
        <v>21</v>
      </c>
      <c r="H184" s="62"/>
    </row>
    <row r="185" spans="1:8" x14ac:dyDescent="0.25">
      <c r="A185" s="2" t="s">
        <v>50</v>
      </c>
      <c r="B185" s="3" t="s">
        <v>50</v>
      </c>
      <c r="C185" s="3" t="s">
        <v>50</v>
      </c>
      <c r="D185" s="60" t="s">
        <v>625</v>
      </c>
      <c r="E185" s="130" t="s">
        <v>626</v>
      </c>
      <c r="F185" s="130"/>
      <c r="G185" s="61">
        <v>144</v>
      </c>
      <c r="H185" s="28" t="s">
        <v>50</v>
      </c>
    </row>
    <row r="186" spans="1:8" x14ac:dyDescent="0.25">
      <c r="A186" s="2" t="s">
        <v>321</v>
      </c>
      <c r="B186" s="3" t="s">
        <v>58</v>
      </c>
      <c r="C186" s="3" t="s">
        <v>322</v>
      </c>
      <c r="D186" s="91" t="s">
        <v>323</v>
      </c>
      <c r="E186" s="91"/>
      <c r="F186" s="3" t="s">
        <v>324</v>
      </c>
      <c r="G186" s="26">
        <v>288</v>
      </c>
      <c r="H186" s="59">
        <v>0</v>
      </c>
    </row>
    <row r="187" spans="1:8" x14ac:dyDescent="0.25">
      <c r="A187" s="36"/>
      <c r="D187" s="60" t="s">
        <v>666</v>
      </c>
      <c r="E187" s="130" t="s">
        <v>662</v>
      </c>
      <c r="F187" s="130"/>
      <c r="G187" s="61">
        <v>192</v>
      </c>
      <c r="H187" s="62"/>
    </row>
    <row r="188" spans="1:8" x14ac:dyDescent="0.25">
      <c r="A188" s="2" t="s">
        <v>50</v>
      </c>
      <c r="B188" s="3" t="s">
        <v>50</v>
      </c>
      <c r="C188" s="3" t="s">
        <v>50</v>
      </c>
      <c r="D188" s="60" t="s">
        <v>667</v>
      </c>
      <c r="E188" s="130" t="s">
        <v>664</v>
      </c>
      <c r="F188" s="130"/>
      <c r="G188" s="61">
        <v>96</v>
      </c>
      <c r="H188" s="28" t="s">
        <v>50</v>
      </c>
    </row>
    <row r="189" spans="1:8" x14ac:dyDescent="0.25">
      <c r="A189" s="2" t="s">
        <v>325</v>
      </c>
      <c r="B189" s="3" t="s">
        <v>58</v>
      </c>
      <c r="C189" s="3" t="s">
        <v>326</v>
      </c>
      <c r="D189" s="91" t="s">
        <v>327</v>
      </c>
      <c r="E189" s="91"/>
      <c r="F189" s="3" t="s">
        <v>324</v>
      </c>
      <c r="G189" s="26">
        <v>72</v>
      </c>
      <c r="H189" s="59">
        <v>0</v>
      </c>
    </row>
    <row r="190" spans="1:8" x14ac:dyDescent="0.25">
      <c r="A190" s="36"/>
      <c r="D190" s="60" t="s">
        <v>668</v>
      </c>
      <c r="E190" s="130" t="s">
        <v>662</v>
      </c>
      <c r="F190" s="130"/>
      <c r="G190" s="61">
        <v>48</v>
      </c>
      <c r="H190" s="62"/>
    </row>
    <row r="191" spans="1:8" x14ac:dyDescent="0.25">
      <c r="A191" s="2" t="s">
        <v>50</v>
      </c>
      <c r="B191" s="3" t="s">
        <v>50</v>
      </c>
      <c r="C191" s="3" t="s">
        <v>50</v>
      </c>
      <c r="D191" s="60" t="s">
        <v>669</v>
      </c>
      <c r="E191" s="130" t="s">
        <v>664</v>
      </c>
      <c r="F191" s="130"/>
      <c r="G191" s="61">
        <v>24</v>
      </c>
      <c r="H191" s="28" t="s">
        <v>50</v>
      </c>
    </row>
    <row r="192" spans="1:8" x14ac:dyDescent="0.25">
      <c r="A192" s="2" t="s">
        <v>328</v>
      </c>
      <c r="B192" s="3" t="s">
        <v>58</v>
      </c>
      <c r="C192" s="3" t="s">
        <v>329</v>
      </c>
      <c r="D192" s="91" t="s">
        <v>330</v>
      </c>
      <c r="E192" s="91"/>
      <c r="F192" s="3" t="s">
        <v>93</v>
      </c>
      <c r="G192" s="26">
        <v>48</v>
      </c>
      <c r="H192" s="59">
        <v>0</v>
      </c>
    </row>
    <row r="193" spans="1:8" x14ac:dyDescent="0.25">
      <c r="A193" s="36"/>
      <c r="D193" s="60" t="s">
        <v>668</v>
      </c>
      <c r="E193" s="130" t="s">
        <v>670</v>
      </c>
      <c r="F193" s="130"/>
      <c r="G193" s="61">
        <v>48</v>
      </c>
      <c r="H193" s="62"/>
    </row>
    <row r="194" spans="1:8" x14ac:dyDescent="0.25">
      <c r="A194" s="2" t="s">
        <v>50</v>
      </c>
      <c r="B194" s="3" t="s">
        <v>50</v>
      </c>
      <c r="C194" s="3" t="s">
        <v>50</v>
      </c>
      <c r="D194" s="60" t="s">
        <v>671</v>
      </c>
      <c r="E194" s="130" t="s">
        <v>672</v>
      </c>
      <c r="F194" s="130"/>
      <c r="G194" s="61">
        <v>0</v>
      </c>
      <c r="H194" s="28" t="s">
        <v>50</v>
      </c>
    </row>
    <row r="195" spans="1:8" x14ac:dyDescent="0.25">
      <c r="A195" s="2" t="s">
        <v>331</v>
      </c>
      <c r="B195" s="3" t="s">
        <v>58</v>
      </c>
      <c r="C195" s="3" t="s">
        <v>332</v>
      </c>
      <c r="D195" s="91" t="s">
        <v>333</v>
      </c>
      <c r="E195" s="91"/>
      <c r="F195" s="3" t="s">
        <v>93</v>
      </c>
      <c r="G195" s="26">
        <v>72</v>
      </c>
      <c r="H195" s="59">
        <v>0</v>
      </c>
    </row>
    <row r="196" spans="1:8" x14ac:dyDescent="0.25">
      <c r="A196" s="36"/>
      <c r="D196" s="60" t="s">
        <v>668</v>
      </c>
      <c r="E196" s="130" t="s">
        <v>673</v>
      </c>
      <c r="F196" s="130"/>
      <c r="G196" s="61">
        <v>48</v>
      </c>
      <c r="H196" s="62"/>
    </row>
    <row r="197" spans="1:8" x14ac:dyDescent="0.25">
      <c r="A197" s="2" t="s">
        <v>50</v>
      </c>
      <c r="B197" s="3" t="s">
        <v>50</v>
      </c>
      <c r="C197" s="3" t="s">
        <v>50</v>
      </c>
      <c r="D197" s="60" t="s">
        <v>669</v>
      </c>
      <c r="E197" s="130" t="s">
        <v>674</v>
      </c>
      <c r="F197" s="130"/>
      <c r="G197" s="61">
        <v>24</v>
      </c>
      <c r="H197" s="28" t="s">
        <v>50</v>
      </c>
    </row>
    <row r="198" spans="1:8" x14ac:dyDescent="0.25">
      <c r="A198" s="2" t="s">
        <v>334</v>
      </c>
      <c r="B198" s="3" t="s">
        <v>58</v>
      </c>
      <c r="C198" s="3" t="s">
        <v>335</v>
      </c>
      <c r="D198" s="91" t="s">
        <v>336</v>
      </c>
      <c r="E198" s="91"/>
      <c r="F198" s="3" t="s">
        <v>93</v>
      </c>
      <c r="G198" s="26">
        <v>480</v>
      </c>
      <c r="H198" s="59">
        <v>0</v>
      </c>
    </row>
    <row r="199" spans="1:8" x14ac:dyDescent="0.25">
      <c r="A199" s="36"/>
      <c r="D199" s="60" t="s">
        <v>675</v>
      </c>
      <c r="E199" s="130" t="s">
        <v>676</v>
      </c>
      <c r="F199" s="130"/>
      <c r="G199" s="61">
        <v>240</v>
      </c>
      <c r="H199" s="62"/>
    </row>
    <row r="200" spans="1:8" x14ac:dyDescent="0.25">
      <c r="A200" s="2" t="s">
        <v>50</v>
      </c>
      <c r="B200" s="3" t="s">
        <v>50</v>
      </c>
      <c r="C200" s="3" t="s">
        <v>50</v>
      </c>
      <c r="D200" s="60" t="s">
        <v>677</v>
      </c>
      <c r="E200" s="130" t="s">
        <v>678</v>
      </c>
      <c r="F200" s="130"/>
      <c r="G200" s="61">
        <v>120</v>
      </c>
      <c r="H200" s="28" t="s">
        <v>50</v>
      </c>
    </row>
    <row r="201" spans="1:8" x14ac:dyDescent="0.25">
      <c r="A201" s="2" t="s">
        <v>50</v>
      </c>
      <c r="B201" s="3" t="s">
        <v>50</v>
      </c>
      <c r="C201" s="3" t="s">
        <v>50</v>
      </c>
      <c r="D201" s="60" t="s">
        <v>679</v>
      </c>
      <c r="E201" s="130" t="s">
        <v>680</v>
      </c>
      <c r="F201" s="130"/>
      <c r="G201" s="61">
        <v>96</v>
      </c>
      <c r="H201" s="28" t="s">
        <v>50</v>
      </c>
    </row>
    <row r="202" spans="1:8" x14ac:dyDescent="0.25">
      <c r="A202" s="2" t="s">
        <v>50</v>
      </c>
      <c r="B202" s="3" t="s">
        <v>50</v>
      </c>
      <c r="C202" s="3" t="s">
        <v>50</v>
      </c>
      <c r="D202" s="60" t="s">
        <v>669</v>
      </c>
      <c r="E202" s="130" t="s">
        <v>681</v>
      </c>
      <c r="F202" s="130"/>
      <c r="G202" s="61">
        <v>24</v>
      </c>
      <c r="H202" s="28" t="s">
        <v>50</v>
      </c>
    </row>
    <row r="203" spans="1:8" x14ac:dyDescent="0.25">
      <c r="A203" s="2" t="s">
        <v>337</v>
      </c>
      <c r="B203" s="3" t="s">
        <v>58</v>
      </c>
      <c r="C203" s="3" t="s">
        <v>338</v>
      </c>
      <c r="D203" s="91" t="s">
        <v>339</v>
      </c>
      <c r="E203" s="91"/>
      <c r="F203" s="3" t="s">
        <v>93</v>
      </c>
      <c r="G203" s="26">
        <v>19</v>
      </c>
      <c r="H203" s="59">
        <v>0</v>
      </c>
    </row>
    <row r="204" spans="1:8" x14ac:dyDescent="0.25">
      <c r="A204" s="36"/>
      <c r="D204" s="60" t="s">
        <v>682</v>
      </c>
      <c r="E204" s="130" t="s">
        <v>50</v>
      </c>
      <c r="F204" s="130"/>
      <c r="G204" s="61">
        <v>19</v>
      </c>
      <c r="H204" s="62"/>
    </row>
    <row r="205" spans="1:8" x14ac:dyDescent="0.25">
      <c r="A205" s="2" t="s">
        <v>340</v>
      </c>
      <c r="B205" s="3" t="s">
        <v>58</v>
      </c>
      <c r="C205" s="3" t="s">
        <v>341</v>
      </c>
      <c r="D205" s="91" t="s">
        <v>342</v>
      </c>
      <c r="E205" s="91"/>
      <c r="F205" s="3" t="s">
        <v>93</v>
      </c>
      <c r="G205" s="26">
        <v>12</v>
      </c>
      <c r="H205" s="59">
        <v>0</v>
      </c>
    </row>
    <row r="206" spans="1:8" x14ac:dyDescent="0.25">
      <c r="A206" s="36"/>
      <c r="D206" s="60" t="s">
        <v>683</v>
      </c>
      <c r="E206" s="130" t="s">
        <v>50</v>
      </c>
      <c r="F206" s="130"/>
      <c r="G206" s="61">
        <v>12</v>
      </c>
      <c r="H206" s="62"/>
    </row>
    <row r="207" spans="1:8" x14ac:dyDescent="0.25">
      <c r="A207" s="2" t="s">
        <v>343</v>
      </c>
      <c r="B207" s="3" t="s">
        <v>58</v>
      </c>
      <c r="C207" s="3" t="s">
        <v>344</v>
      </c>
      <c r="D207" s="91" t="s">
        <v>345</v>
      </c>
      <c r="E207" s="91"/>
      <c r="F207" s="3" t="s">
        <v>93</v>
      </c>
      <c r="G207" s="26">
        <v>1</v>
      </c>
      <c r="H207" s="59">
        <v>0</v>
      </c>
    </row>
    <row r="208" spans="1:8" x14ac:dyDescent="0.25">
      <c r="A208" s="2" t="s">
        <v>346</v>
      </c>
      <c r="B208" s="3" t="s">
        <v>58</v>
      </c>
      <c r="C208" s="3" t="s">
        <v>347</v>
      </c>
      <c r="D208" s="91" t="s">
        <v>348</v>
      </c>
      <c r="E208" s="91"/>
      <c r="F208" s="3" t="s">
        <v>93</v>
      </c>
      <c r="G208" s="26">
        <v>6</v>
      </c>
      <c r="H208" s="59">
        <v>0</v>
      </c>
    </row>
    <row r="209" spans="1:8" x14ac:dyDescent="0.25">
      <c r="A209" s="2" t="s">
        <v>349</v>
      </c>
      <c r="B209" s="3" t="s">
        <v>58</v>
      </c>
      <c r="C209" s="3" t="s">
        <v>350</v>
      </c>
      <c r="D209" s="91" t="s">
        <v>351</v>
      </c>
      <c r="E209" s="91"/>
      <c r="F209" s="3" t="s">
        <v>93</v>
      </c>
      <c r="G209" s="26">
        <v>6</v>
      </c>
      <c r="H209" s="59">
        <v>0</v>
      </c>
    </row>
    <row r="210" spans="1:8" x14ac:dyDescent="0.25">
      <c r="A210" s="2" t="s">
        <v>352</v>
      </c>
      <c r="B210" s="3" t="s">
        <v>58</v>
      </c>
      <c r="C210" s="3" t="s">
        <v>353</v>
      </c>
      <c r="D210" s="91" t="s">
        <v>354</v>
      </c>
      <c r="E210" s="91"/>
      <c r="F210" s="3" t="s">
        <v>93</v>
      </c>
      <c r="G210" s="26">
        <v>1</v>
      </c>
      <c r="H210" s="59">
        <v>0</v>
      </c>
    </row>
    <row r="211" spans="1:8" x14ac:dyDescent="0.25">
      <c r="A211" s="2" t="s">
        <v>355</v>
      </c>
      <c r="B211" s="3" t="s">
        <v>58</v>
      </c>
      <c r="C211" s="3" t="s">
        <v>356</v>
      </c>
      <c r="D211" s="91" t="s">
        <v>357</v>
      </c>
      <c r="E211" s="91"/>
      <c r="F211" s="3" t="s">
        <v>93</v>
      </c>
      <c r="G211" s="26">
        <v>0</v>
      </c>
      <c r="H211" s="59">
        <v>0</v>
      </c>
    </row>
    <row r="212" spans="1:8" x14ac:dyDescent="0.25">
      <c r="A212" s="2" t="s">
        <v>358</v>
      </c>
      <c r="B212" s="3" t="s">
        <v>58</v>
      </c>
      <c r="C212" s="3" t="s">
        <v>359</v>
      </c>
      <c r="D212" s="91" t="s">
        <v>360</v>
      </c>
      <c r="E212" s="91"/>
      <c r="F212" s="3" t="s">
        <v>93</v>
      </c>
      <c r="G212" s="26">
        <v>144</v>
      </c>
      <c r="H212" s="59">
        <v>0</v>
      </c>
    </row>
    <row r="213" spans="1:8" x14ac:dyDescent="0.25">
      <c r="A213" s="36"/>
      <c r="D213" s="60" t="s">
        <v>679</v>
      </c>
      <c r="E213" s="130" t="s">
        <v>662</v>
      </c>
      <c r="F213" s="130"/>
      <c r="G213" s="61">
        <v>96</v>
      </c>
      <c r="H213" s="62"/>
    </row>
    <row r="214" spans="1:8" x14ac:dyDescent="0.25">
      <c r="A214" s="2" t="s">
        <v>50</v>
      </c>
      <c r="B214" s="3" t="s">
        <v>50</v>
      </c>
      <c r="C214" s="3" t="s">
        <v>50</v>
      </c>
      <c r="D214" s="60" t="s">
        <v>684</v>
      </c>
      <c r="E214" s="130" t="s">
        <v>664</v>
      </c>
      <c r="F214" s="130"/>
      <c r="G214" s="61">
        <v>48</v>
      </c>
      <c r="H214" s="28" t="s">
        <v>50</v>
      </c>
    </row>
    <row r="215" spans="1:8" x14ac:dyDescent="0.25">
      <c r="A215" s="2" t="s">
        <v>361</v>
      </c>
      <c r="B215" s="3" t="s">
        <v>58</v>
      </c>
      <c r="C215" s="3" t="s">
        <v>362</v>
      </c>
      <c r="D215" s="91" t="s">
        <v>363</v>
      </c>
      <c r="E215" s="91"/>
      <c r="F215" s="3" t="s">
        <v>93</v>
      </c>
      <c r="G215" s="26">
        <v>144</v>
      </c>
      <c r="H215" s="59">
        <v>0</v>
      </c>
    </row>
    <row r="216" spans="1:8" x14ac:dyDescent="0.25">
      <c r="A216" s="36"/>
      <c r="D216" s="60" t="s">
        <v>679</v>
      </c>
      <c r="E216" s="130" t="s">
        <v>662</v>
      </c>
      <c r="F216" s="130"/>
      <c r="G216" s="61">
        <v>96</v>
      </c>
      <c r="H216" s="62"/>
    </row>
    <row r="217" spans="1:8" x14ac:dyDescent="0.25">
      <c r="A217" s="2" t="s">
        <v>50</v>
      </c>
      <c r="B217" s="3" t="s">
        <v>50</v>
      </c>
      <c r="C217" s="3" t="s">
        <v>50</v>
      </c>
      <c r="D217" s="60" t="s">
        <v>684</v>
      </c>
      <c r="E217" s="130" t="s">
        <v>664</v>
      </c>
      <c r="F217" s="130"/>
      <c r="G217" s="61">
        <v>48</v>
      </c>
      <c r="H217" s="28" t="s">
        <v>50</v>
      </c>
    </row>
    <row r="218" spans="1:8" x14ac:dyDescent="0.25">
      <c r="A218" s="2" t="s">
        <v>365</v>
      </c>
      <c r="B218" s="3" t="s">
        <v>58</v>
      </c>
      <c r="C218" s="3" t="s">
        <v>54</v>
      </c>
      <c r="D218" s="91" t="s">
        <v>366</v>
      </c>
      <c r="E218" s="91"/>
      <c r="F218" s="3" t="s">
        <v>93</v>
      </c>
      <c r="G218" s="26">
        <v>144</v>
      </c>
      <c r="H218" s="59">
        <v>0</v>
      </c>
    </row>
    <row r="219" spans="1:8" x14ac:dyDescent="0.25">
      <c r="A219" s="2" t="s">
        <v>367</v>
      </c>
      <c r="B219" s="3" t="s">
        <v>58</v>
      </c>
      <c r="C219" s="3" t="s">
        <v>368</v>
      </c>
      <c r="D219" s="91" t="s">
        <v>369</v>
      </c>
      <c r="E219" s="91"/>
      <c r="F219" s="3" t="s">
        <v>69</v>
      </c>
      <c r="G219" s="26">
        <v>1474.94</v>
      </c>
      <c r="H219" s="59">
        <v>0</v>
      </c>
    </row>
    <row r="220" spans="1:8" x14ac:dyDescent="0.25">
      <c r="A220" s="36"/>
      <c r="D220" s="60" t="s">
        <v>685</v>
      </c>
      <c r="E220" s="130" t="s">
        <v>50</v>
      </c>
      <c r="F220" s="130"/>
      <c r="G220" s="61">
        <v>270.62</v>
      </c>
      <c r="H220" s="62"/>
    </row>
    <row r="221" spans="1:8" x14ac:dyDescent="0.25">
      <c r="A221" s="2" t="s">
        <v>50</v>
      </c>
      <c r="B221" s="3" t="s">
        <v>50</v>
      </c>
      <c r="C221" s="3" t="s">
        <v>50</v>
      </c>
      <c r="D221" s="60" t="s">
        <v>686</v>
      </c>
      <c r="E221" s="130" t="s">
        <v>50</v>
      </c>
      <c r="F221" s="130"/>
      <c r="G221" s="61">
        <v>510.72</v>
      </c>
      <c r="H221" s="28" t="s">
        <v>50</v>
      </c>
    </row>
    <row r="222" spans="1:8" x14ac:dyDescent="0.25">
      <c r="A222" s="2" t="s">
        <v>50</v>
      </c>
      <c r="B222" s="3" t="s">
        <v>50</v>
      </c>
      <c r="C222" s="3" t="s">
        <v>50</v>
      </c>
      <c r="D222" s="60" t="s">
        <v>630</v>
      </c>
      <c r="E222" s="130" t="s">
        <v>577</v>
      </c>
      <c r="F222" s="130"/>
      <c r="G222" s="61">
        <v>268.8</v>
      </c>
      <c r="H222" s="28" t="s">
        <v>50</v>
      </c>
    </row>
    <row r="223" spans="1:8" x14ac:dyDescent="0.25">
      <c r="A223" s="2" t="s">
        <v>50</v>
      </c>
      <c r="B223" s="3" t="s">
        <v>50</v>
      </c>
      <c r="C223" s="3" t="s">
        <v>50</v>
      </c>
      <c r="D223" s="60" t="s">
        <v>631</v>
      </c>
      <c r="E223" s="130" t="s">
        <v>579</v>
      </c>
      <c r="F223" s="130"/>
      <c r="G223" s="61">
        <v>108</v>
      </c>
      <c r="H223" s="28" t="s">
        <v>50</v>
      </c>
    </row>
    <row r="224" spans="1:8" x14ac:dyDescent="0.25">
      <c r="A224" s="2" t="s">
        <v>50</v>
      </c>
      <c r="B224" s="3" t="s">
        <v>50</v>
      </c>
      <c r="C224" s="3" t="s">
        <v>50</v>
      </c>
      <c r="D224" s="60" t="s">
        <v>632</v>
      </c>
      <c r="E224" s="130" t="s">
        <v>577</v>
      </c>
      <c r="F224" s="130"/>
      <c r="G224" s="61">
        <v>230.4</v>
      </c>
      <c r="H224" s="28" t="s">
        <v>50</v>
      </c>
    </row>
    <row r="225" spans="1:8" x14ac:dyDescent="0.25">
      <c r="A225" s="2" t="s">
        <v>50</v>
      </c>
      <c r="B225" s="3" t="s">
        <v>50</v>
      </c>
      <c r="C225" s="3" t="s">
        <v>50</v>
      </c>
      <c r="D225" s="60" t="s">
        <v>633</v>
      </c>
      <c r="E225" s="130" t="s">
        <v>579</v>
      </c>
      <c r="F225" s="130"/>
      <c r="G225" s="61">
        <v>86.4</v>
      </c>
      <c r="H225" s="28" t="s">
        <v>50</v>
      </c>
    </row>
    <row r="226" spans="1:8" x14ac:dyDescent="0.25">
      <c r="A226" s="2" t="s">
        <v>370</v>
      </c>
      <c r="B226" s="3" t="s">
        <v>58</v>
      </c>
      <c r="C226" s="3" t="s">
        <v>371</v>
      </c>
      <c r="D226" s="91" t="s">
        <v>372</v>
      </c>
      <c r="E226" s="91"/>
      <c r="F226" s="3" t="s">
        <v>69</v>
      </c>
      <c r="G226" s="26">
        <v>1474.94</v>
      </c>
      <c r="H226" s="59">
        <v>0</v>
      </c>
    </row>
    <row r="227" spans="1:8" x14ac:dyDescent="0.25">
      <c r="A227" s="36"/>
      <c r="D227" s="60" t="s">
        <v>685</v>
      </c>
      <c r="E227" s="130" t="s">
        <v>50</v>
      </c>
      <c r="F227" s="130"/>
      <c r="G227" s="61">
        <v>270.62</v>
      </c>
      <c r="H227" s="62"/>
    </row>
    <row r="228" spans="1:8" x14ac:dyDescent="0.25">
      <c r="A228" s="2" t="s">
        <v>50</v>
      </c>
      <c r="B228" s="3" t="s">
        <v>50</v>
      </c>
      <c r="C228" s="3" t="s">
        <v>50</v>
      </c>
      <c r="D228" s="60" t="s">
        <v>686</v>
      </c>
      <c r="E228" s="130" t="s">
        <v>50</v>
      </c>
      <c r="F228" s="130"/>
      <c r="G228" s="61">
        <v>510.72</v>
      </c>
      <c r="H228" s="28" t="s">
        <v>50</v>
      </c>
    </row>
    <row r="229" spans="1:8" x14ac:dyDescent="0.25">
      <c r="A229" s="2" t="s">
        <v>50</v>
      </c>
      <c r="B229" s="3" t="s">
        <v>50</v>
      </c>
      <c r="C229" s="3" t="s">
        <v>50</v>
      </c>
      <c r="D229" s="60" t="s">
        <v>630</v>
      </c>
      <c r="E229" s="130" t="s">
        <v>577</v>
      </c>
      <c r="F229" s="130"/>
      <c r="G229" s="61">
        <v>268.8</v>
      </c>
      <c r="H229" s="28" t="s">
        <v>50</v>
      </c>
    </row>
    <row r="230" spans="1:8" x14ac:dyDescent="0.25">
      <c r="A230" s="2" t="s">
        <v>50</v>
      </c>
      <c r="B230" s="3" t="s">
        <v>50</v>
      </c>
      <c r="C230" s="3" t="s">
        <v>50</v>
      </c>
      <c r="D230" s="60" t="s">
        <v>631</v>
      </c>
      <c r="E230" s="130" t="s">
        <v>579</v>
      </c>
      <c r="F230" s="130"/>
      <c r="G230" s="61">
        <v>108</v>
      </c>
      <c r="H230" s="28" t="s">
        <v>50</v>
      </c>
    </row>
    <row r="231" spans="1:8" x14ac:dyDescent="0.25">
      <c r="A231" s="2" t="s">
        <v>50</v>
      </c>
      <c r="B231" s="3" t="s">
        <v>50</v>
      </c>
      <c r="C231" s="3" t="s">
        <v>50</v>
      </c>
      <c r="D231" s="60" t="s">
        <v>632</v>
      </c>
      <c r="E231" s="130" t="s">
        <v>577</v>
      </c>
      <c r="F231" s="130"/>
      <c r="G231" s="61">
        <v>230.4</v>
      </c>
      <c r="H231" s="28" t="s">
        <v>50</v>
      </c>
    </row>
    <row r="232" spans="1:8" x14ac:dyDescent="0.25">
      <c r="A232" s="2" t="s">
        <v>50</v>
      </c>
      <c r="B232" s="3" t="s">
        <v>50</v>
      </c>
      <c r="C232" s="3" t="s">
        <v>50</v>
      </c>
      <c r="D232" s="60" t="s">
        <v>633</v>
      </c>
      <c r="E232" s="130" t="s">
        <v>579</v>
      </c>
      <c r="F232" s="130"/>
      <c r="G232" s="61">
        <v>86.4</v>
      </c>
      <c r="H232" s="28" t="s">
        <v>50</v>
      </c>
    </row>
    <row r="233" spans="1:8" x14ac:dyDescent="0.25">
      <c r="A233" s="2" t="s">
        <v>373</v>
      </c>
      <c r="B233" s="3" t="s">
        <v>58</v>
      </c>
      <c r="C233" s="3" t="s">
        <v>374</v>
      </c>
      <c r="D233" s="91" t="s">
        <v>375</v>
      </c>
      <c r="E233" s="91"/>
      <c r="F233" s="3" t="s">
        <v>102</v>
      </c>
      <c r="G233" s="26">
        <v>0.88470000000000004</v>
      </c>
      <c r="H233" s="59">
        <v>0</v>
      </c>
    </row>
    <row r="234" spans="1:8" x14ac:dyDescent="0.25">
      <c r="A234" s="36"/>
      <c r="D234" s="60" t="s">
        <v>687</v>
      </c>
      <c r="E234" s="130" t="s">
        <v>50</v>
      </c>
      <c r="F234" s="130"/>
      <c r="G234" s="61">
        <v>0.88470000000000004</v>
      </c>
      <c r="H234" s="62"/>
    </row>
    <row r="235" spans="1:8" x14ac:dyDescent="0.25">
      <c r="A235" s="2" t="s">
        <v>376</v>
      </c>
      <c r="B235" s="3" t="s">
        <v>58</v>
      </c>
      <c r="C235" s="3" t="s">
        <v>54</v>
      </c>
      <c r="D235" s="91" t="s">
        <v>377</v>
      </c>
      <c r="E235" s="91"/>
      <c r="F235" s="3" t="s">
        <v>93</v>
      </c>
      <c r="G235" s="26">
        <v>1</v>
      </c>
      <c r="H235" s="59">
        <v>0</v>
      </c>
    </row>
    <row r="236" spans="1:8" x14ac:dyDescent="0.25">
      <c r="A236" s="2" t="s">
        <v>378</v>
      </c>
      <c r="B236" s="3" t="s">
        <v>58</v>
      </c>
      <c r="C236" s="3" t="s">
        <v>379</v>
      </c>
      <c r="D236" s="91" t="s">
        <v>380</v>
      </c>
      <c r="E236" s="91"/>
      <c r="F236" s="3" t="s">
        <v>102</v>
      </c>
      <c r="G236" s="26">
        <v>3.7170100000000001</v>
      </c>
      <c r="H236" s="59">
        <v>0</v>
      </c>
    </row>
    <row r="237" spans="1:8" x14ac:dyDescent="0.25">
      <c r="A237" s="63" t="s">
        <v>50</v>
      </c>
      <c r="B237" s="32" t="s">
        <v>50</v>
      </c>
      <c r="C237" s="32" t="s">
        <v>381</v>
      </c>
      <c r="D237" s="117" t="s">
        <v>382</v>
      </c>
      <c r="E237" s="117"/>
      <c r="F237" s="32" t="s">
        <v>50</v>
      </c>
      <c r="G237" s="11" t="s">
        <v>50</v>
      </c>
      <c r="H237" s="35" t="s">
        <v>50</v>
      </c>
    </row>
    <row r="238" spans="1:8" x14ac:dyDescent="0.25">
      <c r="A238" s="2" t="s">
        <v>383</v>
      </c>
      <c r="B238" s="3" t="s">
        <v>58</v>
      </c>
      <c r="C238" s="3" t="s">
        <v>384</v>
      </c>
      <c r="D238" s="91" t="s">
        <v>385</v>
      </c>
      <c r="E238" s="91"/>
      <c r="F238" s="3" t="s">
        <v>324</v>
      </c>
      <c r="G238" s="26">
        <v>72</v>
      </c>
      <c r="H238" s="59">
        <v>0</v>
      </c>
    </row>
    <row r="239" spans="1:8" x14ac:dyDescent="0.25">
      <c r="A239" s="2" t="s">
        <v>387</v>
      </c>
      <c r="B239" s="3" t="s">
        <v>58</v>
      </c>
      <c r="C239" s="3" t="s">
        <v>388</v>
      </c>
      <c r="D239" s="91" t="s">
        <v>389</v>
      </c>
      <c r="E239" s="91"/>
      <c r="F239" s="3" t="s">
        <v>93</v>
      </c>
      <c r="G239" s="26">
        <v>72</v>
      </c>
      <c r="H239" s="59">
        <v>0</v>
      </c>
    </row>
    <row r="240" spans="1:8" x14ac:dyDescent="0.25">
      <c r="A240" s="2" t="s">
        <v>390</v>
      </c>
      <c r="B240" s="3" t="s">
        <v>58</v>
      </c>
      <c r="C240" s="3" t="s">
        <v>391</v>
      </c>
      <c r="D240" s="91" t="s">
        <v>392</v>
      </c>
      <c r="E240" s="91"/>
      <c r="F240" s="3" t="s">
        <v>324</v>
      </c>
      <c r="G240" s="26">
        <v>360</v>
      </c>
      <c r="H240" s="59">
        <v>0</v>
      </c>
    </row>
    <row r="241" spans="1:8" x14ac:dyDescent="0.25">
      <c r="A241" s="36"/>
      <c r="D241" s="60" t="s">
        <v>675</v>
      </c>
      <c r="E241" s="130" t="s">
        <v>676</v>
      </c>
      <c r="F241" s="130"/>
      <c r="G241" s="61">
        <v>240</v>
      </c>
      <c r="H241" s="62"/>
    </row>
    <row r="242" spans="1:8" x14ac:dyDescent="0.25">
      <c r="A242" s="2" t="s">
        <v>50</v>
      </c>
      <c r="B242" s="3" t="s">
        <v>50</v>
      </c>
      <c r="C242" s="3" t="s">
        <v>50</v>
      </c>
      <c r="D242" s="60" t="s">
        <v>677</v>
      </c>
      <c r="E242" s="130" t="s">
        <v>678</v>
      </c>
      <c r="F242" s="130"/>
      <c r="G242" s="61">
        <v>120</v>
      </c>
      <c r="H242" s="28" t="s">
        <v>50</v>
      </c>
    </row>
    <row r="243" spans="1:8" x14ac:dyDescent="0.25">
      <c r="A243" s="2" t="s">
        <v>393</v>
      </c>
      <c r="B243" s="3" t="s">
        <v>58</v>
      </c>
      <c r="C243" s="3" t="s">
        <v>394</v>
      </c>
      <c r="D243" s="91" t="s">
        <v>395</v>
      </c>
      <c r="E243" s="91"/>
      <c r="F243" s="3" t="s">
        <v>324</v>
      </c>
      <c r="G243" s="26">
        <v>120</v>
      </c>
      <c r="H243" s="59">
        <v>0</v>
      </c>
    </row>
    <row r="244" spans="1:8" x14ac:dyDescent="0.25">
      <c r="A244" s="36"/>
      <c r="D244" s="60" t="s">
        <v>679</v>
      </c>
      <c r="E244" s="130" t="s">
        <v>680</v>
      </c>
      <c r="F244" s="130"/>
      <c r="G244" s="61">
        <v>96</v>
      </c>
      <c r="H244" s="62"/>
    </row>
    <row r="245" spans="1:8" x14ac:dyDescent="0.25">
      <c r="A245" s="2" t="s">
        <v>50</v>
      </c>
      <c r="B245" s="3" t="s">
        <v>50</v>
      </c>
      <c r="C245" s="3" t="s">
        <v>50</v>
      </c>
      <c r="D245" s="60" t="s">
        <v>669</v>
      </c>
      <c r="E245" s="130" t="s">
        <v>681</v>
      </c>
      <c r="F245" s="130"/>
      <c r="G245" s="61">
        <v>24</v>
      </c>
      <c r="H245" s="28" t="s">
        <v>50</v>
      </c>
    </row>
    <row r="246" spans="1:8" x14ac:dyDescent="0.25">
      <c r="A246" s="2" t="s">
        <v>396</v>
      </c>
      <c r="B246" s="3" t="s">
        <v>58</v>
      </c>
      <c r="C246" s="3" t="s">
        <v>397</v>
      </c>
      <c r="D246" s="91" t="s">
        <v>398</v>
      </c>
      <c r="E246" s="91"/>
      <c r="F246" s="3" t="s">
        <v>102</v>
      </c>
      <c r="G246" s="26">
        <v>1.5429600000000001</v>
      </c>
      <c r="H246" s="59">
        <v>0</v>
      </c>
    </row>
    <row r="247" spans="1:8" x14ac:dyDescent="0.25">
      <c r="A247" s="63" t="s">
        <v>50</v>
      </c>
      <c r="B247" s="32" t="s">
        <v>50</v>
      </c>
      <c r="C247" s="32" t="s">
        <v>399</v>
      </c>
      <c r="D247" s="117" t="s">
        <v>400</v>
      </c>
      <c r="E247" s="117"/>
      <c r="F247" s="32" t="s">
        <v>50</v>
      </c>
      <c r="G247" s="11" t="s">
        <v>50</v>
      </c>
      <c r="H247" s="35" t="s">
        <v>50</v>
      </c>
    </row>
    <row r="248" spans="1:8" x14ac:dyDescent="0.25">
      <c r="A248" s="2" t="s">
        <v>401</v>
      </c>
      <c r="B248" s="3" t="s">
        <v>58</v>
      </c>
      <c r="C248" s="3" t="s">
        <v>402</v>
      </c>
      <c r="D248" s="91" t="s">
        <v>403</v>
      </c>
      <c r="E248" s="91"/>
      <c r="F248" s="3" t="s">
        <v>93</v>
      </c>
      <c r="G248" s="26">
        <v>72</v>
      </c>
      <c r="H248" s="59">
        <v>0</v>
      </c>
    </row>
    <row r="249" spans="1:8" x14ac:dyDescent="0.25">
      <c r="A249" s="36"/>
      <c r="D249" s="60" t="s">
        <v>215</v>
      </c>
      <c r="E249" s="130" t="s">
        <v>688</v>
      </c>
      <c r="F249" s="130"/>
      <c r="G249" s="61">
        <v>48</v>
      </c>
      <c r="H249" s="62"/>
    </row>
    <row r="250" spans="1:8" x14ac:dyDescent="0.25">
      <c r="A250" s="2" t="s">
        <v>50</v>
      </c>
      <c r="B250" s="3" t="s">
        <v>50</v>
      </c>
      <c r="C250" s="3" t="s">
        <v>50</v>
      </c>
      <c r="D250" s="60" t="s">
        <v>146</v>
      </c>
      <c r="E250" s="130" t="s">
        <v>689</v>
      </c>
      <c r="F250" s="130"/>
      <c r="G250" s="61">
        <v>24</v>
      </c>
      <c r="H250" s="28" t="s">
        <v>50</v>
      </c>
    </row>
    <row r="251" spans="1:8" x14ac:dyDescent="0.25">
      <c r="A251" s="2" t="s">
        <v>405</v>
      </c>
      <c r="B251" s="3" t="s">
        <v>58</v>
      </c>
      <c r="C251" s="3" t="s">
        <v>406</v>
      </c>
      <c r="D251" s="91" t="s">
        <v>407</v>
      </c>
      <c r="E251" s="91"/>
      <c r="F251" s="3" t="s">
        <v>93</v>
      </c>
      <c r="G251" s="26">
        <v>72</v>
      </c>
      <c r="H251" s="59">
        <v>0</v>
      </c>
    </row>
    <row r="252" spans="1:8" x14ac:dyDescent="0.25">
      <c r="A252" s="2" t="s">
        <v>408</v>
      </c>
      <c r="B252" s="3" t="s">
        <v>58</v>
      </c>
      <c r="C252" s="3" t="s">
        <v>409</v>
      </c>
      <c r="D252" s="91" t="s">
        <v>410</v>
      </c>
      <c r="E252" s="91"/>
      <c r="F252" s="3" t="s">
        <v>93</v>
      </c>
      <c r="G252" s="26">
        <v>72</v>
      </c>
      <c r="H252" s="59">
        <v>0</v>
      </c>
    </row>
    <row r="253" spans="1:8" x14ac:dyDescent="0.25">
      <c r="A253" s="2" t="s">
        <v>411</v>
      </c>
      <c r="B253" s="3" t="s">
        <v>58</v>
      </c>
      <c r="C253" s="3" t="s">
        <v>412</v>
      </c>
      <c r="D253" s="91" t="s">
        <v>413</v>
      </c>
      <c r="E253" s="91"/>
      <c r="F253" s="3" t="s">
        <v>93</v>
      </c>
      <c r="G253" s="26">
        <v>72</v>
      </c>
      <c r="H253" s="59">
        <v>0</v>
      </c>
    </row>
    <row r="254" spans="1:8" x14ac:dyDescent="0.25">
      <c r="A254" s="36"/>
      <c r="D254" s="60" t="s">
        <v>215</v>
      </c>
      <c r="E254" s="130" t="s">
        <v>688</v>
      </c>
      <c r="F254" s="130"/>
      <c r="G254" s="61">
        <v>48</v>
      </c>
      <c r="H254" s="62"/>
    </row>
    <row r="255" spans="1:8" x14ac:dyDescent="0.25">
      <c r="A255" s="2" t="s">
        <v>50</v>
      </c>
      <c r="B255" s="3" t="s">
        <v>50</v>
      </c>
      <c r="C255" s="3" t="s">
        <v>50</v>
      </c>
      <c r="D255" s="60" t="s">
        <v>146</v>
      </c>
      <c r="E255" s="130" t="s">
        <v>689</v>
      </c>
      <c r="F255" s="130"/>
      <c r="G255" s="61">
        <v>24</v>
      </c>
      <c r="H255" s="28" t="s">
        <v>50</v>
      </c>
    </row>
    <row r="256" spans="1:8" x14ac:dyDescent="0.25">
      <c r="A256" s="2" t="s">
        <v>414</v>
      </c>
      <c r="B256" s="3" t="s">
        <v>58</v>
      </c>
      <c r="C256" s="3" t="s">
        <v>54</v>
      </c>
      <c r="D256" s="91" t="s">
        <v>415</v>
      </c>
      <c r="E256" s="91"/>
      <c r="F256" s="3" t="s">
        <v>93</v>
      </c>
      <c r="G256" s="26">
        <v>72</v>
      </c>
      <c r="H256" s="59">
        <v>0</v>
      </c>
    </row>
    <row r="257" spans="1:8" x14ac:dyDescent="0.25">
      <c r="A257" s="2" t="s">
        <v>416</v>
      </c>
      <c r="B257" s="3" t="s">
        <v>58</v>
      </c>
      <c r="C257" s="3" t="s">
        <v>54</v>
      </c>
      <c r="D257" s="91" t="s">
        <v>417</v>
      </c>
      <c r="E257" s="91"/>
      <c r="F257" s="3" t="s">
        <v>93</v>
      </c>
      <c r="G257" s="26">
        <v>72</v>
      </c>
      <c r="H257" s="59">
        <v>0</v>
      </c>
    </row>
    <row r="258" spans="1:8" x14ac:dyDescent="0.25">
      <c r="A258" s="36"/>
      <c r="D258" s="60" t="s">
        <v>690</v>
      </c>
      <c r="E258" s="130" t="s">
        <v>691</v>
      </c>
      <c r="F258" s="130"/>
      <c r="G258" s="61">
        <v>72</v>
      </c>
      <c r="H258" s="62"/>
    </row>
    <row r="259" spans="1:8" x14ac:dyDescent="0.25">
      <c r="A259" s="2" t="s">
        <v>418</v>
      </c>
      <c r="B259" s="3" t="s">
        <v>58</v>
      </c>
      <c r="C259" s="3" t="s">
        <v>54</v>
      </c>
      <c r="D259" s="91" t="s">
        <v>419</v>
      </c>
      <c r="E259" s="91"/>
      <c r="F259" s="3" t="s">
        <v>93</v>
      </c>
      <c r="G259" s="26">
        <v>72</v>
      </c>
      <c r="H259" s="59">
        <v>0</v>
      </c>
    </row>
    <row r="260" spans="1:8" x14ac:dyDescent="0.25">
      <c r="A260" s="2" t="s">
        <v>420</v>
      </c>
      <c r="B260" s="3" t="s">
        <v>58</v>
      </c>
      <c r="C260" s="3" t="s">
        <v>421</v>
      </c>
      <c r="D260" s="91" t="s">
        <v>422</v>
      </c>
      <c r="E260" s="91"/>
      <c r="F260" s="3" t="s">
        <v>102</v>
      </c>
      <c r="G260" s="26">
        <v>1.9526399999999999</v>
      </c>
      <c r="H260" s="59">
        <v>0</v>
      </c>
    </row>
    <row r="261" spans="1:8" x14ac:dyDescent="0.25">
      <c r="A261" s="63" t="s">
        <v>50</v>
      </c>
      <c r="B261" s="32" t="s">
        <v>50</v>
      </c>
      <c r="C261" s="32" t="s">
        <v>423</v>
      </c>
      <c r="D261" s="117" t="s">
        <v>424</v>
      </c>
      <c r="E261" s="117"/>
      <c r="F261" s="32" t="s">
        <v>50</v>
      </c>
      <c r="G261" s="11" t="s">
        <v>50</v>
      </c>
      <c r="H261" s="35" t="s">
        <v>50</v>
      </c>
    </row>
    <row r="262" spans="1:8" x14ac:dyDescent="0.25">
      <c r="A262" s="2" t="s">
        <v>425</v>
      </c>
      <c r="B262" s="3" t="s">
        <v>58</v>
      </c>
      <c r="C262" s="3" t="s">
        <v>426</v>
      </c>
      <c r="D262" s="91" t="s">
        <v>427</v>
      </c>
      <c r="E262" s="91"/>
      <c r="F262" s="3" t="s">
        <v>93</v>
      </c>
      <c r="G262" s="26">
        <v>72</v>
      </c>
      <c r="H262" s="59">
        <v>0</v>
      </c>
    </row>
    <row r="263" spans="1:8" x14ac:dyDescent="0.25">
      <c r="A263" s="2" t="s">
        <v>429</v>
      </c>
      <c r="B263" s="3" t="s">
        <v>58</v>
      </c>
      <c r="C263" s="3" t="s">
        <v>430</v>
      </c>
      <c r="D263" s="91" t="s">
        <v>431</v>
      </c>
      <c r="E263" s="91"/>
      <c r="F263" s="3" t="s">
        <v>93</v>
      </c>
      <c r="G263" s="26">
        <v>72</v>
      </c>
      <c r="H263" s="59">
        <v>0</v>
      </c>
    </row>
    <row r="264" spans="1:8" x14ac:dyDescent="0.25">
      <c r="A264" s="2" t="s">
        <v>432</v>
      </c>
      <c r="B264" s="3" t="s">
        <v>58</v>
      </c>
      <c r="C264" s="3" t="s">
        <v>433</v>
      </c>
      <c r="D264" s="91" t="s">
        <v>434</v>
      </c>
      <c r="E264" s="91"/>
      <c r="F264" s="3" t="s">
        <v>102</v>
      </c>
      <c r="G264" s="26">
        <v>0.28799999999999998</v>
      </c>
      <c r="H264" s="59">
        <v>0</v>
      </c>
    </row>
    <row r="265" spans="1:8" x14ac:dyDescent="0.25">
      <c r="A265" s="63" t="s">
        <v>50</v>
      </c>
      <c r="B265" s="32" t="s">
        <v>50</v>
      </c>
      <c r="C265" s="32" t="s">
        <v>435</v>
      </c>
      <c r="D265" s="117" t="s">
        <v>436</v>
      </c>
      <c r="E265" s="117"/>
      <c r="F265" s="32" t="s">
        <v>50</v>
      </c>
      <c r="G265" s="11" t="s">
        <v>50</v>
      </c>
      <c r="H265" s="35" t="s">
        <v>50</v>
      </c>
    </row>
    <row r="266" spans="1:8" x14ac:dyDescent="0.25">
      <c r="A266" s="2" t="s">
        <v>437</v>
      </c>
      <c r="B266" s="3" t="s">
        <v>58</v>
      </c>
      <c r="C266" s="3" t="s">
        <v>438</v>
      </c>
      <c r="D266" s="91" t="s">
        <v>439</v>
      </c>
      <c r="E266" s="91"/>
      <c r="F266" s="3" t="s">
        <v>56</v>
      </c>
      <c r="G266" s="26">
        <v>37.44</v>
      </c>
      <c r="H266" s="59">
        <v>0</v>
      </c>
    </row>
    <row r="267" spans="1:8" x14ac:dyDescent="0.25">
      <c r="A267" s="36"/>
      <c r="D267" s="60" t="s">
        <v>563</v>
      </c>
      <c r="E267" s="130" t="s">
        <v>564</v>
      </c>
      <c r="F267" s="130"/>
      <c r="G267" s="61">
        <v>37.44</v>
      </c>
      <c r="H267" s="62"/>
    </row>
    <row r="268" spans="1:8" x14ac:dyDescent="0.25">
      <c r="A268" s="2" t="s">
        <v>442</v>
      </c>
      <c r="B268" s="3" t="s">
        <v>58</v>
      </c>
      <c r="C268" s="3" t="s">
        <v>443</v>
      </c>
      <c r="D268" s="91" t="s">
        <v>444</v>
      </c>
      <c r="E268" s="91"/>
      <c r="F268" s="3" t="s">
        <v>445</v>
      </c>
      <c r="G268" s="26">
        <v>12</v>
      </c>
      <c r="H268" s="59">
        <v>0</v>
      </c>
    </row>
    <row r="269" spans="1:8" x14ac:dyDescent="0.25">
      <c r="A269" s="2" t="s">
        <v>447</v>
      </c>
      <c r="B269" s="3" t="s">
        <v>58</v>
      </c>
      <c r="C269" s="3" t="s">
        <v>448</v>
      </c>
      <c r="D269" s="91" t="s">
        <v>444</v>
      </c>
      <c r="E269" s="91"/>
      <c r="F269" s="3" t="s">
        <v>445</v>
      </c>
      <c r="G269" s="26">
        <v>6</v>
      </c>
      <c r="H269" s="59">
        <v>0</v>
      </c>
    </row>
    <row r="270" spans="1:8" x14ac:dyDescent="0.25">
      <c r="A270" s="2" t="s">
        <v>450</v>
      </c>
      <c r="B270" s="3" t="s">
        <v>58</v>
      </c>
      <c r="C270" s="3" t="s">
        <v>451</v>
      </c>
      <c r="D270" s="91" t="s">
        <v>444</v>
      </c>
      <c r="E270" s="91"/>
      <c r="F270" s="3" t="s">
        <v>445</v>
      </c>
      <c r="G270" s="26">
        <v>16</v>
      </c>
      <c r="H270" s="59">
        <v>0</v>
      </c>
    </row>
    <row r="271" spans="1:8" x14ac:dyDescent="0.25">
      <c r="A271" s="2" t="s">
        <v>453</v>
      </c>
      <c r="B271" s="3" t="s">
        <v>58</v>
      </c>
      <c r="C271" s="3" t="s">
        <v>454</v>
      </c>
      <c r="D271" s="91" t="s">
        <v>444</v>
      </c>
      <c r="E271" s="91"/>
      <c r="F271" s="3" t="s">
        <v>445</v>
      </c>
      <c r="G271" s="26">
        <v>14</v>
      </c>
      <c r="H271" s="59">
        <v>0</v>
      </c>
    </row>
    <row r="272" spans="1:8" x14ac:dyDescent="0.25">
      <c r="A272" s="2" t="s">
        <v>456</v>
      </c>
      <c r="B272" s="3" t="s">
        <v>58</v>
      </c>
      <c r="C272" s="3" t="s">
        <v>457</v>
      </c>
      <c r="D272" s="91" t="s">
        <v>444</v>
      </c>
      <c r="E272" s="91"/>
      <c r="F272" s="3" t="s">
        <v>445</v>
      </c>
      <c r="G272" s="26">
        <v>48</v>
      </c>
      <c r="H272" s="59">
        <v>0</v>
      </c>
    </row>
    <row r="273" spans="1:8" x14ac:dyDescent="0.25">
      <c r="A273" s="2" t="s">
        <v>459</v>
      </c>
      <c r="B273" s="3" t="s">
        <v>58</v>
      </c>
      <c r="C273" s="3" t="s">
        <v>460</v>
      </c>
      <c r="D273" s="91" t="s">
        <v>461</v>
      </c>
      <c r="E273" s="91"/>
      <c r="F273" s="3" t="s">
        <v>445</v>
      </c>
      <c r="G273" s="26">
        <v>62</v>
      </c>
      <c r="H273" s="59">
        <v>0</v>
      </c>
    </row>
    <row r="274" spans="1:8" x14ac:dyDescent="0.25">
      <c r="A274" s="2" t="s">
        <v>463</v>
      </c>
      <c r="B274" s="3" t="s">
        <v>58</v>
      </c>
      <c r="C274" s="3" t="s">
        <v>464</v>
      </c>
      <c r="D274" s="91" t="s">
        <v>461</v>
      </c>
      <c r="E274" s="91"/>
      <c r="F274" s="3" t="s">
        <v>445</v>
      </c>
      <c r="G274" s="26">
        <v>6</v>
      </c>
      <c r="H274" s="59">
        <v>0</v>
      </c>
    </row>
    <row r="275" spans="1:8" x14ac:dyDescent="0.25">
      <c r="A275" s="2" t="s">
        <v>465</v>
      </c>
      <c r="B275" s="3" t="s">
        <v>58</v>
      </c>
      <c r="C275" s="3" t="s">
        <v>466</v>
      </c>
      <c r="D275" s="91" t="s">
        <v>461</v>
      </c>
      <c r="E275" s="91"/>
      <c r="F275" s="3" t="s">
        <v>445</v>
      </c>
      <c r="G275" s="26">
        <v>6</v>
      </c>
      <c r="H275" s="59">
        <v>0</v>
      </c>
    </row>
    <row r="276" spans="1:8" x14ac:dyDescent="0.25">
      <c r="A276" s="2" t="s">
        <v>468</v>
      </c>
      <c r="B276" s="3" t="s">
        <v>58</v>
      </c>
      <c r="C276" s="3" t="s">
        <v>469</v>
      </c>
      <c r="D276" s="91" t="s">
        <v>461</v>
      </c>
      <c r="E276" s="91"/>
      <c r="F276" s="3" t="s">
        <v>445</v>
      </c>
      <c r="G276" s="26">
        <v>12</v>
      </c>
      <c r="H276" s="59">
        <v>0</v>
      </c>
    </row>
    <row r="277" spans="1:8" x14ac:dyDescent="0.25">
      <c r="A277" s="2" t="s">
        <v>471</v>
      </c>
      <c r="B277" s="3" t="s">
        <v>58</v>
      </c>
      <c r="C277" s="3" t="s">
        <v>472</v>
      </c>
      <c r="D277" s="91" t="s">
        <v>461</v>
      </c>
      <c r="E277" s="91"/>
      <c r="F277" s="3" t="s">
        <v>445</v>
      </c>
      <c r="G277" s="26">
        <v>38</v>
      </c>
      <c r="H277" s="59">
        <v>0</v>
      </c>
    </row>
    <row r="278" spans="1:8" x14ac:dyDescent="0.25">
      <c r="A278" s="2" t="s">
        <v>473</v>
      </c>
      <c r="B278" s="3" t="s">
        <v>58</v>
      </c>
      <c r="C278" s="3" t="s">
        <v>474</v>
      </c>
      <c r="D278" s="91" t="s">
        <v>475</v>
      </c>
      <c r="E278" s="91"/>
      <c r="F278" s="3" t="s">
        <v>102</v>
      </c>
      <c r="G278" s="26">
        <v>0.3533</v>
      </c>
      <c r="H278" s="59">
        <v>0</v>
      </c>
    </row>
    <row r="279" spans="1:8" x14ac:dyDescent="0.25">
      <c r="A279" s="63" t="s">
        <v>50</v>
      </c>
      <c r="B279" s="32" t="s">
        <v>50</v>
      </c>
      <c r="C279" s="32" t="s">
        <v>476</v>
      </c>
      <c r="D279" s="117" t="s">
        <v>477</v>
      </c>
      <c r="E279" s="117"/>
      <c r="F279" s="32" t="s">
        <v>50</v>
      </c>
      <c r="G279" s="11" t="s">
        <v>50</v>
      </c>
      <c r="H279" s="35" t="s">
        <v>50</v>
      </c>
    </row>
    <row r="280" spans="1:8" x14ac:dyDescent="0.25">
      <c r="A280" s="2" t="s">
        <v>478</v>
      </c>
      <c r="B280" s="3" t="s">
        <v>58</v>
      </c>
      <c r="C280" s="3" t="s">
        <v>479</v>
      </c>
      <c r="D280" s="91" t="s">
        <v>480</v>
      </c>
      <c r="E280" s="91"/>
      <c r="F280" s="3" t="s">
        <v>56</v>
      </c>
      <c r="G280" s="26">
        <v>2.25</v>
      </c>
      <c r="H280" s="59">
        <v>0</v>
      </c>
    </row>
    <row r="281" spans="1:8" x14ac:dyDescent="0.25">
      <c r="A281" s="36"/>
      <c r="D281" s="60" t="s">
        <v>692</v>
      </c>
      <c r="E281" s="130" t="s">
        <v>566</v>
      </c>
      <c r="F281" s="130"/>
      <c r="G281" s="61">
        <v>2.25</v>
      </c>
      <c r="H281" s="62"/>
    </row>
    <row r="282" spans="1:8" x14ac:dyDescent="0.25">
      <c r="A282" s="2" t="s">
        <v>483</v>
      </c>
      <c r="B282" s="3" t="s">
        <v>58</v>
      </c>
      <c r="C282" s="3" t="s">
        <v>54</v>
      </c>
      <c r="D282" s="91" t="s">
        <v>484</v>
      </c>
      <c r="E282" s="91"/>
      <c r="F282" s="3" t="s">
        <v>56</v>
      </c>
      <c r="G282" s="26">
        <v>2.4750000000000001</v>
      </c>
      <c r="H282" s="59">
        <v>0</v>
      </c>
    </row>
    <row r="283" spans="1:8" x14ac:dyDescent="0.25">
      <c r="A283" s="36"/>
      <c r="D283" s="60" t="s">
        <v>692</v>
      </c>
      <c r="E283" s="130" t="s">
        <v>566</v>
      </c>
      <c r="F283" s="130"/>
      <c r="G283" s="61">
        <v>2.25</v>
      </c>
      <c r="H283" s="62"/>
    </row>
    <row r="284" spans="1:8" x14ac:dyDescent="0.25">
      <c r="A284" s="2" t="s">
        <v>50</v>
      </c>
      <c r="B284" s="3" t="s">
        <v>50</v>
      </c>
      <c r="C284" s="3" t="s">
        <v>50</v>
      </c>
      <c r="D284" s="60" t="s">
        <v>693</v>
      </c>
      <c r="E284" s="130" t="s">
        <v>50</v>
      </c>
      <c r="F284" s="130"/>
      <c r="G284" s="61">
        <v>0.22500000000000001</v>
      </c>
      <c r="H284" s="28" t="s">
        <v>50</v>
      </c>
    </row>
    <row r="285" spans="1:8" x14ac:dyDescent="0.25">
      <c r="A285" s="2" t="s">
        <v>485</v>
      </c>
      <c r="B285" s="3" t="s">
        <v>58</v>
      </c>
      <c r="C285" s="3" t="s">
        <v>486</v>
      </c>
      <c r="D285" s="91" t="s">
        <v>487</v>
      </c>
      <c r="E285" s="91"/>
      <c r="F285" s="3" t="s">
        <v>102</v>
      </c>
      <c r="G285" s="26">
        <v>5.9310000000000002E-2</v>
      </c>
      <c r="H285" s="59">
        <v>0</v>
      </c>
    </row>
    <row r="286" spans="1:8" x14ac:dyDescent="0.25">
      <c r="A286" s="63" t="s">
        <v>50</v>
      </c>
      <c r="B286" s="32" t="s">
        <v>50</v>
      </c>
      <c r="C286" s="32" t="s">
        <v>488</v>
      </c>
      <c r="D286" s="117" t="s">
        <v>489</v>
      </c>
      <c r="E286" s="117"/>
      <c r="F286" s="32" t="s">
        <v>50</v>
      </c>
      <c r="G286" s="11" t="s">
        <v>50</v>
      </c>
      <c r="H286" s="35" t="s">
        <v>50</v>
      </c>
    </row>
    <row r="287" spans="1:8" x14ac:dyDescent="0.25">
      <c r="A287" s="2" t="s">
        <v>490</v>
      </c>
      <c r="B287" s="3" t="s">
        <v>58</v>
      </c>
      <c r="C287" s="3" t="s">
        <v>491</v>
      </c>
      <c r="D287" s="91" t="s">
        <v>492</v>
      </c>
      <c r="E287" s="91"/>
      <c r="F287" s="3" t="s">
        <v>56</v>
      </c>
      <c r="G287" s="26">
        <v>39.090000000000003</v>
      </c>
      <c r="H287" s="59">
        <v>0</v>
      </c>
    </row>
    <row r="288" spans="1:8" x14ac:dyDescent="0.25">
      <c r="A288" s="36"/>
      <c r="D288" s="60" t="s">
        <v>570</v>
      </c>
      <c r="E288" s="130" t="s">
        <v>566</v>
      </c>
      <c r="F288" s="130"/>
      <c r="G288" s="61">
        <v>1.65</v>
      </c>
      <c r="H288" s="62"/>
    </row>
    <row r="289" spans="1:8" x14ac:dyDescent="0.25">
      <c r="A289" s="2" t="s">
        <v>50</v>
      </c>
      <c r="B289" s="3" t="s">
        <v>50</v>
      </c>
      <c r="C289" s="3" t="s">
        <v>50</v>
      </c>
      <c r="D289" s="60" t="s">
        <v>563</v>
      </c>
      <c r="E289" s="130" t="s">
        <v>564</v>
      </c>
      <c r="F289" s="130"/>
      <c r="G289" s="61">
        <v>37.44</v>
      </c>
      <c r="H289" s="28" t="s">
        <v>50</v>
      </c>
    </row>
    <row r="290" spans="1:8" x14ac:dyDescent="0.25">
      <c r="A290" s="2" t="s">
        <v>494</v>
      </c>
      <c r="B290" s="3" t="s">
        <v>58</v>
      </c>
      <c r="C290" s="3" t="s">
        <v>495</v>
      </c>
      <c r="D290" s="91" t="s">
        <v>496</v>
      </c>
      <c r="E290" s="91"/>
      <c r="F290" s="3" t="s">
        <v>56</v>
      </c>
      <c r="G290" s="26">
        <v>1.65</v>
      </c>
      <c r="H290" s="59">
        <v>0</v>
      </c>
    </row>
    <row r="291" spans="1:8" x14ac:dyDescent="0.25">
      <c r="A291" s="36"/>
      <c r="D291" s="60" t="s">
        <v>570</v>
      </c>
      <c r="E291" s="130" t="s">
        <v>566</v>
      </c>
      <c r="F291" s="130"/>
      <c r="G291" s="61">
        <v>1.65</v>
      </c>
      <c r="H291" s="62"/>
    </row>
    <row r="292" spans="1:8" x14ac:dyDescent="0.25">
      <c r="A292" s="2" t="s">
        <v>497</v>
      </c>
      <c r="B292" s="3" t="s">
        <v>58</v>
      </c>
      <c r="C292" s="3" t="s">
        <v>498</v>
      </c>
      <c r="D292" s="91" t="s">
        <v>499</v>
      </c>
      <c r="E292" s="91"/>
      <c r="F292" s="3" t="s">
        <v>56</v>
      </c>
      <c r="G292" s="26">
        <v>44.4</v>
      </c>
      <c r="H292" s="59">
        <v>0</v>
      </c>
    </row>
    <row r="293" spans="1:8" x14ac:dyDescent="0.25">
      <c r="A293" s="36"/>
      <c r="D293" s="60" t="s">
        <v>694</v>
      </c>
      <c r="E293" s="130" t="s">
        <v>566</v>
      </c>
      <c r="F293" s="130"/>
      <c r="G293" s="61">
        <v>6</v>
      </c>
      <c r="H293" s="62"/>
    </row>
    <row r="294" spans="1:8" x14ac:dyDescent="0.25">
      <c r="A294" s="2" t="s">
        <v>50</v>
      </c>
      <c r="B294" s="3" t="s">
        <v>50</v>
      </c>
      <c r="C294" s="3" t="s">
        <v>50</v>
      </c>
      <c r="D294" s="60" t="s">
        <v>695</v>
      </c>
      <c r="E294" s="130" t="s">
        <v>564</v>
      </c>
      <c r="F294" s="130"/>
      <c r="G294" s="61">
        <v>38.4</v>
      </c>
      <c r="H294" s="28" t="s">
        <v>50</v>
      </c>
    </row>
    <row r="295" spans="1:8" x14ac:dyDescent="0.25">
      <c r="A295" s="2" t="s">
        <v>501</v>
      </c>
      <c r="B295" s="3" t="s">
        <v>58</v>
      </c>
      <c r="C295" s="3" t="s">
        <v>502</v>
      </c>
      <c r="D295" s="91" t="s">
        <v>503</v>
      </c>
      <c r="E295" s="91"/>
      <c r="F295" s="3" t="s">
        <v>56</v>
      </c>
      <c r="G295" s="26">
        <v>39.090000000000003</v>
      </c>
      <c r="H295" s="59">
        <v>0</v>
      </c>
    </row>
    <row r="296" spans="1:8" x14ac:dyDescent="0.25">
      <c r="A296" s="36"/>
      <c r="D296" s="60" t="s">
        <v>570</v>
      </c>
      <c r="E296" s="130" t="s">
        <v>566</v>
      </c>
      <c r="F296" s="130"/>
      <c r="G296" s="61">
        <v>1.65</v>
      </c>
      <c r="H296" s="62"/>
    </row>
    <row r="297" spans="1:8" x14ac:dyDescent="0.25">
      <c r="A297" s="2" t="s">
        <v>50</v>
      </c>
      <c r="B297" s="3" t="s">
        <v>50</v>
      </c>
      <c r="C297" s="3" t="s">
        <v>50</v>
      </c>
      <c r="D297" s="60" t="s">
        <v>563</v>
      </c>
      <c r="E297" s="130" t="s">
        <v>564</v>
      </c>
      <c r="F297" s="130"/>
      <c r="G297" s="61">
        <v>37.44</v>
      </c>
      <c r="H297" s="28" t="s">
        <v>50</v>
      </c>
    </row>
    <row r="298" spans="1:8" x14ac:dyDescent="0.25">
      <c r="A298" s="2" t="s">
        <v>504</v>
      </c>
      <c r="B298" s="3" t="s">
        <v>58</v>
      </c>
      <c r="C298" s="3" t="s">
        <v>505</v>
      </c>
      <c r="D298" s="91" t="s">
        <v>506</v>
      </c>
      <c r="E298" s="91"/>
      <c r="F298" s="3" t="s">
        <v>56</v>
      </c>
      <c r="G298" s="26">
        <v>39.090000000000003</v>
      </c>
      <c r="H298" s="59">
        <v>0</v>
      </c>
    </row>
    <row r="299" spans="1:8" x14ac:dyDescent="0.25">
      <c r="A299" s="36"/>
      <c r="D299" s="60" t="s">
        <v>570</v>
      </c>
      <c r="E299" s="130" t="s">
        <v>566</v>
      </c>
      <c r="F299" s="130"/>
      <c r="G299" s="61">
        <v>1.65</v>
      </c>
      <c r="H299" s="62"/>
    </row>
    <row r="300" spans="1:8" x14ac:dyDescent="0.25">
      <c r="A300" s="2" t="s">
        <v>50</v>
      </c>
      <c r="B300" s="3" t="s">
        <v>50</v>
      </c>
      <c r="C300" s="3" t="s">
        <v>50</v>
      </c>
      <c r="D300" s="60" t="s">
        <v>563</v>
      </c>
      <c r="E300" s="130" t="s">
        <v>564</v>
      </c>
      <c r="F300" s="130"/>
      <c r="G300" s="61">
        <v>37.44</v>
      </c>
      <c r="H300" s="28" t="s">
        <v>50</v>
      </c>
    </row>
    <row r="301" spans="1:8" x14ac:dyDescent="0.25">
      <c r="A301" s="63" t="s">
        <v>50</v>
      </c>
      <c r="B301" s="32" t="s">
        <v>50</v>
      </c>
      <c r="C301" s="32" t="s">
        <v>337</v>
      </c>
      <c r="D301" s="117" t="s">
        <v>507</v>
      </c>
      <c r="E301" s="117"/>
      <c r="F301" s="32" t="s">
        <v>50</v>
      </c>
      <c r="G301" s="11" t="s">
        <v>50</v>
      </c>
      <c r="H301" s="35" t="s">
        <v>50</v>
      </c>
    </row>
    <row r="302" spans="1:8" x14ac:dyDescent="0.25">
      <c r="A302" s="2" t="s">
        <v>508</v>
      </c>
      <c r="B302" s="3" t="s">
        <v>58</v>
      </c>
      <c r="C302" s="3" t="s">
        <v>509</v>
      </c>
      <c r="D302" s="91" t="s">
        <v>510</v>
      </c>
      <c r="E302" s="91"/>
      <c r="F302" s="3" t="s">
        <v>511</v>
      </c>
      <c r="G302" s="26">
        <v>72</v>
      </c>
      <c r="H302" s="59">
        <v>0</v>
      </c>
    </row>
    <row r="303" spans="1:8" x14ac:dyDescent="0.25">
      <c r="A303" s="36"/>
      <c r="D303" s="60" t="s">
        <v>696</v>
      </c>
      <c r="E303" s="130" t="s">
        <v>626</v>
      </c>
      <c r="F303" s="130"/>
      <c r="G303" s="61">
        <v>72</v>
      </c>
      <c r="H303" s="62"/>
    </row>
    <row r="304" spans="1:8" x14ac:dyDescent="0.25">
      <c r="A304" s="2" t="s">
        <v>515</v>
      </c>
      <c r="B304" s="3" t="s">
        <v>58</v>
      </c>
      <c r="C304" s="3" t="s">
        <v>516</v>
      </c>
      <c r="D304" s="91" t="s">
        <v>517</v>
      </c>
      <c r="E304" s="91"/>
      <c r="F304" s="3" t="s">
        <v>511</v>
      </c>
      <c r="G304" s="26">
        <v>36</v>
      </c>
      <c r="H304" s="59">
        <v>0</v>
      </c>
    </row>
    <row r="305" spans="1:8" x14ac:dyDescent="0.25">
      <c r="A305" s="36"/>
      <c r="D305" s="60" t="s">
        <v>697</v>
      </c>
      <c r="E305" s="130" t="s">
        <v>626</v>
      </c>
      <c r="F305" s="130"/>
      <c r="G305" s="61">
        <v>36</v>
      </c>
      <c r="H305" s="62"/>
    </row>
    <row r="306" spans="1:8" x14ac:dyDescent="0.25">
      <c r="A306" s="63" t="s">
        <v>50</v>
      </c>
      <c r="B306" s="32" t="s">
        <v>50</v>
      </c>
      <c r="C306" s="32" t="s">
        <v>358</v>
      </c>
      <c r="D306" s="117" t="s">
        <v>519</v>
      </c>
      <c r="E306" s="117"/>
      <c r="F306" s="32" t="s">
        <v>50</v>
      </c>
      <c r="G306" s="11" t="s">
        <v>50</v>
      </c>
      <c r="H306" s="35" t="s">
        <v>50</v>
      </c>
    </row>
    <row r="307" spans="1:8" x14ac:dyDescent="0.25">
      <c r="A307" s="2" t="s">
        <v>520</v>
      </c>
      <c r="B307" s="3" t="s">
        <v>58</v>
      </c>
      <c r="C307" s="3" t="s">
        <v>521</v>
      </c>
      <c r="D307" s="91" t="s">
        <v>522</v>
      </c>
      <c r="E307" s="91"/>
      <c r="F307" s="3" t="s">
        <v>56</v>
      </c>
      <c r="G307" s="26">
        <v>3.64</v>
      </c>
      <c r="H307" s="59">
        <v>0</v>
      </c>
    </row>
    <row r="308" spans="1:8" x14ac:dyDescent="0.25">
      <c r="A308" s="36"/>
      <c r="D308" s="60" t="s">
        <v>565</v>
      </c>
      <c r="E308" s="130" t="s">
        <v>566</v>
      </c>
      <c r="F308" s="130"/>
      <c r="G308" s="61">
        <v>3.64</v>
      </c>
      <c r="H308" s="62"/>
    </row>
    <row r="309" spans="1:8" x14ac:dyDescent="0.25">
      <c r="A309" s="2" t="s">
        <v>524</v>
      </c>
      <c r="B309" s="3" t="s">
        <v>58</v>
      </c>
      <c r="C309" s="3" t="s">
        <v>525</v>
      </c>
      <c r="D309" s="91" t="s">
        <v>526</v>
      </c>
      <c r="E309" s="91"/>
      <c r="F309" s="3" t="s">
        <v>56</v>
      </c>
      <c r="G309" s="26">
        <v>2.25</v>
      </c>
      <c r="H309" s="59">
        <v>0</v>
      </c>
    </row>
    <row r="310" spans="1:8" x14ac:dyDescent="0.25">
      <c r="A310" s="36"/>
      <c r="D310" s="60" t="s">
        <v>692</v>
      </c>
      <c r="E310" s="130" t="s">
        <v>566</v>
      </c>
      <c r="F310" s="130"/>
      <c r="G310" s="61">
        <v>2.25</v>
      </c>
      <c r="H310" s="62"/>
    </row>
    <row r="311" spans="1:8" x14ac:dyDescent="0.25">
      <c r="A311" s="2" t="s">
        <v>527</v>
      </c>
      <c r="B311" s="3" t="s">
        <v>58</v>
      </c>
      <c r="C311" s="3" t="s">
        <v>528</v>
      </c>
      <c r="D311" s="91" t="s">
        <v>529</v>
      </c>
      <c r="E311" s="91"/>
      <c r="F311" s="3" t="s">
        <v>102</v>
      </c>
      <c r="G311" s="26">
        <v>0.83969000000000005</v>
      </c>
      <c r="H311" s="59">
        <v>0</v>
      </c>
    </row>
    <row r="312" spans="1:8" x14ac:dyDescent="0.25">
      <c r="A312" s="2" t="s">
        <v>530</v>
      </c>
      <c r="B312" s="3" t="s">
        <v>58</v>
      </c>
      <c r="C312" s="3" t="s">
        <v>531</v>
      </c>
      <c r="D312" s="91" t="s">
        <v>532</v>
      </c>
      <c r="E312" s="91"/>
      <c r="F312" s="3" t="s">
        <v>102</v>
      </c>
      <c r="G312" s="26">
        <v>8.3969000000000005</v>
      </c>
      <c r="H312" s="59">
        <v>0</v>
      </c>
    </row>
    <row r="313" spans="1:8" x14ac:dyDescent="0.25">
      <c r="A313" s="36"/>
      <c r="D313" s="60" t="s">
        <v>698</v>
      </c>
      <c r="E313" s="130" t="s">
        <v>50</v>
      </c>
      <c r="F313" s="130"/>
      <c r="G313" s="61">
        <v>8.3969000000000005</v>
      </c>
      <c r="H313" s="62"/>
    </row>
    <row r="314" spans="1:8" x14ac:dyDescent="0.25">
      <c r="A314" s="2" t="s">
        <v>533</v>
      </c>
      <c r="B314" s="3" t="s">
        <v>58</v>
      </c>
      <c r="C314" s="3" t="s">
        <v>534</v>
      </c>
      <c r="D314" s="91" t="s">
        <v>535</v>
      </c>
      <c r="E314" s="91"/>
      <c r="F314" s="3" t="s">
        <v>102</v>
      </c>
      <c r="G314" s="26">
        <v>0.83969000000000005</v>
      </c>
      <c r="H314" s="59">
        <v>0</v>
      </c>
    </row>
    <row r="315" spans="1:8" x14ac:dyDescent="0.25">
      <c r="A315" s="2" t="s">
        <v>536</v>
      </c>
      <c r="B315" s="3" t="s">
        <v>58</v>
      </c>
      <c r="C315" s="3" t="s">
        <v>537</v>
      </c>
      <c r="D315" s="91" t="s">
        <v>538</v>
      </c>
      <c r="E315" s="91"/>
      <c r="F315" s="3" t="s">
        <v>102</v>
      </c>
      <c r="G315" s="26">
        <v>0.83969000000000005</v>
      </c>
      <c r="H315" s="59">
        <v>0</v>
      </c>
    </row>
    <row r="316" spans="1:8" x14ac:dyDescent="0.25">
      <c r="A316" s="2" t="s">
        <v>539</v>
      </c>
      <c r="B316" s="3" t="s">
        <v>58</v>
      </c>
      <c r="C316" s="3" t="s">
        <v>540</v>
      </c>
      <c r="D316" s="91" t="s">
        <v>541</v>
      </c>
      <c r="E316" s="91"/>
      <c r="F316" s="3" t="s">
        <v>542</v>
      </c>
      <c r="G316" s="26">
        <v>2</v>
      </c>
      <c r="H316" s="59">
        <v>0</v>
      </c>
    </row>
    <row r="317" spans="1:8" x14ac:dyDescent="0.25">
      <c r="A317" s="2" t="s">
        <v>543</v>
      </c>
      <c r="B317" s="3" t="s">
        <v>58</v>
      </c>
      <c r="C317" s="3" t="s">
        <v>544</v>
      </c>
      <c r="D317" s="91" t="s">
        <v>545</v>
      </c>
      <c r="E317" s="91"/>
      <c r="F317" s="3" t="s">
        <v>102</v>
      </c>
      <c r="G317" s="26">
        <v>0.83969000000000005</v>
      </c>
      <c r="H317" s="59">
        <v>0</v>
      </c>
    </row>
    <row r="318" spans="1:8" x14ac:dyDescent="0.25">
      <c r="A318" s="2" t="s">
        <v>546</v>
      </c>
      <c r="B318" s="3" t="s">
        <v>58</v>
      </c>
      <c r="C318" s="3" t="s">
        <v>547</v>
      </c>
      <c r="D318" s="91" t="s">
        <v>548</v>
      </c>
      <c r="E318" s="91"/>
      <c r="F318" s="3" t="s">
        <v>102</v>
      </c>
      <c r="G318" s="26">
        <v>1.76725</v>
      </c>
      <c r="H318" s="59">
        <v>0</v>
      </c>
    </row>
    <row r="319" spans="1:8" x14ac:dyDescent="0.25">
      <c r="A319" s="38" t="s">
        <v>549</v>
      </c>
      <c r="B319" s="39" t="s">
        <v>58</v>
      </c>
      <c r="C319" s="39" t="s">
        <v>550</v>
      </c>
      <c r="D319" s="123" t="s">
        <v>551</v>
      </c>
      <c r="E319" s="123"/>
      <c r="F319" s="39" t="s">
        <v>102</v>
      </c>
      <c r="G319" s="40">
        <v>3.3308599999999999</v>
      </c>
      <c r="H319" s="64">
        <v>0</v>
      </c>
    </row>
    <row r="321" spans="1:7" x14ac:dyDescent="0.25">
      <c r="A321" s="44" t="s">
        <v>553</v>
      </c>
    </row>
    <row r="322" spans="1:7" ht="12.75" customHeight="1" x14ac:dyDescent="0.25">
      <c r="A322" s="96" t="s">
        <v>50</v>
      </c>
      <c r="B322" s="91"/>
      <c r="C322" s="91"/>
      <c r="D322" s="91"/>
      <c r="E322" s="91"/>
      <c r="F322" s="91"/>
      <c r="G322" s="91"/>
    </row>
  </sheetData>
  <sheetProtection password="8A17" sheet="1"/>
  <mergeCells count="328">
    <mergeCell ref="D319:E319"/>
    <mergeCell ref="A322:G322"/>
    <mergeCell ref="D314:E314"/>
    <mergeCell ref="D315:E315"/>
    <mergeCell ref="D316:E316"/>
    <mergeCell ref="D317:E317"/>
    <mergeCell ref="D318:E318"/>
    <mergeCell ref="D309:E309"/>
    <mergeCell ref="E310:F310"/>
    <mergeCell ref="D311:E311"/>
    <mergeCell ref="D312:E312"/>
    <mergeCell ref="E313:F313"/>
    <mergeCell ref="D304:E304"/>
    <mergeCell ref="E305:F305"/>
    <mergeCell ref="D306:E306"/>
    <mergeCell ref="D307:E307"/>
    <mergeCell ref="E308:F308"/>
    <mergeCell ref="E299:F299"/>
    <mergeCell ref="E300:F300"/>
    <mergeCell ref="D301:E301"/>
    <mergeCell ref="D302:E302"/>
    <mergeCell ref="E303:F303"/>
    <mergeCell ref="E294:F294"/>
    <mergeCell ref="D295:E295"/>
    <mergeCell ref="E296:F296"/>
    <mergeCell ref="E297:F297"/>
    <mergeCell ref="D298:E298"/>
    <mergeCell ref="E289:F289"/>
    <mergeCell ref="D290:E290"/>
    <mergeCell ref="E291:F291"/>
    <mergeCell ref="D292:E292"/>
    <mergeCell ref="E293:F293"/>
    <mergeCell ref="E284:F284"/>
    <mergeCell ref="D285:E285"/>
    <mergeCell ref="D286:E286"/>
    <mergeCell ref="D287:E287"/>
    <mergeCell ref="E288:F288"/>
    <mergeCell ref="D279:E279"/>
    <mergeCell ref="D280:E280"/>
    <mergeCell ref="E281:F281"/>
    <mergeCell ref="D282:E282"/>
    <mergeCell ref="E283:F283"/>
    <mergeCell ref="D274:E274"/>
    <mergeCell ref="D275:E275"/>
    <mergeCell ref="D276:E276"/>
    <mergeCell ref="D277:E277"/>
    <mergeCell ref="D278:E278"/>
    <mergeCell ref="D269:E269"/>
    <mergeCell ref="D270:E270"/>
    <mergeCell ref="D271:E271"/>
    <mergeCell ref="D272:E272"/>
    <mergeCell ref="D273:E273"/>
    <mergeCell ref="D264:E264"/>
    <mergeCell ref="D265:E265"/>
    <mergeCell ref="D266:E266"/>
    <mergeCell ref="E267:F267"/>
    <mergeCell ref="D268:E268"/>
    <mergeCell ref="D259:E259"/>
    <mergeCell ref="D260:E260"/>
    <mergeCell ref="D261:E261"/>
    <mergeCell ref="D262:E262"/>
    <mergeCell ref="D263:E263"/>
    <mergeCell ref="E254:F254"/>
    <mergeCell ref="E255:F255"/>
    <mergeCell ref="D256:E256"/>
    <mergeCell ref="D257:E257"/>
    <mergeCell ref="E258:F258"/>
    <mergeCell ref="E249:F249"/>
    <mergeCell ref="E250:F250"/>
    <mergeCell ref="D251:E251"/>
    <mergeCell ref="D252:E252"/>
    <mergeCell ref="D253:E253"/>
    <mergeCell ref="E244:F244"/>
    <mergeCell ref="E245:F245"/>
    <mergeCell ref="D246:E246"/>
    <mergeCell ref="D247:E247"/>
    <mergeCell ref="D248:E248"/>
    <mergeCell ref="D239:E239"/>
    <mergeCell ref="D240:E240"/>
    <mergeCell ref="E241:F241"/>
    <mergeCell ref="E242:F242"/>
    <mergeCell ref="D243:E243"/>
    <mergeCell ref="E234:F234"/>
    <mergeCell ref="D235:E235"/>
    <mergeCell ref="D236:E236"/>
    <mergeCell ref="D237:E237"/>
    <mergeCell ref="D238:E238"/>
    <mergeCell ref="E229:F229"/>
    <mergeCell ref="E230:F230"/>
    <mergeCell ref="E231:F231"/>
    <mergeCell ref="E232:F232"/>
    <mergeCell ref="D233:E233"/>
    <mergeCell ref="E224:F224"/>
    <mergeCell ref="E225:F225"/>
    <mergeCell ref="D226:E226"/>
    <mergeCell ref="E227:F227"/>
    <mergeCell ref="E228:F228"/>
    <mergeCell ref="D219:E219"/>
    <mergeCell ref="E220:F220"/>
    <mergeCell ref="E221:F221"/>
    <mergeCell ref="E222:F222"/>
    <mergeCell ref="E223:F223"/>
    <mergeCell ref="E214:F214"/>
    <mergeCell ref="D215:E215"/>
    <mergeCell ref="E216:F216"/>
    <mergeCell ref="E217:F217"/>
    <mergeCell ref="D218:E218"/>
    <mergeCell ref="D209:E209"/>
    <mergeCell ref="D210:E210"/>
    <mergeCell ref="D211:E211"/>
    <mergeCell ref="D212:E212"/>
    <mergeCell ref="E213:F213"/>
    <mergeCell ref="E204:F204"/>
    <mergeCell ref="D205:E205"/>
    <mergeCell ref="E206:F206"/>
    <mergeCell ref="D207:E207"/>
    <mergeCell ref="D208:E208"/>
    <mergeCell ref="E199:F199"/>
    <mergeCell ref="E200:F200"/>
    <mergeCell ref="E201:F201"/>
    <mergeCell ref="E202:F202"/>
    <mergeCell ref="D203:E203"/>
    <mergeCell ref="E194:F194"/>
    <mergeCell ref="D195:E195"/>
    <mergeCell ref="E196:F196"/>
    <mergeCell ref="E197:F197"/>
    <mergeCell ref="D198:E198"/>
    <mergeCell ref="D189:E189"/>
    <mergeCell ref="E190:F190"/>
    <mergeCell ref="E191:F191"/>
    <mergeCell ref="D192:E192"/>
    <mergeCell ref="E193:F193"/>
    <mergeCell ref="E184:F184"/>
    <mergeCell ref="E185:F185"/>
    <mergeCell ref="D186:E186"/>
    <mergeCell ref="E187:F187"/>
    <mergeCell ref="E188:F188"/>
    <mergeCell ref="E179:F179"/>
    <mergeCell ref="D180:E180"/>
    <mergeCell ref="E181:F181"/>
    <mergeCell ref="E182:F182"/>
    <mergeCell ref="D183:E183"/>
    <mergeCell ref="D174:E174"/>
    <mergeCell ref="E175:F175"/>
    <mergeCell ref="D176:E176"/>
    <mergeCell ref="E177:F177"/>
    <mergeCell ref="E178:F178"/>
    <mergeCell ref="E169:F169"/>
    <mergeCell ref="D170:E170"/>
    <mergeCell ref="E171:F171"/>
    <mergeCell ref="E172:F172"/>
    <mergeCell ref="E173:F173"/>
    <mergeCell ref="D164:E164"/>
    <mergeCell ref="D165:E165"/>
    <mergeCell ref="E166:F166"/>
    <mergeCell ref="E167:F167"/>
    <mergeCell ref="D168:E168"/>
    <mergeCell ref="D159:E159"/>
    <mergeCell ref="E160:F160"/>
    <mergeCell ref="E161:F161"/>
    <mergeCell ref="E162:F162"/>
    <mergeCell ref="D163:E163"/>
    <mergeCell ref="E154:F154"/>
    <mergeCell ref="E155:F155"/>
    <mergeCell ref="D156:E156"/>
    <mergeCell ref="E157:F157"/>
    <mergeCell ref="E158:F158"/>
    <mergeCell ref="D149:E149"/>
    <mergeCell ref="D150:E150"/>
    <mergeCell ref="E151:F151"/>
    <mergeCell ref="E152:F152"/>
    <mergeCell ref="D153:E153"/>
    <mergeCell ref="E144:F144"/>
    <mergeCell ref="E145:F145"/>
    <mergeCell ref="E146:F146"/>
    <mergeCell ref="D147:E147"/>
    <mergeCell ref="D148:E148"/>
    <mergeCell ref="D139:E139"/>
    <mergeCell ref="D140:E140"/>
    <mergeCell ref="D141:E141"/>
    <mergeCell ref="E142:F142"/>
    <mergeCell ref="D143:E143"/>
    <mergeCell ref="E134:F134"/>
    <mergeCell ref="E135:F135"/>
    <mergeCell ref="D136:E136"/>
    <mergeCell ref="D137:E137"/>
    <mergeCell ref="D138:E138"/>
    <mergeCell ref="D129:E129"/>
    <mergeCell ref="D130:E130"/>
    <mergeCell ref="D131:E131"/>
    <mergeCell ref="D132:E132"/>
    <mergeCell ref="D133:E133"/>
    <mergeCell ref="E124:F124"/>
    <mergeCell ref="D125:E125"/>
    <mergeCell ref="E126:F126"/>
    <mergeCell ref="D127:E127"/>
    <mergeCell ref="D128:E128"/>
    <mergeCell ref="D119:E119"/>
    <mergeCell ref="D120:E120"/>
    <mergeCell ref="D121:E121"/>
    <mergeCell ref="D122:E122"/>
    <mergeCell ref="E123:F123"/>
    <mergeCell ref="E114:F114"/>
    <mergeCell ref="E115:F115"/>
    <mergeCell ref="D116:E116"/>
    <mergeCell ref="D117:E117"/>
    <mergeCell ref="D118:E118"/>
    <mergeCell ref="D109:E109"/>
    <mergeCell ref="D110:E110"/>
    <mergeCell ref="D111:E111"/>
    <mergeCell ref="D112:E112"/>
    <mergeCell ref="D113:E113"/>
    <mergeCell ref="D104:E104"/>
    <mergeCell ref="D105:E105"/>
    <mergeCell ref="D106:E106"/>
    <mergeCell ref="D107:E107"/>
    <mergeCell ref="D108:E108"/>
    <mergeCell ref="D99:E99"/>
    <mergeCell ref="D100:E100"/>
    <mergeCell ref="D101:E101"/>
    <mergeCell ref="E102:F102"/>
    <mergeCell ref="E103:F103"/>
    <mergeCell ref="E94:F94"/>
    <mergeCell ref="D95:E95"/>
    <mergeCell ref="E96:F96"/>
    <mergeCell ref="D97:E97"/>
    <mergeCell ref="E98:F98"/>
    <mergeCell ref="D89:E89"/>
    <mergeCell ref="E90:F90"/>
    <mergeCell ref="E91:F91"/>
    <mergeCell ref="D92:E92"/>
    <mergeCell ref="E93:F93"/>
    <mergeCell ref="E84:F84"/>
    <mergeCell ref="E85:F85"/>
    <mergeCell ref="E86:F86"/>
    <mergeCell ref="E87:F87"/>
    <mergeCell ref="E88:F88"/>
    <mergeCell ref="E79:F79"/>
    <mergeCell ref="D80:E80"/>
    <mergeCell ref="E81:F81"/>
    <mergeCell ref="E82:F82"/>
    <mergeCell ref="D83:E83"/>
    <mergeCell ref="D74:E74"/>
    <mergeCell ref="E75:F75"/>
    <mergeCell ref="D76:E76"/>
    <mergeCell ref="D77:E77"/>
    <mergeCell ref="D78:E78"/>
    <mergeCell ref="E69:F69"/>
    <mergeCell ref="D70:E70"/>
    <mergeCell ref="E71:F71"/>
    <mergeCell ref="E72:F72"/>
    <mergeCell ref="E73:F73"/>
    <mergeCell ref="D64:E64"/>
    <mergeCell ref="E65:F65"/>
    <mergeCell ref="E66:F66"/>
    <mergeCell ref="E67:F67"/>
    <mergeCell ref="D68:E68"/>
    <mergeCell ref="E59:F59"/>
    <mergeCell ref="D60:E60"/>
    <mergeCell ref="E61:F61"/>
    <mergeCell ref="D62:E62"/>
    <mergeCell ref="E63:F63"/>
    <mergeCell ref="E54:F54"/>
    <mergeCell ref="E55:F55"/>
    <mergeCell ref="D56:E56"/>
    <mergeCell ref="D57:E57"/>
    <mergeCell ref="E58:F58"/>
    <mergeCell ref="E49:F49"/>
    <mergeCell ref="D50:E50"/>
    <mergeCell ref="E51:F51"/>
    <mergeCell ref="E52:F52"/>
    <mergeCell ref="D53:E53"/>
    <mergeCell ref="E44:F44"/>
    <mergeCell ref="E45:F45"/>
    <mergeCell ref="E46:F46"/>
    <mergeCell ref="D47:E47"/>
    <mergeCell ref="E48:F48"/>
    <mergeCell ref="E39:F39"/>
    <mergeCell ref="D40:E40"/>
    <mergeCell ref="E41:F41"/>
    <mergeCell ref="E42:F42"/>
    <mergeCell ref="D43:E43"/>
    <mergeCell ref="E34:F34"/>
    <mergeCell ref="D35:E35"/>
    <mergeCell ref="E36:F36"/>
    <mergeCell ref="D37:E37"/>
    <mergeCell ref="E38:F38"/>
    <mergeCell ref="D29:E29"/>
    <mergeCell ref="E30:F30"/>
    <mergeCell ref="D31:E31"/>
    <mergeCell ref="D32:E32"/>
    <mergeCell ref="D33:E33"/>
    <mergeCell ref="D24:E24"/>
    <mergeCell ref="E25:F25"/>
    <mergeCell ref="D26:E26"/>
    <mergeCell ref="D27:E27"/>
    <mergeCell ref="E28:F28"/>
    <mergeCell ref="D19:E19"/>
    <mergeCell ref="E20:F20"/>
    <mergeCell ref="D21:E21"/>
    <mergeCell ref="D22:E22"/>
    <mergeCell ref="E23:F23"/>
    <mergeCell ref="D14:E14"/>
    <mergeCell ref="E15:F15"/>
    <mergeCell ref="D16:E16"/>
    <mergeCell ref="E17:F17"/>
    <mergeCell ref="D18:E18"/>
    <mergeCell ref="F8:H9"/>
    <mergeCell ref="D10:E10"/>
    <mergeCell ref="D11:E11"/>
    <mergeCell ref="D12:E12"/>
    <mergeCell ref="E13:F13"/>
    <mergeCell ref="A1:H1"/>
    <mergeCell ref="A2:B3"/>
    <mergeCell ref="A4:B5"/>
    <mergeCell ref="A6:B7"/>
    <mergeCell ref="A8:B9"/>
    <mergeCell ref="E2:E3"/>
    <mergeCell ref="E4:E5"/>
    <mergeCell ref="E6:E7"/>
    <mergeCell ref="E8:E9"/>
    <mergeCell ref="C2:D3"/>
    <mergeCell ref="C4:D5"/>
    <mergeCell ref="C6:D7"/>
    <mergeCell ref="C8:D9"/>
    <mergeCell ref="F2:H3"/>
    <mergeCell ref="F4:H5"/>
    <mergeCell ref="F6:H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7"/>
  <sheetViews>
    <sheetView workbookViewId="0">
      <selection sqref="A1:I1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31" t="s">
        <v>699</v>
      </c>
      <c r="B1" s="87"/>
      <c r="C1" s="87"/>
      <c r="D1" s="87"/>
      <c r="E1" s="87"/>
      <c r="F1" s="87"/>
      <c r="G1" s="87"/>
      <c r="H1" s="87"/>
      <c r="I1" s="87"/>
    </row>
    <row r="2" spans="1:9" x14ac:dyDescent="0.25">
      <c r="A2" s="88" t="s">
        <v>1</v>
      </c>
      <c r="B2" s="89"/>
      <c r="C2" s="97" t="str">
        <f>'Stavební rozpočet'!C2</f>
        <v>Rekonstrukce rozvodů vody, odpadního potrubí splaškové a dešťové kanalizace</v>
      </c>
      <c r="D2" s="98"/>
      <c r="E2" s="95" t="s">
        <v>5</v>
      </c>
      <c r="F2" s="95" t="str">
        <f>'Stavební rozpočet'!I2</f>
        <v>Město Bohumín, Masarykova 158, Bohumín</v>
      </c>
      <c r="G2" s="89"/>
      <c r="H2" s="95" t="s">
        <v>700</v>
      </c>
      <c r="I2" s="103" t="s">
        <v>701</v>
      </c>
    </row>
    <row r="3" spans="1:9" ht="15" customHeight="1" x14ac:dyDescent="0.25">
      <c r="A3" s="90"/>
      <c r="B3" s="91"/>
      <c r="C3" s="99"/>
      <c r="D3" s="99"/>
      <c r="E3" s="91"/>
      <c r="F3" s="91"/>
      <c r="G3" s="91"/>
      <c r="H3" s="91"/>
      <c r="I3" s="104"/>
    </row>
    <row r="4" spans="1:9" x14ac:dyDescent="0.25">
      <c r="A4" s="92" t="s">
        <v>7</v>
      </c>
      <c r="B4" s="91"/>
      <c r="C4" s="96" t="str">
        <f>'Stavební rozpočet'!C4</f>
        <v xml:space="preserve"> </v>
      </c>
      <c r="D4" s="91"/>
      <c r="E4" s="96" t="s">
        <v>10</v>
      </c>
      <c r="F4" s="96" t="str">
        <f>'Stavební rozpočet'!I4</f>
        <v>ENERGETING.CZ, s.r.o.</v>
      </c>
      <c r="G4" s="91"/>
      <c r="H4" s="96" t="s">
        <v>700</v>
      </c>
      <c r="I4" s="104" t="s">
        <v>702</v>
      </c>
    </row>
    <row r="5" spans="1:9" ht="15" customHeight="1" x14ac:dyDescent="0.25">
      <c r="A5" s="90"/>
      <c r="B5" s="91"/>
      <c r="C5" s="91"/>
      <c r="D5" s="91"/>
      <c r="E5" s="91"/>
      <c r="F5" s="91"/>
      <c r="G5" s="91"/>
      <c r="H5" s="91"/>
      <c r="I5" s="104"/>
    </row>
    <row r="6" spans="1:9" x14ac:dyDescent="0.25">
      <c r="A6" s="92" t="s">
        <v>12</v>
      </c>
      <c r="B6" s="91"/>
      <c r="C6" s="96" t="str">
        <f>'Stavební rozpočet'!C6</f>
        <v>Bytový dům Svat. Čecha 1093, Bohumín</v>
      </c>
      <c r="D6" s="91"/>
      <c r="E6" s="96" t="s">
        <v>15</v>
      </c>
      <c r="F6" s="96" t="str">
        <f>'Stavební rozpočet'!I6</f>
        <v> </v>
      </c>
      <c r="G6" s="91"/>
      <c r="H6" s="96" t="s">
        <v>700</v>
      </c>
      <c r="I6" s="104" t="s">
        <v>50</v>
      </c>
    </row>
    <row r="7" spans="1:9" ht="15" customHeight="1" x14ac:dyDescent="0.25">
      <c r="A7" s="90"/>
      <c r="B7" s="91"/>
      <c r="C7" s="91"/>
      <c r="D7" s="91"/>
      <c r="E7" s="91"/>
      <c r="F7" s="91"/>
      <c r="G7" s="91"/>
      <c r="H7" s="91"/>
      <c r="I7" s="104"/>
    </row>
    <row r="8" spans="1:9" x14ac:dyDescent="0.25">
      <c r="A8" s="92" t="s">
        <v>8</v>
      </c>
      <c r="B8" s="91"/>
      <c r="C8" s="96" t="str">
        <f>'Stavební rozpočet'!G4</f>
        <v>26.11.2024</v>
      </c>
      <c r="D8" s="91"/>
      <c r="E8" s="96" t="s">
        <v>14</v>
      </c>
      <c r="F8" s="96" t="str">
        <f>'Stavební rozpočet'!G6</f>
        <v xml:space="preserve"> </v>
      </c>
      <c r="G8" s="91"/>
      <c r="H8" s="91" t="s">
        <v>703</v>
      </c>
      <c r="I8" s="133">
        <v>152</v>
      </c>
    </row>
    <row r="9" spans="1:9" x14ac:dyDescent="0.25">
      <c r="A9" s="90"/>
      <c r="B9" s="91"/>
      <c r="C9" s="91"/>
      <c r="D9" s="91"/>
      <c r="E9" s="91"/>
      <c r="F9" s="91"/>
      <c r="G9" s="91"/>
      <c r="H9" s="91"/>
      <c r="I9" s="104"/>
    </row>
    <row r="10" spans="1:9" x14ac:dyDescent="0.25">
      <c r="A10" s="92" t="s">
        <v>17</v>
      </c>
      <c r="B10" s="91"/>
      <c r="C10" s="96" t="str">
        <f>'Stavební rozpočet'!C8</f>
        <v>8032732</v>
      </c>
      <c r="D10" s="91"/>
      <c r="E10" s="96" t="s">
        <v>20</v>
      </c>
      <c r="F10" s="96" t="str">
        <f>'Stavební rozpočet'!I8</f>
        <v> </v>
      </c>
      <c r="G10" s="91"/>
      <c r="H10" s="91" t="s">
        <v>704</v>
      </c>
      <c r="I10" s="126" t="str">
        <f>'Stavební rozpočet'!G8</f>
        <v>26.11.2024</v>
      </c>
    </row>
    <row r="11" spans="1:9" x14ac:dyDescent="0.25">
      <c r="A11" s="132"/>
      <c r="B11" s="123"/>
      <c r="C11" s="123"/>
      <c r="D11" s="123"/>
      <c r="E11" s="123"/>
      <c r="F11" s="123"/>
      <c r="G11" s="123"/>
      <c r="H11" s="123"/>
      <c r="I11" s="134"/>
    </row>
    <row r="12" spans="1:9" ht="23.25" x14ac:dyDescent="0.25">
      <c r="A12" s="135" t="s">
        <v>705</v>
      </c>
      <c r="B12" s="135"/>
      <c r="C12" s="135"/>
      <c r="D12" s="135"/>
      <c r="E12" s="135"/>
      <c r="F12" s="135"/>
      <c r="G12" s="135"/>
      <c r="H12" s="135"/>
      <c r="I12" s="135"/>
    </row>
    <row r="13" spans="1:9" ht="26.25" customHeight="1" x14ac:dyDescent="0.25">
      <c r="A13" s="65" t="s">
        <v>706</v>
      </c>
      <c r="B13" s="136" t="s">
        <v>707</v>
      </c>
      <c r="C13" s="137"/>
      <c r="D13" s="66" t="s">
        <v>708</v>
      </c>
      <c r="E13" s="136" t="s">
        <v>709</v>
      </c>
      <c r="F13" s="137"/>
      <c r="G13" s="66" t="s">
        <v>710</v>
      </c>
      <c r="H13" s="136" t="s">
        <v>711</v>
      </c>
      <c r="I13" s="137"/>
    </row>
    <row r="14" spans="1:9" ht="15.75" x14ac:dyDescent="0.25">
      <c r="A14" s="67" t="s">
        <v>712</v>
      </c>
      <c r="B14" s="68" t="s">
        <v>713</v>
      </c>
      <c r="C14" s="69">
        <f>SUM('Stavební rozpočet'!AB12:AB206)</f>
        <v>0</v>
      </c>
      <c r="D14" s="144" t="s">
        <v>714</v>
      </c>
      <c r="E14" s="145"/>
      <c r="F14" s="69">
        <f>VORN!I15</f>
        <v>0</v>
      </c>
      <c r="G14" s="144" t="s">
        <v>715</v>
      </c>
      <c r="H14" s="145"/>
      <c r="I14" s="70">
        <f>VORN!I21</f>
        <v>0</v>
      </c>
    </row>
    <row r="15" spans="1:9" ht="15.75" x14ac:dyDescent="0.25">
      <c r="A15" s="71" t="s">
        <v>50</v>
      </c>
      <c r="B15" s="68" t="s">
        <v>35</v>
      </c>
      <c r="C15" s="69">
        <f>SUM('Stavební rozpočet'!AC12:AC206)</f>
        <v>0</v>
      </c>
      <c r="D15" s="144" t="s">
        <v>716</v>
      </c>
      <c r="E15" s="145"/>
      <c r="F15" s="69">
        <f>VORN!I16</f>
        <v>0</v>
      </c>
      <c r="G15" s="144" t="s">
        <v>717</v>
      </c>
      <c r="H15" s="145"/>
      <c r="I15" s="70">
        <f>VORN!I22</f>
        <v>0</v>
      </c>
    </row>
    <row r="16" spans="1:9" ht="15.75" x14ac:dyDescent="0.25">
      <c r="A16" s="67" t="s">
        <v>718</v>
      </c>
      <c r="B16" s="68" t="s">
        <v>713</v>
      </c>
      <c r="C16" s="69">
        <f>SUM('Stavební rozpočet'!AD12:AD206)</f>
        <v>0</v>
      </c>
      <c r="D16" s="144" t="s">
        <v>719</v>
      </c>
      <c r="E16" s="145"/>
      <c r="F16" s="69">
        <f>VORN!I17</f>
        <v>0</v>
      </c>
      <c r="G16" s="144" t="s">
        <v>720</v>
      </c>
      <c r="H16" s="145"/>
      <c r="I16" s="70">
        <f>VORN!I23</f>
        <v>0</v>
      </c>
    </row>
    <row r="17" spans="1:9" ht="15.75" x14ac:dyDescent="0.25">
      <c r="A17" s="71" t="s">
        <v>50</v>
      </c>
      <c r="B17" s="68" t="s">
        <v>35</v>
      </c>
      <c r="C17" s="69">
        <f>SUM('Stavební rozpočet'!AE12:AE206)</f>
        <v>0</v>
      </c>
      <c r="D17" s="144" t="s">
        <v>50</v>
      </c>
      <c r="E17" s="145"/>
      <c r="F17" s="70" t="s">
        <v>50</v>
      </c>
      <c r="G17" s="144" t="s">
        <v>721</v>
      </c>
      <c r="H17" s="145"/>
      <c r="I17" s="70">
        <f>VORN!I24</f>
        <v>0</v>
      </c>
    </row>
    <row r="18" spans="1:9" ht="15.75" x14ac:dyDescent="0.25">
      <c r="A18" s="67" t="s">
        <v>722</v>
      </c>
      <c r="B18" s="68" t="s">
        <v>713</v>
      </c>
      <c r="C18" s="69">
        <f>SUM('Stavební rozpočet'!AF12:AF206)</f>
        <v>0</v>
      </c>
      <c r="D18" s="144" t="s">
        <v>50</v>
      </c>
      <c r="E18" s="145"/>
      <c r="F18" s="70" t="s">
        <v>50</v>
      </c>
      <c r="G18" s="144" t="s">
        <v>723</v>
      </c>
      <c r="H18" s="145"/>
      <c r="I18" s="70">
        <f>VORN!I25</f>
        <v>0</v>
      </c>
    </row>
    <row r="19" spans="1:9" ht="15.75" x14ac:dyDescent="0.25">
      <c r="A19" s="71" t="s">
        <v>50</v>
      </c>
      <c r="B19" s="68" t="s">
        <v>35</v>
      </c>
      <c r="C19" s="69">
        <f>SUM('Stavební rozpočet'!AG12:AG206)</f>
        <v>0</v>
      </c>
      <c r="D19" s="144" t="s">
        <v>50</v>
      </c>
      <c r="E19" s="145"/>
      <c r="F19" s="70" t="s">
        <v>50</v>
      </c>
      <c r="G19" s="144" t="s">
        <v>724</v>
      </c>
      <c r="H19" s="145"/>
      <c r="I19" s="70">
        <f>VORN!I26</f>
        <v>0</v>
      </c>
    </row>
    <row r="20" spans="1:9" ht="15.75" x14ac:dyDescent="0.25">
      <c r="A20" s="138" t="s">
        <v>725</v>
      </c>
      <c r="B20" s="139"/>
      <c r="C20" s="69">
        <f>SUM('Stavební rozpočet'!AH12:AH206)</f>
        <v>0</v>
      </c>
      <c r="D20" s="144" t="s">
        <v>50</v>
      </c>
      <c r="E20" s="145"/>
      <c r="F20" s="70" t="s">
        <v>50</v>
      </c>
      <c r="G20" s="144" t="s">
        <v>50</v>
      </c>
      <c r="H20" s="145"/>
      <c r="I20" s="70" t="s">
        <v>50</v>
      </c>
    </row>
    <row r="21" spans="1:9" ht="15.75" x14ac:dyDescent="0.25">
      <c r="A21" s="140" t="s">
        <v>726</v>
      </c>
      <c r="B21" s="141"/>
      <c r="C21" s="72">
        <f>SUM('Stavební rozpočet'!Z12:Z206)</f>
        <v>0</v>
      </c>
      <c r="D21" s="146" t="s">
        <v>50</v>
      </c>
      <c r="E21" s="147"/>
      <c r="F21" s="73" t="s">
        <v>50</v>
      </c>
      <c r="G21" s="146" t="s">
        <v>50</v>
      </c>
      <c r="H21" s="147"/>
      <c r="I21" s="73" t="s">
        <v>50</v>
      </c>
    </row>
    <row r="22" spans="1:9" ht="16.5" customHeight="1" x14ac:dyDescent="0.25">
      <c r="A22" s="142" t="s">
        <v>727</v>
      </c>
      <c r="B22" s="143"/>
      <c r="C22" s="74">
        <f>SUM(C14:C21)</f>
        <v>0</v>
      </c>
      <c r="D22" s="148" t="s">
        <v>728</v>
      </c>
      <c r="E22" s="143"/>
      <c r="F22" s="74">
        <f>SUM(F14:F21)</f>
        <v>0</v>
      </c>
      <c r="G22" s="148" t="s">
        <v>729</v>
      </c>
      <c r="H22" s="143"/>
      <c r="I22" s="74">
        <f>SUM(I14:I21)</f>
        <v>0</v>
      </c>
    </row>
    <row r="23" spans="1:9" ht="15.75" x14ac:dyDescent="0.25">
      <c r="D23" s="138" t="s">
        <v>730</v>
      </c>
      <c r="E23" s="139"/>
      <c r="F23" s="75">
        <v>0</v>
      </c>
      <c r="G23" s="149" t="s">
        <v>731</v>
      </c>
      <c r="H23" s="139"/>
      <c r="I23" s="69">
        <v>0</v>
      </c>
    </row>
    <row r="24" spans="1:9" ht="15.75" x14ac:dyDescent="0.25">
      <c r="G24" s="138" t="s">
        <v>732</v>
      </c>
      <c r="H24" s="139"/>
      <c r="I24" s="72">
        <f>vorn_sum</f>
        <v>0</v>
      </c>
    </row>
    <row r="25" spans="1:9" ht="15.75" x14ac:dyDescent="0.25">
      <c r="G25" s="138" t="s">
        <v>733</v>
      </c>
      <c r="H25" s="139"/>
      <c r="I25" s="74">
        <v>0</v>
      </c>
    </row>
    <row r="27" spans="1:9" ht="15.75" x14ac:dyDescent="0.25">
      <c r="A27" s="150" t="s">
        <v>734</v>
      </c>
      <c r="B27" s="151"/>
      <c r="C27" s="76">
        <f>SUM('Stavební rozpočet'!AJ12:AJ206)</f>
        <v>0</v>
      </c>
    </row>
    <row r="28" spans="1:9" ht="15.75" x14ac:dyDescent="0.25">
      <c r="A28" s="152" t="s">
        <v>735</v>
      </c>
      <c r="B28" s="153"/>
      <c r="C28" s="77">
        <f>SUM('Stavební rozpočet'!AK12:AK206)+(F22+I22+F23+I23+I24+I25)</f>
        <v>0</v>
      </c>
      <c r="D28" s="154" t="s">
        <v>736</v>
      </c>
      <c r="E28" s="151"/>
      <c r="F28" s="76">
        <f>ROUND(C28*(12/100),2)</f>
        <v>0</v>
      </c>
      <c r="G28" s="154" t="s">
        <v>737</v>
      </c>
      <c r="H28" s="151"/>
      <c r="I28" s="76">
        <f>SUM(C27:C29)</f>
        <v>0</v>
      </c>
    </row>
    <row r="29" spans="1:9" ht="15.75" x14ac:dyDescent="0.25">
      <c r="A29" s="152" t="s">
        <v>738</v>
      </c>
      <c r="B29" s="153"/>
      <c r="C29" s="77">
        <f>SUM('Stavební rozpočet'!AL12:AL206)</f>
        <v>0</v>
      </c>
      <c r="D29" s="155" t="s">
        <v>739</v>
      </c>
      <c r="E29" s="153"/>
      <c r="F29" s="77">
        <f>ROUND(C29*(21/100),2)</f>
        <v>0</v>
      </c>
      <c r="G29" s="155" t="s">
        <v>740</v>
      </c>
      <c r="H29" s="153"/>
      <c r="I29" s="77">
        <f>SUM(F28:F29)+I28</f>
        <v>0</v>
      </c>
    </row>
    <row r="31" spans="1:9" x14ac:dyDescent="0.25">
      <c r="A31" s="156" t="s">
        <v>741</v>
      </c>
      <c r="B31" s="157"/>
      <c r="C31" s="158"/>
      <c r="D31" s="165" t="s">
        <v>742</v>
      </c>
      <c r="E31" s="157"/>
      <c r="F31" s="158"/>
      <c r="G31" s="165" t="s">
        <v>743</v>
      </c>
      <c r="H31" s="157"/>
      <c r="I31" s="158"/>
    </row>
    <row r="32" spans="1:9" x14ac:dyDescent="0.25">
      <c r="A32" s="159" t="s">
        <v>50</v>
      </c>
      <c r="B32" s="160"/>
      <c r="C32" s="161"/>
      <c r="D32" s="166" t="s">
        <v>50</v>
      </c>
      <c r="E32" s="160"/>
      <c r="F32" s="161"/>
      <c r="G32" s="166" t="s">
        <v>50</v>
      </c>
      <c r="H32" s="160"/>
      <c r="I32" s="161"/>
    </row>
    <row r="33" spans="1:9" x14ac:dyDescent="0.25">
      <c r="A33" s="159" t="s">
        <v>50</v>
      </c>
      <c r="B33" s="160"/>
      <c r="C33" s="161"/>
      <c r="D33" s="166" t="s">
        <v>50</v>
      </c>
      <c r="E33" s="160"/>
      <c r="F33" s="161"/>
      <c r="G33" s="166" t="s">
        <v>50</v>
      </c>
      <c r="H33" s="160"/>
      <c r="I33" s="161"/>
    </row>
    <row r="34" spans="1:9" x14ac:dyDescent="0.25">
      <c r="A34" s="159" t="s">
        <v>50</v>
      </c>
      <c r="B34" s="160"/>
      <c r="C34" s="161"/>
      <c r="D34" s="166" t="s">
        <v>50</v>
      </c>
      <c r="E34" s="160"/>
      <c r="F34" s="161"/>
      <c r="G34" s="166" t="s">
        <v>50</v>
      </c>
      <c r="H34" s="160"/>
      <c r="I34" s="161"/>
    </row>
    <row r="35" spans="1:9" x14ac:dyDescent="0.25">
      <c r="A35" s="162" t="s">
        <v>744</v>
      </c>
      <c r="B35" s="163"/>
      <c r="C35" s="164"/>
      <c r="D35" s="167" t="s">
        <v>744</v>
      </c>
      <c r="E35" s="163"/>
      <c r="F35" s="164"/>
      <c r="G35" s="167" t="s">
        <v>744</v>
      </c>
      <c r="H35" s="163"/>
      <c r="I35" s="164"/>
    </row>
    <row r="36" spans="1:9" x14ac:dyDescent="0.25">
      <c r="A36" s="78" t="s">
        <v>553</v>
      </c>
    </row>
    <row r="37" spans="1:9" ht="12.75" customHeight="1" x14ac:dyDescent="0.25">
      <c r="A37" s="96" t="s">
        <v>50</v>
      </c>
      <c r="B37" s="91"/>
      <c r="C37" s="91"/>
      <c r="D37" s="91"/>
      <c r="E37" s="91"/>
      <c r="F37" s="91"/>
      <c r="G37" s="91"/>
      <c r="H37" s="91"/>
      <c r="I37" s="91"/>
    </row>
  </sheetData>
  <sheetProtection password="8A17" sheet="1"/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H2:H3"/>
    <mergeCell ref="H4:H5"/>
    <mergeCell ref="H6:H7"/>
    <mergeCell ref="H8:H9"/>
    <mergeCell ref="H10:H11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36"/>
  <sheetViews>
    <sheetView workbookViewId="0">
      <selection sqref="A1:I1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31" t="s">
        <v>745</v>
      </c>
      <c r="B1" s="87"/>
      <c r="C1" s="87"/>
      <c r="D1" s="87"/>
      <c r="E1" s="87"/>
      <c r="F1" s="87"/>
      <c r="G1" s="87"/>
      <c r="H1" s="87"/>
      <c r="I1" s="87"/>
    </row>
    <row r="2" spans="1:9" x14ac:dyDescent="0.25">
      <c r="A2" s="88" t="s">
        <v>1</v>
      </c>
      <c r="B2" s="89"/>
      <c r="C2" s="97" t="str">
        <f>'Stavební rozpočet'!C2</f>
        <v>Rekonstrukce rozvodů vody, odpadního potrubí splaškové a dešťové kanalizace</v>
      </c>
      <c r="D2" s="98"/>
      <c r="E2" s="95" t="s">
        <v>5</v>
      </c>
      <c r="F2" s="95" t="str">
        <f>'Stavební rozpočet'!I2</f>
        <v>Město Bohumín, Masarykova 158, Bohumín</v>
      </c>
      <c r="G2" s="89"/>
      <c r="H2" s="95" t="s">
        <v>700</v>
      </c>
      <c r="I2" s="103" t="s">
        <v>701</v>
      </c>
    </row>
    <row r="3" spans="1:9" ht="25.5" customHeight="1" x14ac:dyDescent="0.25">
      <c r="A3" s="90"/>
      <c r="B3" s="91"/>
      <c r="C3" s="99"/>
      <c r="D3" s="99"/>
      <c r="E3" s="91"/>
      <c r="F3" s="91"/>
      <c r="G3" s="91"/>
      <c r="H3" s="91"/>
      <c r="I3" s="104"/>
    </row>
    <row r="4" spans="1:9" x14ac:dyDescent="0.25">
      <c r="A4" s="92" t="s">
        <v>7</v>
      </c>
      <c r="B4" s="91"/>
      <c r="C4" s="96" t="str">
        <f>'Stavební rozpočet'!C4</f>
        <v xml:space="preserve"> </v>
      </c>
      <c r="D4" s="91"/>
      <c r="E4" s="96" t="s">
        <v>10</v>
      </c>
      <c r="F4" s="96" t="str">
        <f>'Stavební rozpočet'!I4</f>
        <v>ENERGETING.CZ, s.r.o.</v>
      </c>
      <c r="G4" s="91"/>
      <c r="H4" s="96" t="s">
        <v>700</v>
      </c>
      <c r="I4" s="104" t="s">
        <v>702</v>
      </c>
    </row>
    <row r="5" spans="1:9" ht="15" customHeight="1" x14ac:dyDescent="0.25">
      <c r="A5" s="90"/>
      <c r="B5" s="91"/>
      <c r="C5" s="91"/>
      <c r="D5" s="91"/>
      <c r="E5" s="91"/>
      <c r="F5" s="91"/>
      <c r="G5" s="91"/>
      <c r="H5" s="91"/>
      <c r="I5" s="104"/>
    </row>
    <row r="6" spans="1:9" x14ac:dyDescent="0.25">
      <c r="A6" s="92" t="s">
        <v>12</v>
      </c>
      <c r="B6" s="91"/>
      <c r="C6" s="96" t="str">
        <f>'Stavební rozpočet'!C6</f>
        <v>Bytový dům Svat. Čecha 1093, Bohumín</v>
      </c>
      <c r="D6" s="91"/>
      <c r="E6" s="96" t="s">
        <v>15</v>
      </c>
      <c r="F6" s="96" t="str">
        <f>'Stavební rozpočet'!I6</f>
        <v> </v>
      </c>
      <c r="G6" s="91"/>
      <c r="H6" s="96" t="s">
        <v>700</v>
      </c>
      <c r="I6" s="104" t="s">
        <v>50</v>
      </c>
    </row>
    <row r="7" spans="1:9" ht="15" customHeight="1" x14ac:dyDescent="0.25">
      <c r="A7" s="90"/>
      <c r="B7" s="91"/>
      <c r="C7" s="91"/>
      <c r="D7" s="91"/>
      <c r="E7" s="91"/>
      <c r="F7" s="91"/>
      <c r="G7" s="91"/>
      <c r="H7" s="91"/>
      <c r="I7" s="104"/>
    </row>
    <row r="8" spans="1:9" x14ac:dyDescent="0.25">
      <c r="A8" s="92" t="s">
        <v>8</v>
      </c>
      <c r="B8" s="91"/>
      <c r="C8" s="96" t="str">
        <f>'Stavební rozpočet'!G4</f>
        <v>26.11.2024</v>
      </c>
      <c r="D8" s="91"/>
      <c r="E8" s="96" t="s">
        <v>14</v>
      </c>
      <c r="F8" s="96" t="str">
        <f>'Stavební rozpočet'!G6</f>
        <v xml:space="preserve"> </v>
      </c>
      <c r="G8" s="91"/>
      <c r="H8" s="91" t="s">
        <v>703</v>
      </c>
      <c r="I8" s="133">
        <v>152</v>
      </c>
    </row>
    <row r="9" spans="1:9" x14ac:dyDescent="0.25">
      <c r="A9" s="90"/>
      <c r="B9" s="91"/>
      <c r="C9" s="91"/>
      <c r="D9" s="91"/>
      <c r="E9" s="91"/>
      <c r="F9" s="91"/>
      <c r="G9" s="91"/>
      <c r="H9" s="91"/>
      <c r="I9" s="104"/>
    </row>
    <row r="10" spans="1:9" x14ac:dyDescent="0.25">
      <c r="A10" s="92" t="s">
        <v>17</v>
      </c>
      <c r="B10" s="91"/>
      <c r="C10" s="96" t="str">
        <f>'Stavební rozpočet'!C8</f>
        <v>8032732</v>
      </c>
      <c r="D10" s="91"/>
      <c r="E10" s="96" t="s">
        <v>20</v>
      </c>
      <c r="F10" s="96" t="str">
        <f>'Stavební rozpočet'!I8</f>
        <v> </v>
      </c>
      <c r="G10" s="91"/>
      <c r="H10" s="91" t="s">
        <v>704</v>
      </c>
      <c r="I10" s="126" t="str">
        <f>'Stavební rozpočet'!G8</f>
        <v>26.11.2024</v>
      </c>
    </row>
    <row r="11" spans="1:9" x14ac:dyDescent="0.25">
      <c r="A11" s="132"/>
      <c r="B11" s="123"/>
      <c r="C11" s="123"/>
      <c r="D11" s="123"/>
      <c r="E11" s="123"/>
      <c r="F11" s="123"/>
      <c r="G11" s="123"/>
      <c r="H11" s="123"/>
      <c r="I11" s="134"/>
    </row>
    <row r="13" spans="1:9" ht="15.75" x14ac:dyDescent="0.25">
      <c r="A13" s="168" t="s">
        <v>746</v>
      </c>
      <c r="B13" s="168"/>
      <c r="C13" s="168"/>
      <c r="D13" s="168"/>
      <c r="E13" s="168"/>
    </row>
    <row r="14" spans="1:9" x14ac:dyDescent="0.25">
      <c r="A14" s="169" t="s">
        <v>747</v>
      </c>
      <c r="B14" s="170"/>
      <c r="C14" s="170"/>
      <c r="D14" s="170"/>
      <c r="E14" s="171"/>
      <c r="F14" s="79" t="s">
        <v>748</v>
      </c>
      <c r="G14" s="79" t="s">
        <v>749</v>
      </c>
      <c r="H14" s="79" t="s">
        <v>750</v>
      </c>
      <c r="I14" s="79" t="s">
        <v>748</v>
      </c>
    </row>
    <row r="15" spans="1:9" x14ac:dyDescent="0.25">
      <c r="A15" s="172" t="s">
        <v>714</v>
      </c>
      <c r="B15" s="173"/>
      <c r="C15" s="173"/>
      <c r="D15" s="173"/>
      <c r="E15" s="174"/>
      <c r="F15" s="80">
        <v>0</v>
      </c>
      <c r="G15" s="81" t="s">
        <v>50</v>
      </c>
      <c r="H15" s="81" t="s">
        <v>50</v>
      </c>
      <c r="I15" s="80">
        <f>F15</f>
        <v>0</v>
      </c>
    </row>
    <row r="16" spans="1:9" x14ac:dyDescent="0.25">
      <c r="A16" s="172" t="s">
        <v>716</v>
      </c>
      <c r="B16" s="173"/>
      <c r="C16" s="173"/>
      <c r="D16" s="173"/>
      <c r="E16" s="174"/>
      <c r="F16" s="80">
        <v>0</v>
      </c>
      <c r="G16" s="81" t="s">
        <v>50</v>
      </c>
      <c r="H16" s="81" t="s">
        <v>50</v>
      </c>
      <c r="I16" s="80">
        <f>F16</f>
        <v>0</v>
      </c>
    </row>
    <row r="17" spans="1:9" x14ac:dyDescent="0.25">
      <c r="A17" s="175" t="s">
        <v>719</v>
      </c>
      <c r="B17" s="176"/>
      <c r="C17" s="176"/>
      <c r="D17" s="176"/>
      <c r="E17" s="177"/>
      <c r="F17" s="82">
        <v>0</v>
      </c>
      <c r="G17" s="83" t="s">
        <v>50</v>
      </c>
      <c r="H17" s="83" t="s">
        <v>50</v>
      </c>
      <c r="I17" s="82">
        <f>F17</f>
        <v>0</v>
      </c>
    </row>
    <row r="18" spans="1:9" x14ac:dyDescent="0.25">
      <c r="A18" s="178" t="s">
        <v>751</v>
      </c>
      <c r="B18" s="179"/>
      <c r="C18" s="179"/>
      <c r="D18" s="179"/>
      <c r="E18" s="180"/>
      <c r="F18" s="84" t="s">
        <v>50</v>
      </c>
      <c r="G18" s="85" t="s">
        <v>50</v>
      </c>
      <c r="H18" s="85" t="s">
        <v>50</v>
      </c>
      <c r="I18" s="86">
        <f>SUM(I15:I17)</f>
        <v>0</v>
      </c>
    </row>
    <row r="20" spans="1:9" x14ac:dyDescent="0.25">
      <c r="A20" s="169" t="s">
        <v>711</v>
      </c>
      <c r="B20" s="170"/>
      <c r="C20" s="170"/>
      <c r="D20" s="170"/>
      <c r="E20" s="171"/>
      <c r="F20" s="79" t="s">
        <v>748</v>
      </c>
      <c r="G20" s="79" t="s">
        <v>749</v>
      </c>
      <c r="H20" s="79" t="s">
        <v>750</v>
      </c>
      <c r="I20" s="79" t="s">
        <v>748</v>
      </c>
    </row>
    <row r="21" spans="1:9" x14ac:dyDescent="0.25">
      <c r="A21" s="172" t="s">
        <v>715</v>
      </c>
      <c r="B21" s="173"/>
      <c r="C21" s="173"/>
      <c r="D21" s="173"/>
      <c r="E21" s="174"/>
      <c r="F21" s="81" t="s">
        <v>50</v>
      </c>
      <c r="G21" s="80">
        <v>1.4</v>
      </c>
      <c r="H21" s="80">
        <f>'Krycí list rozpočtu'!C22</f>
        <v>0</v>
      </c>
      <c r="I21" s="80">
        <f>ROUND((G21/100)*H21,2)</f>
        <v>0</v>
      </c>
    </row>
    <row r="22" spans="1:9" x14ac:dyDescent="0.25">
      <c r="A22" s="172" t="s">
        <v>717</v>
      </c>
      <c r="B22" s="173"/>
      <c r="C22" s="173"/>
      <c r="D22" s="173"/>
      <c r="E22" s="174"/>
      <c r="F22" s="80">
        <v>0</v>
      </c>
      <c r="G22" s="81" t="s">
        <v>50</v>
      </c>
      <c r="H22" s="81" t="s">
        <v>50</v>
      </c>
      <c r="I22" s="80">
        <f>F22</f>
        <v>0</v>
      </c>
    </row>
    <row r="23" spans="1:9" x14ac:dyDescent="0.25">
      <c r="A23" s="172" t="s">
        <v>720</v>
      </c>
      <c r="B23" s="173"/>
      <c r="C23" s="173"/>
      <c r="D23" s="173"/>
      <c r="E23" s="174"/>
      <c r="F23" s="80">
        <v>0</v>
      </c>
      <c r="G23" s="81" t="s">
        <v>50</v>
      </c>
      <c r="H23" s="81" t="s">
        <v>50</v>
      </c>
      <c r="I23" s="80">
        <f>F23</f>
        <v>0</v>
      </c>
    </row>
    <row r="24" spans="1:9" x14ac:dyDescent="0.25">
      <c r="A24" s="172" t="s">
        <v>721</v>
      </c>
      <c r="B24" s="173"/>
      <c r="C24" s="173"/>
      <c r="D24" s="173"/>
      <c r="E24" s="174"/>
      <c r="F24" s="80">
        <v>0</v>
      </c>
      <c r="G24" s="81" t="s">
        <v>50</v>
      </c>
      <c r="H24" s="81" t="s">
        <v>50</v>
      </c>
      <c r="I24" s="80">
        <f>F24</f>
        <v>0</v>
      </c>
    </row>
    <row r="25" spans="1:9" x14ac:dyDescent="0.25">
      <c r="A25" s="172" t="s">
        <v>723</v>
      </c>
      <c r="B25" s="173"/>
      <c r="C25" s="173"/>
      <c r="D25" s="173"/>
      <c r="E25" s="174"/>
      <c r="F25" s="80">
        <v>0</v>
      </c>
      <c r="G25" s="81" t="s">
        <v>50</v>
      </c>
      <c r="H25" s="81" t="s">
        <v>50</v>
      </c>
      <c r="I25" s="80">
        <f>F25</f>
        <v>0</v>
      </c>
    </row>
    <row r="26" spans="1:9" x14ac:dyDescent="0.25">
      <c r="A26" s="175" t="s">
        <v>724</v>
      </c>
      <c r="B26" s="176"/>
      <c r="C26" s="176"/>
      <c r="D26" s="176"/>
      <c r="E26" s="177"/>
      <c r="F26" s="82">
        <v>0</v>
      </c>
      <c r="G26" s="83" t="s">
        <v>50</v>
      </c>
      <c r="H26" s="83" t="s">
        <v>50</v>
      </c>
      <c r="I26" s="82">
        <f>F26</f>
        <v>0</v>
      </c>
    </row>
    <row r="27" spans="1:9" x14ac:dyDescent="0.25">
      <c r="A27" s="178" t="s">
        <v>752</v>
      </c>
      <c r="B27" s="179"/>
      <c r="C27" s="179"/>
      <c r="D27" s="179"/>
      <c r="E27" s="180"/>
      <c r="F27" s="84" t="s">
        <v>50</v>
      </c>
      <c r="G27" s="85" t="s">
        <v>50</v>
      </c>
      <c r="H27" s="85" t="s">
        <v>50</v>
      </c>
      <c r="I27" s="86">
        <f>SUM(I21:I26)</f>
        <v>0</v>
      </c>
    </row>
    <row r="29" spans="1:9" ht="15.75" x14ac:dyDescent="0.25">
      <c r="A29" s="181" t="s">
        <v>753</v>
      </c>
      <c r="B29" s="182"/>
      <c r="C29" s="182"/>
      <c r="D29" s="182"/>
      <c r="E29" s="183"/>
      <c r="F29" s="184">
        <f>I18+I27</f>
        <v>0</v>
      </c>
      <c r="G29" s="185"/>
      <c r="H29" s="185"/>
      <c r="I29" s="186"/>
    </row>
    <row r="33" spans="1:9" ht="15.75" x14ac:dyDescent="0.25">
      <c r="A33" s="168" t="s">
        <v>754</v>
      </c>
      <c r="B33" s="168"/>
      <c r="C33" s="168"/>
      <c r="D33" s="168"/>
      <c r="E33" s="168"/>
    </row>
    <row r="34" spans="1:9" x14ac:dyDescent="0.25">
      <c r="A34" s="169" t="s">
        <v>755</v>
      </c>
      <c r="B34" s="170"/>
      <c r="C34" s="170"/>
      <c r="D34" s="170"/>
      <c r="E34" s="171"/>
      <c r="F34" s="79" t="s">
        <v>748</v>
      </c>
      <c r="G34" s="79" t="s">
        <v>749</v>
      </c>
      <c r="H34" s="79" t="s">
        <v>750</v>
      </c>
      <c r="I34" s="79" t="s">
        <v>748</v>
      </c>
    </row>
    <row r="35" spans="1:9" x14ac:dyDescent="0.25">
      <c r="A35" s="175" t="s">
        <v>50</v>
      </c>
      <c r="B35" s="176"/>
      <c r="C35" s="176"/>
      <c r="D35" s="176"/>
      <c r="E35" s="177"/>
      <c r="F35" s="82">
        <v>0</v>
      </c>
      <c r="G35" s="83" t="s">
        <v>50</v>
      </c>
      <c r="H35" s="83" t="s">
        <v>50</v>
      </c>
      <c r="I35" s="82">
        <f>F35</f>
        <v>0</v>
      </c>
    </row>
    <row r="36" spans="1:9" x14ac:dyDescent="0.25">
      <c r="A36" s="178" t="s">
        <v>756</v>
      </c>
      <c r="B36" s="179"/>
      <c r="C36" s="179"/>
      <c r="D36" s="179"/>
      <c r="E36" s="180"/>
      <c r="F36" s="84" t="s">
        <v>50</v>
      </c>
      <c r="G36" s="85" t="s">
        <v>50</v>
      </c>
      <c r="H36" s="85" t="s">
        <v>50</v>
      </c>
      <c r="I36" s="86">
        <f>SUM(I35:I35)</f>
        <v>0</v>
      </c>
    </row>
  </sheetData>
  <sheetProtection password="8A17" sheet="1"/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A10:B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Stavební rozpočet</vt:lpstr>
      <vt:lpstr>Stavební rozpočet - součet</vt:lpstr>
      <vt:lpstr>Výkaz výměr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Dalibor Blažek</cp:lastModifiedBy>
  <dcterms:created xsi:type="dcterms:W3CDTF">2021-06-10T20:06:38Z</dcterms:created>
  <dcterms:modified xsi:type="dcterms:W3CDTF">2024-12-05T12:46:08Z</dcterms:modified>
</cp:coreProperties>
</file>