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  <sheet name="VORN" sheetId="5" r:id="rId5"/>
  </sheets>
  <definedNames>
    <definedName name="vorn_sum">'VORN'!$I$36:$I$36</definedName>
  </definedNames>
  <calcPr calcId="162913"/>
</workbook>
</file>

<file path=xl/sharedStrings.xml><?xml version="1.0" encoding="utf-8"?>
<sst xmlns="http://schemas.openxmlformats.org/spreadsheetml/2006/main" count="1490" uniqueCount="454">
  <si>
    <t>Slepý stavební rozpočet</t>
  </si>
  <si>
    <t>Název stavby:</t>
  </si>
  <si>
    <t>Druh stavby:</t>
  </si>
  <si>
    <t>Umístění: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</si>
  <si>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</si>
  <si>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</si>
  <si>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</si>
  <si>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</si>
  <si>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</si>
  <si>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</si>
  <si>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</si>
  <si>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</si>
  <si>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</si>
  <si>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</si>
  <si>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</si>
  <si>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</si>
  <si>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</si>
  <si>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</si>
  <si>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</si>
  <si>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</si>
  <si>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</si>
  <si>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</si>
  <si>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</si>
  <si>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</si>
  <si>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</si>
  <si>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</si>
  <si>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</si>
  <si>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</si>
  <si>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</si>
  <si>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</si>
  <si>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</si>
  <si>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</si>
  <si>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</si>
  <si>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</si>
  <si>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</si>
  <si>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</si>
  <si>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</si>
  <si>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</si>
  <si>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</si>
  <si>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</si>
  <si>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</si>
  <si>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</si>
  <si>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</si>
  <si>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</si>
  <si>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</si>
  <si>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</si>
  <si>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</si>
  <si>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</si>
  <si>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</si>
  <si>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</si>
  <si>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</si>
  <si>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</si>
  <si>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</si>
  <si>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</si>
  <si>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</si>
  <si>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</si>
  <si>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</si>
  <si>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</si>
  <si>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</si>
  <si>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</si>
  <si>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</si>
  <si>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</si>
  <si>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</si>
  <si>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</si>
  <si>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</si>
  <si>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</si>
  <si>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</si>
  <si>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</si>
  <si>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</si>
  <si>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</si>
  <si>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</si>
  <si>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</si>
  <si>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</si>
  <si>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</si>
  <si>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</si>
  <si>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</si>
  <si>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</si>
  <si>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Poznámka:</t>
  </si>
  <si>
    <t>Kód</t>
  </si>
  <si>
    <t>115101302R00</t>
  </si>
  <si>
    <t>111203202R00</t>
  </si>
  <si>
    <t>121101100R00</t>
  </si>
  <si>
    <t>139601102R00</t>
  </si>
  <si>
    <t>133210012R00</t>
  </si>
  <si>
    <t>151101101R00</t>
  </si>
  <si>
    <t>151101111R00</t>
  </si>
  <si>
    <t>167101102R00</t>
  </si>
  <si>
    <t>162201102R00</t>
  </si>
  <si>
    <t>171101105R00</t>
  </si>
  <si>
    <t>979082318R00</t>
  </si>
  <si>
    <t>174101102R00</t>
  </si>
  <si>
    <t>58337320</t>
  </si>
  <si>
    <t>181301103R00</t>
  </si>
  <si>
    <t>180401211R00</t>
  </si>
  <si>
    <t>185803111R00</t>
  </si>
  <si>
    <t>338950132R00</t>
  </si>
  <si>
    <t>13384010</t>
  </si>
  <si>
    <t>13384320</t>
  </si>
  <si>
    <t>334351111R00</t>
  </si>
  <si>
    <t>334351211R00</t>
  </si>
  <si>
    <t>360323322R00</t>
  </si>
  <si>
    <t>340235212RT2</t>
  </si>
  <si>
    <t>50VD</t>
  </si>
  <si>
    <t>50002VD</t>
  </si>
  <si>
    <t>612401291RT2</t>
  </si>
  <si>
    <t>624472115RT2</t>
  </si>
  <si>
    <t>767</t>
  </si>
  <si>
    <t>767995102R00</t>
  </si>
  <si>
    <t>783</t>
  </si>
  <si>
    <t>783122210R00</t>
  </si>
  <si>
    <t>783426360R00</t>
  </si>
  <si>
    <t>90</t>
  </si>
  <si>
    <t>900      RT1</t>
  </si>
  <si>
    <t>97</t>
  </si>
  <si>
    <t>970031200R00</t>
  </si>
  <si>
    <t>H23</t>
  </si>
  <si>
    <t>998231111R00</t>
  </si>
  <si>
    <t>H27</t>
  </si>
  <si>
    <t>998272211R00</t>
  </si>
  <si>
    <t>H724</t>
  </si>
  <si>
    <t>998724192R00</t>
  </si>
  <si>
    <t>H767</t>
  </si>
  <si>
    <t>998767101R00</t>
  </si>
  <si>
    <t>998767192R00</t>
  </si>
  <si>
    <t>H77VD</t>
  </si>
  <si>
    <t>77000VD</t>
  </si>
  <si>
    <t>77003VD</t>
  </si>
  <si>
    <t>77002VD</t>
  </si>
  <si>
    <t>77001VD</t>
  </si>
  <si>
    <t>M23</t>
  </si>
  <si>
    <t>733184106RT2</t>
  </si>
  <si>
    <t>230161009R00</t>
  </si>
  <si>
    <t>230170002R00</t>
  </si>
  <si>
    <t>230170012R00</t>
  </si>
  <si>
    <t>230120045R00</t>
  </si>
  <si>
    <t>06006VD</t>
  </si>
  <si>
    <t>M46</t>
  </si>
  <si>
    <t>460010024R00</t>
  </si>
  <si>
    <t>210021061R00vd</t>
  </si>
  <si>
    <t>460010024RT1</t>
  </si>
  <si>
    <t>S</t>
  </si>
  <si>
    <t>979082212R00</t>
  </si>
  <si>
    <t>979981101R00</t>
  </si>
  <si>
    <t>55528VD</t>
  </si>
  <si>
    <t>55529VD</t>
  </si>
  <si>
    <t>55601VD</t>
  </si>
  <si>
    <t>55602VD</t>
  </si>
  <si>
    <t>55603VD</t>
  </si>
  <si>
    <t>55604VD</t>
  </si>
  <si>
    <t>55605VD</t>
  </si>
  <si>
    <t>55606VD</t>
  </si>
  <si>
    <t>55607VD</t>
  </si>
  <si>
    <t>55608VD</t>
  </si>
  <si>
    <t>55609VD</t>
  </si>
  <si>
    <t>55610VD</t>
  </si>
  <si>
    <t>55612VD</t>
  </si>
  <si>
    <t>55613VD</t>
  </si>
  <si>
    <t>55614VD</t>
  </si>
  <si>
    <t>55615VD</t>
  </si>
  <si>
    <t>55616VD</t>
  </si>
  <si>
    <t>Napojení Aquacentra Bohumín na CZT - přípojka HV</t>
  </si>
  <si>
    <t>Občanská vybavenost</t>
  </si>
  <si>
    <t>Koperníkova 1216, 735 81 Nový Bohumín</t>
  </si>
  <si>
    <t>Zkrácený popis</t>
  </si>
  <si>
    <t>Rozměry</t>
  </si>
  <si>
    <t>Přípravné a přidružené práce</t>
  </si>
  <si>
    <t>Pohotovost čerp.soupravy, výška 10 m,přítok 1000 l</t>
  </si>
  <si>
    <t>Odstranění křovin s ponech. kořenů, pl.do 10000 m2</t>
  </si>
  <si>
    <t>Odkopávky a prokopávky</t>
  </si>
  <si>
    <t>Sejmutí ornice, pl. do 400 m2, přemístění do 50 m</t>
  </si>
  <si>
    <t>(3+1,5)*0,2</t>
  </si>
  <si>
    <t>Hloubené vykopávky</t>
  </si>
  <si>
    <t>Ruční výkop jam, rýh a šachet v hornině tř. 3</t>
  </si>
  <si>
    <t>(3+1,5)*0,9*1</t>
  </si>
  <si>
    <t>Hloubení šachet zem.vrtákem hor.3-4;D 30cm, hl.90cm</t>
  </si>
  <si>
    <t>34+2</t>
  </si>
  <si>
    <t>Roubení</t>
  </si>
  <si>
    <t>Pažení a rozepření stěn rýh - příložné</t>
  </si>
  <si>
    <t>4,5</t>
  </si>
  <si>
    <t>Odstranění pažení stěn rýh - příložné - hl. do 2 m</t>
  </si>
  <si>
    <t>Přemístění výkopku</t>
  </si>
  <si>
    <t>Nakládání výkopku z hor.1-4</t>
  </si>
  <si>
    <t>(3+1,5)*0,46*0,9-2*0,02</t>
  </si>
  <si>
    <t>Vodorovné přemístění výkopku z hor.1-4 do 50 m (rozvrstvení)</t>
  </si>
  <si>
    <t>Konstrukce ze zemin, písek</t>
  </si>
  <si>
    <t>Uložení sypaniny do násypů zhutněných na 107% PS</t>
  </si>
  <si>
    <t>((3+1,5)*0,46*0,9-2*0,02)*1,07</t>
  </si>
  <si>
    <t>Koef.nerovn. (dna) výkopu, prohl. spojů a zhutnění  7%, š.dle výkopu, v. 0,45, potrubí odečteno</t>
  </si>
  <si>
    <t>Vodorovná doprava sypkých materiálů do 25 km - doprava písku</t>
  </si>
  <si>
    <t>1,95*1,62</t>
  </si>
  <si>
    <t>Zásyp rýh výkopkem ruční se zhutněním (mimo rozprostření ornice)</t>
  </si>
  <si>
    <t>(3+1,5)*0,9*0,3</t>
  </si>
  <si>
    <t>Koef.nerovn. výkopu, prohl. spojů, š.dle výkopu</t>
  </si>
  <si>
    <t>Písek kopaný žlutý</t>
  </si>
  <si>
    <t>81,84*1,62</t>
  </si>
  <si>
    <t>Povrchové úpravy terénu</t>
  </si>
  <si>
    <t>Rozprostření ornice, rovina, tl. 15 cm,do 500m2</t>
  </si>
  <si>
    <t>(3+1,5)*0,9*0,15</t>
  </si>
  <si>
    <t>Založení trávníku lučního výsevem v rovině</t>
  </si>
  <si>
    <t>(3+1,5)*0,9*5</t>
  </si>
  <si>
    <t>Ošetření trávníku v rovině - 3 x opakovaná zálivka</t>
  </si>
  <si>
    <t>Sloupy a pilíře, stožáry a rámové stojky</t>
  </si>
  <si>
    <t>Osazení jednot. U-profilů do betonu H do 1 m v rovině</t>
  </si>
  <si>
    <t>Tyč průřezu U  50, ČSN EN 10365</t>
  </si>
  <si>
    <t>(32+2)*1,4/1000*6*1,05</t>
  </si>
  <si>
    <t>Tyč průřezu U  80, ČSN EN 10365</t>
  </si>
  <si>
    <t>2*2,9/1000*8,7*1,05</t>
  </si>
  <si>
    <t>Bednění nadzemní části sloupků</t>
  </si>
  <si>
    <t>0,3*0,3/4*3,14*0,15*(34+2)</t>
  </si>
  <si>
    <t>Bednění nadzemní části sloupků, odstranění</t>
  </si>
  <si>
    <t>Betonáž sloupků, beton prostý C 16/20</t>
  </si>
  <si>
    <t>0,3*0,3/4*3,14*1,03*(34+2)</t>
  </si>
  <si>
    <t>Stěny a příčky</t>
  </si>
  <si>
    <t>Zazdívka otvorů 0,0225 m2 cihlami, tl.zdi nad 10cm</t>
  </si>
  <si>
    <t>Teplonosné médium</t>
  </si>
  <si>
    <t>Technologická upravená voda vč. proplachu a napuštění potrubí</t>
  </si>
  <si>
    <t>0,8*2</t>
  </si>
  <si>
    <t>Úprava povrchů vnitřní</t>
  </si>
  <si>
    <t>Omítka malých ploch vnitřních stěn do 0,25 m2</t>
  </si>
  <si>
    <t>Úprava povrchů vnější</t>
  </si>
  <si>
    <t>Oprava vněj.omítky malých ploch 0,25 m2</t>
  </si>
  <si>
    <t>Konstrukce doplňkové stavební (zámečnické)</t>
  </si>
  <si>
    <t>Výroba a montáž kov. atypických konstr. do 10 kg vč. dod. materiálu</t>
  </si>
  <si>
    <t>(34+2)*(0,85*5,6+0,27*5,7+2*0,3)</t>
  </si>
  <si>
    <t>Objímky pro potrubí, zde přivařené, dod. dotav.potrubí</t>
  </si>
  <si>
    <t>Nátěry</t>
  </si>
  <si>
    <t>Nátěr syntetický OK "A" 1x + 2x email</t>
  </si>
  <si>
    <t>(34+2)*(0,23+0,11)+2*0,63</t>
  </si>
  <si>
    <t>Nátěr syntet. potrubí d160 mm Z +2x email</t>
  </si>
  <si>
    <t>128*2</t>
  </si>
  <si>
    <t>Hodinové zúčtovací sazby (HZS)</t>
  </si>
  <si>
    <t>Hlídka po ukončení práce s otevř. ohněm</t>
  </si>
  <si>
    <t>Prorážení otvorů a ostatní bourací práce</t>
  </si>
  <si>
    <t>Vrtání jádrové do zdiva cihelného do D 200 mm</t>
  </si>
  <si>
    <t>2*0,5</t>
  </si>
  <si>
    <t>Plochy a úpravy území</t>
  </si>
  <si>
    <t>Přesun hmot - betonáž bez strojní mechanizace do 100 m</t>
  </si>
  <si>
    <t>0,3*0,3/4*3,14*1,03*(34+2)*2,555</t>
  </si>
  <si>
    <t>Vedení trubní dálková a přípojná</t>
  </si>
  <si>
    <t>Přesun hmot, trubní vedení nošením do 100 m</t>
  </si>
  <si>
    <t>Hutní materiál</t>
  </si>
  <si>
    <t>Přesun hmot, ocelové profily do 100 m</t>
  </si>
  <si>
    <t>0,3+0,05</t>
  </si>
  <si>
    <t>Přesun hmot pro zámečnické konstr., výšky do 6 m</t>
  </si>
  <si>
    <t>Příplatek zvětš. přesun, zámeč. konstr. do 100 m</t>
  </si>
  <si>
    <t>Mimostaveništní doprava, šrotové hospodářství</t>
  </si>
  <si>
    <t>Doprava předizol. potr. na stavbu (vč. manipulace)</t>
  </si>
  <si>
    <t>Nakladání šrotu na dopr. prostř., manipulace</t>
  </si>
  <si>
    <t>Odvoz šrotu do sběru</t>
  </si>
  <si>
    <t>Výtěžek z prodeje šrotu</t>
  </si>
  <si>
    <t>Montáže potrubí</t>
  </si>
  <si>
    <t>Montáž předizolovaného potrubí DN 65 mm</t>
  </si>
  <si>
    <t>133,5*2</t>
  </si>
  <si>
    <t>Kontrola svarových spojů prozářením (RT) (2x2 svary rezerva)</t>
  </si>
  <si>
    <t>44+4</t>
  </si>
  <si>
    <t>Příprava pro zkoušku těsnosti</t>
  </si>
  <si>
    <t>Zkouška těsnosti potrubí tlaková</t>
  </si>
  <si>
    <t>Čištění potrubí profukováním nebo proplach DN 80</t>
  </si>
  <si>
    <t>Náklady zhotovitele související se zajištěním a provedením kompletního díla dle PD</t>
  </si>
  <si>
    <t>Související práce při montážích</t>
  </si>
  <si>
    <t>Vytyčení všech inženýrských sítí před zahájením prací vč. řádného zajištění.</t>
  </si>
  <si>
    <t>Zábradlí dvoutyčové 1,1 m, rozebíratelné, včetně násl. demontáže</t>
  </si>
  <si>
    <t>Geodetické zaměření trasy, zpracování dokumentace</t>
  </si>
  <si>
    <t>Vypracování plánu geometrického zaměření pro ŘSD</t>
  </si>
  <si>
    <t>Vypracování plánu geometrického zaměření pro ČEZ teplárenská</t>
  </si>
  <si>
    <t>Odpadové hospodářství</t>
  </si>
  <si>
    <t>Vodorovná doprava vybouraných hmot a suti do 50 m</t>
  </si>
  <si>
    <t>Kontejner 3tuny, suť aj. bez nebezp.odpadu, odvoz a likvidace</t>
  </si>
  <si>
    <t>Ostatní materiál</t>
  </si>
  <si>
    <t>Izolovaný drát pro koncové víčko</t>
  </si>
  <si>
    <t>Krabice se svorkovnicí,  zakončení systému detekce poruch</t>
  </si>
  <si>
    <t>Koleno 90° DN65/160 (1,5+1,5m) R=3DN</t>
  </si>
  <si>
    <t>Koleno 90° DN65/160 (2+1m) R=3DN</t>
  </si>
  <si>
    <t>Spojka kompletní d160 plast</t>
  </si>
  <si>
    <t>Spojka kompletní d160 plast - spiro</t>
  </si>
  <si>
    <t>Spojka kompletní d160 spiro (2x2 spoje rezerva)</t>
  </si>
  <si>
    <t>Dilatační polštář 2000x1000x40</t>
  </si>
  <si>
    <t>Potrubí DN65/160 spiro L=12m</t>
  </si>
  <si>
    <t>Potrubí DN65/160 spiro L=6m</t>
  </si>
  <si>
    <t>Servisní ventil DN65/160 - 25/110 L=1,5m</t>
  </si>
  <si>
    <t>Plechový kryt servisního ventilu d110</t>
  </si>
  <si>
    <t>Koleno 90° DN65/160 (1,5+1m) R=3DN spiro</t>
  </si>
  <si>
    <t>Koleno 5° DN65/160 (1,5+1,5m) R=3DN spiro</t>
  </si>
  <si>
    <t>Ukončovací manžeta REC 160</t>
  </si>
  <si>
    <t>Objímka d160/š.30 vč. kluzné patky s vedením (2x2 ks rezerva)</t>
  </si>
  <si>
    <t>Zelená výstražná fólie - 300 mm</t>
  </si>
  <si>
    <t>Doba výstavby:</t>
  </si>
  <si>
    <t>Začátek výstavby:</t>
  </si>
  <si>
    <t>Konec výstavby:</t>
  </si>
  <si>
    <t>Zpracováno dne:</t>
  </si>
  <si>
    <t>31 dní</t>
  </si>
  <si>
    <t>28.02.2023</t>
  </si>
  <si>
    <t>Objednatel:</t>
  </si>
  <si>
    <t>Projektant:</t>
  </si>
  <si>
    <t>Zhotovitel:</t>
  </si>
  <si>
    <t>Zpracoval:</t>
  </si>
  <si>
    <t>Pro případ vytrvalého deště - čerpání z výkopu</t>
  </si>
  <si>
    <t>Úsek výkopu v zeleném pásu</t>
  </si>
  <si>
    <t>sloupky pro uchycení potrubí</t>
  </si>
  <si>
    <t>předpoklad nutnosti pažení výkopu s ohledem na soudržnost zemin</t>
  </si>
  <si>
    <t>materiál nahrazený pískem, potrubím,</t>
  </si>
  <si>
    <t>Podsyp, obsyp pískem potrubí</t>
  </si>
  <si>
    <t>přepočet m3 na tuny</t>
  </si>
  <si>
    <t>Zásyp vytěženou zeminou ve výkopu</t>
  </si>
  <si>
    <t>Přepočet m3 / tuny</t>
  </si>
  <si>
    <t>Úsek v zeleném pásu  ... 5ti násobek plochy výkopu</t>
  </si>
  <si>
    <t>Dva sloupky rezerva pro případ kolize</t>
  </si>
  <si>
    <t>vč. příplatku za jednotlivé malé objemy</t>
  </si>
  <si>
    <t>Objem potrubí 0,8 m3</t>
  </si>
  <si>
    <t>konzole pro úchyt potrubí, viz výkres 05/DSP</t>
  </si>
  <si>
    <t xml:space="preserve"> Celkem 34+2 ks konzol</t>
  </si>
  <si>
    <t>objemové množství x měrná hmotnost</t>
  </si>
  <si>
    <t>dle, EN ISO 17636-1, hodnocení dle EN ISO 10 675-1, EN ISO 10 675-2.</t>
  </si>
  <si>
    <t>a souvisejících dokladů - kompletační činnost</t>
  </si>
  <si>
    <t>Zpětné protokolární předání všech inženýrských sítí jednotlivým správcům.</t>
  </si>
  <si>
    <t> </t>
  </si>
  <si>
    <t>Ing. Stanislav Wilczek</t>
  </si>
  <si>
    <t>MJ</t>
  </si>
  <si>
    <t>den</t>
  </si>
  <si>
    <t>m2</t>
  </si>
  <si>
    <t>m3</t>
  </si>
  <si>
    <t>kus</t>
  </si>
  <si>
    <t>t</t>
  </si>
  <si>
    <t>kg</t>
  </si>
  <si>
    <t>m</t>
  </si>
  <si>
    <t>h</t>
  </si>
  <si>
    <t>kpl</t>
  </si>
  <si>
    <t>km</t>
  </si>
  <si>
    <t>soubor</t>
  </si>
  <si>
    <t>Množství</t>
  </si>
  <si>
    <t>Cena/MJ</t>
  </si>
  <si>
    <t>(Kč)</t>
  </si>
  <si>
    <t>Náklady (Kč)</t>
  </si>
  <si>
    <t>Dodávka</t>
  </si>
  <si>
    <t>Celkem:</t>
  </si>
  <si>
    <t>Montáž</t>
  </si>
  <si>
    <t>Celkem</t>
  </si>
  <si>
    <t>Hmotnost (t)</t>
  </si>
  <si>
    <t>Jednot.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</si>
  <si>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</si>
  <si>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</si>
  <si>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</si>
  <si>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</si>
  <si>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</si>
  <si>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</si>
  <si>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</si>
  <si>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</si>
  <si>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</si>
  <si>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</si>
  <si>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</si>
  <si>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12_</t>
  </si>
  <si>
    <t>13_</t>
  </si>
  <si>
    <t>15_</t>
  </si>
  <si>
    <t>16_</t>
  </si>
  <si>
    <t>17_</t>
  </si>
  <si>
    <t>18_</t>
  </si>
  <si>
    <t>33_</t>
  </si>
  <si>
    <t>34_</t>
  </si>
  <si>
    <t>50VD_</t>
  </si>
  <si>
    <t>61_</t>
  </si>
  <si>
    <t>62_</t>
  </si>
  <si>
    <t>767_</t>
  </si>
  <si>
    <t>783_</t>
  </si>
  <si>
    <t>90_</t>
  </si>
  <si>
    <t>97_</t>
  </si>
  <si>
    <t>H23_</t>
  </si>
  <si>
    <t>H27_</t>
  </si>
  <si>
    <t>H724_</t>
  </si>
  <si>
    <t>H767_</t>
  </si>
  <si>
    <t>H77VD_</t>
  </si>
  <si>
    <t>M23_</t>
  </si>
  <si>
    <t>M46_</t>
  </si>
  <si>
    <t>S_</t>
  </si>
  <si>
    <t>Z99999_</t>
  </si>
  <si>
    <t>1_</t>
  </si>
  <si>
    <t>3_</t>
  </si>
  <si>
    <t>5_</t>
  </si>
  <si>
    <t>6_</t>
  </si>
  <si>
    <t>76_</t>
  </si>
  <si>
    <t>78_</t>
  </si>
  <si>
    <t>9_</t>
  </si>
  <si>
    <t>Z_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</si>
  <si>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</si>
  <si>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</si>
  <si>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</si>
  <si>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</si>
  <si>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</si>
  <si>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</si>
  <si>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</si>
  <si>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</si>
  <si>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</si>
  <si>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</si>
  <si>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</si>
  <si>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</si>
  <si>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</si>
  <si>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Celková hmotnost (t)</t>
  </si>
  <si>
    <t>T</t>
  </si>
  <si>
    <t>Soupis stavebních prací dodávek a služeb s výkazem výměr</t>
  </si>
  <si>
    <t>Potřebné množství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</si>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</sst>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  <font>
      <i/>
      <sz val="10"/>
      <color indexed="50"/>
      <name val="Arial"/>
      <family val="2"/>
    </font>
    <font>
      <i/>
      <sz val="9"/>
      <color indexed="63"/>
      <name val="Arial"/>
      <family val="2"/>
    </font>
    <font>
      <i/>
      <sz val="9"/>
      <color indexed="50"/>
      <name val="Arial"/>
      <family val="2"/>
    </font>
    <font>
      <i/>
      <sz val="9"/>
      <color indexed="61"/>
      <name val="Arial"/>
      <family val="2"/>
    </font>
    <font>
      <i/>
      <sz val="9"/>
      <color indexed="62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9" fontId="6" fillId="0" borderId="5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8" fillId="2" borderId="9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9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8" fillId="2" borderId="9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9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6" xfId="0" applyNumberFormat="1" applyFont="1" applyFill="1" applyBorder="1" applyAlignment="1" applyProtection="1">
      <alignment horizontal="right" vertical="center"/>
      <protection/>
    </xf>
    <xf numFmtId="4" fontId="8" fillId="2" borderId="17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4" fontId="8" fillId="2" borderId="16" xfId="0" applyNumberFormat="1" applyFont="1" applyFill="1" applyBorder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4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4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8" fillId="2" borderId="17" xfId="0" applyNumberFormat="1" applyFont="1" applyFill="1" applyBorder="1" applyAlignment="1" applyProtection="1">
      <alignment horizontal="right" vertical="center"/>
      <protection/>
    </xf>
    <xf numFmtId="49" fontId="5" fillId="0" borderId="16" xfId="0" applyNumberFormat="1" applyFont="1" applyFill="1" applyBorder="1" applyAlignment="1" applyProtection="1">
      <alignment horizontal="right" vertical="center"/>
      <protection/>
    </xf>
    <xf numFmtId="49" fontId="8" fillId="2" borderId="16" xfId="0" applyNumberFormat="1" applyFont="1" applyFill="1" applyBorder="1" applyAlignment="1" applyProtection="1">
      <alignment horizontal="right" vertical="center"/>
      <protection/>
    </xf>
    <xf numFmtId="49" fontId="6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16" fillId="3" borderId="24" xfId="0" applyNumberFormat="1" applyFont="1" applyFill="1" applyBorder="1" applyAlignment="1" applyProtection="1">
      <alignment horizontal="center" vertical="center"/>
      <protection/>
    </xf>
    <xf numFmtId="49" fontId="17" fillId="0" borderId="25" xfId="0" applyNumberFormat="1" applyFont="1" applyFill="1" applyBorder="1" applyAlignment="1" applyProtection="1">
      <alignment horizontal="left" vertical="center"/>
      <protection/>
    </xf>
    <xf numFmtId="49" fontId="17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9" fontId="7" fillId="0" borderId="9" xfId="0" applyNumberFormat="1" applyFont="1" applyFill="1" applyBorder="1" applyAlignment="1" applyProtection="1">
      <alignment horizontal="left" vertical="center"/>
      <protection/>
    </xf>
    <xf numFmtId="49" fontId="18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" fontId="18" fillId="0" borderId="24" xfId="0" applyNumberFormat="1" applyFont="1" applyFill="1" applyBorder="1" applyAlignment="1" applyProtection="1">
      <alignment horizontal="right" vertical="center"/>
      <protection/>
    </xf>
    <xf numFmtId="49" fontId="18" fillId="0" borderId="24" xfId="0" applyNumberFormat="1" applyFont="1" applyFill="1" applyBorder="1" applyAlignment="1" applyProtection="1">
      <alignment horizontal="right" vertical="center"/>
      <protection/>
    </xf>
    <xf numFmtId="4" fontId="18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" fontId="17" fillId="3" borderId="29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3" fillId="0" borderId="32" xfId="0" applyNumberFormat="1" applyFont="1" applyFill="1" applyBorder="1" applyAlignment="1" applyProtection="1">
      <alignment horizontal="right" vertical="center"/>
      <protection/>
    </xf>
    <xf numFmtId="4" fontId="1" fillId="0" borderId="24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right" vertical="center"/>
      <protection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49" fontId="8" fillId="2" borderId="9" xfId="0" applyNumberFormat="1" applyFont="1" applyFill="1" applyBorder="1" applyAlignment="1" applyProtection="1">
      <alignment horizontal="left" vertical="center"/>
      <protection/>
    </xf>
    <xf numFmtId="0" fontId="8" fillId="2" borderId="9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49" fontId="18" fillId="0" borderId="23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49" fontId="18" fillId="0" borderId="43" xfId="0" applyNumberFormat="1" applyFont="1" applyFill="1" applyBorder="1" applyAlignment="1" applyProtection="1">
      <alignment horizontal="left" vertical="center"/>
      <protection/>
    </xf>
    <xf numFmtId="0" fontId="18" fillId="0" borderId="31" xfId="0" applyNumberFormat="1" applyFont="1" applyFill="1" applyBorder="1" applyAlignment="1" applyProtection="1">
      <alignment horizontal="left" vertical="center"/>
      <protection/>
    </xf>
    <xf numFmtId="0" fontId="18" fillId="0" borderId="44" xfId="0" applyNumberFormat="1" applyFont="1" applyFill="1" applyBorder="1" applyAlignment="1" applyProtection="1">
      <alignment horizontal="left" vertical="center"/>
      <protection/>
    </xf>
    <xf numFmtId="49" fontId="17" fillId="3" borderId="45" xfId="0" applyNumberFormat="1" applyFont="1" applyFill="1" applyBorder="1" applyAlignment="1" applyProtection="1">
      <alignment horizontal="left" vertical="center"/>
      <protection/>
    </xf>
    <xf numFmtId="0" fontId="17" fillId="3" borderId="46" xfId="0" applyNumberFormat="1" applyFont="1" applyFill="1" applyBorder="1" applyAlignment="1" applyProtection="1">
      <alignment horizontal="left" vertical="center"/>
      <protection/>
    </xf>
    <xf numFmtId="49" fontId="18" fillId="0" borderId="47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8" fillId="0" borderId="48" xfId="0" applyNumberFormat="1" applyFont="1" applyFill="1" applyBorder="1" applyAlignment="1" applyProtection="1">
      <alignment horizontal="left" vertical="center"/>
      <protection/>
    </xf>
    <xf numFmtId="49" fontId="17" fillId="0" borderId="45" xfId="0" applyNumberFormat="1" applyFont="1" applyFill="1" applyBorder="1" applyAlignment="1" applyProtection="1">
      <alignment horizontal="left" vertical="center"/>
      <protection/>
    </xf>
    <xf numFmtId="0" fontId="17" fillId="0" borderId="29" xfId="0" applyNumberFormat="1" applyFont="1" applyFill="1" applyBorder="1" applyAlignment="1" applyProtection="1">
      <alignment horizontal="left" vertical="center"/>
      <protection/>
    </xf>
    <xf numFmtId="49" fontId="18" fillId="0" borderId="45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left" vertical="center"/>
      <protection/>
    </xf>
    <xf numFmtId="49" fontId="15" fillId="0" borderId="46" xfId="0" applyNumberFormat="1" applyFont="1" applyFill="1" applyBorder="1" applyAlignment="1" applyProtection="1">
      <alignment horizontal="center" vertical="center"/>
      <protection/>
    </xf>
    <xf numFmtId="0" fontId="15" fillId="0" borderId="46" xfId="0" applyNumberFormat="1" applyFont="1" applyFill="1" applyBorder="1" applyAlignment="1" applyProtection="1">
      <alignment horizontal="center" vertical="center"/>
      <protection/>
    </xf>
    <xf numFmtId="49" fontId="19" fillId="0" borderId="45" xfId="0" applyNumberFormat="1" applyFont="1" applyFill="1" applyBorder="1" applyAlignment="1" applyProtection="1">
      <alignment horizontal="left" vertical="center"/>
      <protection/>
    </xf>
    <xf numFmtId="0" fontId="19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49" fontId="3" fillId="0" borderId="51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52" xfId="0" applyNumberFormat="1" applyFont="1" applyFill="1" applyBorder="1" applyAlignment="1" applyProtection="1">
      <alignment horizontal="left" vertical="center"/>
      <protection/>
    </xf>
    <xf numFmtId="49" fontId="17" fillId="0" borderId="51" xfId="0" applyNumberFormat="1" applyFont="1" applyFill="1" applyBorder="1" applyAlignment="1" applyProtection="1">
      <alignment horizontal="left" vertical="center"/>
      <protection/>
    </xf>
    <xf numFmtId="0" fontId="17" fillId="0" borderId="30" xfId="0" applyNumberFormat="1" applyFont="1" applyFill="1" applyBorder="1" applyAlignment="1" applyProtection="1">
      <alignment horizontal="left" vertical="center"/>
      <protection/>
    </xf>
    <xf numFmtId="0" fontId="17" fillId="0" borderId="52" xfId="0" applyNumberFormat="1" applyFont="1" applyFill="1" applyBorder="1" applyAlignment="1" applyProtection="1">
      <alignment horizontal="left" vertical="center"/>
      <protection/>
    </xf>
    <xf numFmtId="4" fontId="17" fillId="0" borderId="51" xfId="0" applyNumberFormat="1" applyFont="1" applyFill="1" applyBorder="1" applyAlignment="1" applyProtection="1">
      <alignment horizontal="right" vertical="center"/>
      <protection/>
    </xf>
    <xf numFmtId="0" fontId="17" fillId="0" borderId="30" xfId="0" applyNumberFormat="1" applyFont="1" applyFill="1" applyBorder="1" applyAlignment="1" applyProtection="1">
      <alignment horizontal="right" vertical="center"/>
      <protection/>
    </xf>
    <xf numFmtId="0" fontId="17" fillId="0" borderId="52" xfId="0" applyNumberFormat="1" applyFont="1" applyFill="1" applyBorder="1" applyAlignment="1" applyProtection="1">
      <alignment horizontal="right" vertical="center"/>
      <protection/>
    </xf>
    <xf numFmtId="49" fontId="17" fillId="0" borderId="31" xfId="0" applyNumberFormat="1" applyFont="1" applyFill="1" applyBorder="1" applyAlignment="1" applyProtection="1">
      <alignment horizontal="left" vertical="center"/>
      <protection/>
    </xf>
    <xf numFmtId="0" fontId="17" fillId="0" borderId="31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676275</xdr:colOff>
      <xdr:row>0</xdr:row>
      <xdr:rowOff>895350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239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457200</xdr:colOff>
      <xdr:row>0</xdr:row>
      <xdr:rowOff>895350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295275</xdr:colOff>
      <xdr:row>0</xdr:row>
      <xdr:rowOff>895350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895350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895350</xdr:rowOff>
    </xdr:to>
    <xdr:pic>
      <xdr:nvPicPr>
        <xdr:cNvPr id="512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40"/>
  <sheetViews>
    <sheetView tabSelected="1" workbookViewId="0" topLeftCell="A1">
      <pane ySplit="11" topLeftCell="A99" activePane="bottomLeft" state="frozen"/>
      <selection pane="bottomLeft" activeCell="A1" sqref="A1:N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46.8515625" style="0" customWidth="1"/>
    <col min="4" max="4" width="20.140625" style="0" customWidth="1"/>
    <col min="6" max="6" width="37.7109375" style="0" customWidth="1"/>
    <col min="7" max="7" width="6.421875" style="0" customWidth="1"/>
    <col min="8" max="8" width="12.8515625" style="0" customWidth="1"/>
    <col min="9" max="9" width="12.00390625" style="0" customWidth="1"/>
    <col min="10" max="12" width="14.28125" style="0" customWidth="1"/>
    <col min="13" max="14" width="11.7109375" style="0" customWidth="1"/>
    <col min="25" max="64" width="12.140625" style="0" hidden="1" customWidth="1"/>
  </cols>
  <sheetData>
    <row r="1" spans="1:14" ht="73.1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5" ht="12.75">
      <c r="A2" s="136" t="s">
        <v>1</v>
      </c>
      <c r="B2" s="137"/>
      <c r="C2" s="138" t="s">
        <v>160</v>
      </c>
      <c r="D2" s="140" t="s">
        <v>286</v>
      </c>
      <c r="E2" s="140" t="s">
        <v>290</v>
      </c>
      <c r="F2" s="141" t="s">
        <v>292</v>
      </c>
      <c r="G2" s="140" t="s">
        <v>315</v>
      </c>
      <c r="H2" s="137"/>
      <c r="I2" s="137"/>
      <c r="J2" s="137"/>
      <c r="K2" s="137"/>
      <c r="L2" s="137"/>
      <c r="M2" s="137"/>
      <c r="N2" s="142"/>
      <c r="O2" s="5"/>
    </row>
    <row r="3" spans="1:15" ht="12.75">
      <c r="A3" s="133"/>
      <c r="B3" s="110"/>
      <c r="C3" s="139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31"/>
      <c r="O3" s="5"/>
    </row>
    <row r="4" spans="1:15" ht="12.75">
      <c r="A4" s="127" t="s">
        <v>2</v>
      </c>
      <c r="B4" s="110"/>
      <c r="C4" s="109" t="s">
        <v>161</v>
      </c>
      <c r="D4" s="130" t="s">
        <v>287</v>
      </c>
      <c r="E4" s="130" t="s">
        <v>6</v>
      </c>
      <c r="F4" s="109" t="s">
        <v>293</v>
      </c>
      <c r="G4" s="109" t="s">
        <v>316</v>
      </c>
      <c r="H4" s="110"/>
      <c r="I4" s="110"/>
      <c r="J4" s="110"/>
      <c r="K4" s="110"/>
      <c r="L4" s="110"/>
      <c r="M4" s="110"/>
      <c r="N4" s="131"/>
      <c r="O4" s="5"/>
    </row>
    <row r="5" spans="1:15" ht="12.75">
      <c r="A5" s="13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31"/>
      <c r="O5" s="5"/>
    </row>
    <row r="6" spans="1:15" ht="12.75">
      <c r="A6" s="127" t="s">
        <v>3</v>
      </c>
      <c r="B6" s="110"/>
      <c r="C6" s="109" t="s">
        <v>162</v>
      </c>
      <c r="D6" s="130" t="s">
        <v>288</v>
      </c>
      <c r="E6" s="130"/>
      <c r="F6" s="109" t="s">
        <v>294</v>
      </c>
      <c r="G6" s="130" t="s">
        <v>315</v>
      </c>
      <c r="H6" s="110"/>
      <c r="I6" s="110"/>
      <c r="J6" s="110"/>
      <c r="K6" s="110"/>
      <c r="L6" s="110"/>
      <c r="M6" s="110"/>
      <c r="N6" s="131"/>
      <c r="O6" s="5"/>
    </row>
    <row r="7" spans="1:15" ht="12.75">
      <c r="A7" s="133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31"/>
      <c r="O7" s="5"/>
    </row>
    <row r="8" spans="1:15" ht="12.75">
      <c r="A8" s="127" t="s">
        <v>4</v>
      </c>
      <c r="B8" s="110"/>
      <c r="C8" s="109" t="s">
        <v>6</v>
      </c>
      <c r="D8" s="130" t="s">
        <v>289</v>
      </c>
      <c r="E8" s="130" t="s">
        <v>291</v>
      </c>
      <c r="F8" s="109" t="s">
        <v>295</v>
      </c>
      <c r="G8" s="109" t="s">
        <v>316</v>
      </c>
      <c r="H8" s="110"/>
      <c r="I8" s="110"/>
      <c r="J8" s="110"/>
      <c r="K8" s="110"/>
      <c r="L8" s="110"/>
      <c r="M8" s="110"/>
      <c r="N8" s="131"/>
      <c r="O8" s="5"/>
    </row>
    <row r="9" spans="1:15" ht="12.75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32"/>
      <c r="O9" s="5"/>
    </row>
    <row r="10" spans="1:64" ht="12.75">
      <c r="A10" s="1" t="s">
        <v>5</v>
      </c>
      <c r="B10" s="11" t="s">
        <v>78</v>
      </c>
      <c r="C10" s="115" t="s">
        <v>163</v>
      </c>
      <c r="D10" s="116"/>
      <c r="E10" s="116"/>
      <c r="F10" s="117"/>
      <c r="G10" s="11" t="s">
        <v>317</v>
      </c>
      <c r="H10" s="23" t="s">
        <v>329</v>
      </c>
      <c r="I10" s="28" t="s">
        <v>330</v>
      </c>
      <c r="J10" s="118" t="s">
        <v>332</v>
      </c>
      <c r="K10" s="119"/>
      <c r="L10" s="120"/>
      <c r="M10" s="118" t="s">
        <v>337</v>
      </c>
      <c r="N10" s="121"/>
      <c r="O10" s="5"/>
      <c r="BK10" s="35" t="s">
        <v>386</v>
      </c>
      <c r="BL10" s="41" t="s">
        <v>389</v>
      </c>
    </row>
    <row r="11" spans="1:62" ht="12.75">
      <c r="A11" s="2" t="s">
        <v>6</v>
      </c>
      <c r="B11" s="12" t="s">
        <v>6</v>
      </c>
      <c r="C11" s="122" t="s">
        <v>164</v>
      </c>
      <c r="D11" s="123"/>
      <c r="E11" s="123"/>
      <c r="F11" s="124"/>
      <c r="G11" s="12" t="s">
        <v>6</v>
      </c>
      <c r="H11" s="12" t="s">
        <v>6</v>
      </c>
      <c r="I11" s="29" t="s">
        <v>331</v>
      </c>
      <c r="J11" s="30" t="s">
        <v>333</v>
      </c>
      <c r="K11" s="32" t="s">
        <v>335</v>
      </c>
      <c r="L11" s="33" t="s">
        <v>336</v>
      </c>
      <c r="M11" s="30" t="s">
        <v>338</v>
      </c>
      <c r="N11" s="32" t="s">
        <v>336</v>
      </c>
      <c r="O11" s="5"/>
      <c r="Z11" s="35" t="s">
        <v>339</v>
      </c>
      <c r="AA11" s="35" t="s">
        <v>340</v>
      </c>
      <c r="AB11" s="35" t="s">
        <v>341</v>
      </c>
      <c r="AC11" s="35" t="s">
        <v>342</v>
      </c>
      <c r="AD11" s="35" t="s">
        <v>343</v>
      </c>
      <c r="AE11" s="35" t="s">
        <v>344</v>
      </c>
      <c r="AF11" s="35" t="s">
        <v>345</v>
      </c>
      <c r="AG11" s="35" t="s">
        <v>346</v>
      </c>
      <c r="AH11" s="35" t="s">
        <v>347</v>
      </c>
      <c r="BH11" s="35" t="s">
        <v>383</v>
      </c>
      <c r="BI11" s="35" t="s">
        <v>384</v>
      </c>
      <c r="BJ11" s="35" t="s">
        <v>385</v>
      </c>
    </row>
    <row r="12" spans="1:47" ht="12.75">
      <c r="A12" s="3"/>
      <c r="B12" s="13" t="s">
        <v>17</v>
      </c>
      <c r="C12" s="125" t="s">
        <v>165</v>
      </c>
      <c r="D12" s="126"/>
      <c r="E12" s="126"/>
      <c r="F12" s="126"/>
      <c r="G12" s="21" t="s">
        <v>6</v>
      </c>
      <c r="H12" s="21" t="s">
        <v>6</v>
      </c>
      <c r="I12" s="21" t="s">
        <v>6</v>
      </c>
      <c r="J12" s="42">
        <f>SUM(J13:J15)</f>
        <v>0</v>
      </c>
      <c r="K12" s="42">
        <f>SUM(K13:K15)</f>
        <v>0</v>
      </c>
      <c r="L12" s="42">
        <f>SUM(L13:L15)</f>
        <v>0</v>
      </c>
      <c r="M12" s="34"/>
      <c r="N12" s="45">
        <f>SUM(N13:N15)</f>
        <v>175</v>
      </c>
      <c r="O12" s="5"/>
      <c r="AI12" s="35"/>
      <c r="AS12" s="43">
        <f>SUM(AJ13:AJ15)</f>
        <v>0</v>
      </c>
      <c r="AT12" s="43">
        <f>SUM(AK13:AK15)</f>
        <v>0</v>
      </c>
      <c r="AU12" s="43">
        <f>SUM(AL13:AL15)</f>
        <v>0</v>
      </c>
    </row>
    <row r="13" spans="1:64" ht="12.75">
      <c r="A13" s="4" t="s">
        <v>7</v>
      </c>
      <c r="B13" s="14" t="s">
        <v>79</v>
      </c>
      <c r="C13" s="113" t="s">
        <v>166</v>
      </c>
      <c r="D13" s="114"/>
      <c r="E13" s="114"/>
      <c r="F13" s="114"/>
      <c r="G13" s="14" t="s">
        <v>318</v>
      </c>
      <c r="H13" s="24">
        <v>10</v>
      </c>
      <c r="I13" s="24">
        <v>0</v>
      </c>
      <c r="J13" s="24">
        <f>H13*AO13</f>
        <v>0</v>
      </c>
      <c r="K13" s="24">
        <f>H13*AP13</f>
        <v>0</v>
      </c>
      <c r="L13" s="24">
        <f>H13*I13</f>
        <v>0</v>
      </c>
      <c r="M13" s="24">
        <v>0</v>
      </c>
      <c r="N13" s="46">
        <f>H13*13</f>
        <v>130</v>
      </c>
      <c r="O13" s="5"/>
      <c r="Z13" s="37">
        <f>IF(AQ13="5",BJ13,0)</f>
        <v>0</v>
      </c>
      <c r="AB13" s="37">
        <f>IF(AQ13="1",BH13,0)</f>
        <v>0</v>
      </c>
      <c r="AC13" s="37">
        <f>IF(AQ13="1",BI13,0)</f>
        <v>0</v>
      </c>
      <c r="AD13" s="37">
        <f>IF(AQ13="7",BH13,0)</f>
        <v>0</v>
      </c>
      <c r="AE13" s="37">
        <f>IF(AQ13="7",BI13,0)</f>
        <v>0</v>
      </c>
      <c r="AF13" s="37">
        <f>IF(AQ13="2",BH13,0)</f>
        <v>0</v>
      </c>
      <c r="AG13" s="37">
        <f>IF(AQ13="2",BI13,0)</f>
        <v>0</v>
      </c>
      <c r="AH13" s="37">
        <f>IF(AQ13="0",BJ13,0)</f>
        <v>0</v>
      </c>
      <c r="AI13" s="35"/>
      <c r="AJ13" s="24">
        <f>IF(AN13=0,L13,0)</f>
        <v>0</v>
      </c>
      <c r="AK13" s="24">
        <f>IF(AN13=15,L13,0)</f>
        <v>0</v>
      </c>
      <c r="AL13" s="24">
        <f>IF(AN13=21,L13,0)</f>
        <v>0</v>
      </c>
      <c r="AN13" s="37">
        <v>21</v>
      </c>
      <c r="AO13" s="37">
        <f>I13*0</f>
        <v>0</v>
      </c>
      <c r="AP13" s="37">
        <f>I13*(1-0)</f>
        <v>0</v>
      </c>
      <c r="AQ13" s="38" t="s">
        <v>7</v>
      </c>
      <c r="AV13" s="37">
        <f>AW13+AX13</f>
        <v>0</v>
      </c>
      <c r="AW13" s="37">
        <f>H13*AO13</f>
        <v>0</v>
      </c>
      <c r="AX13" s="37">
        <f>H13*AP13</f>
        <v>0</v>
      </c>
      <c r="AY13" s="40" t="s">
        <v>349</v>
      </c>
      <c r="AZ13" s="40" t="s">
        <v>374</v>
      </c>
      <c r="BA13" s="35" t="s">
        <v>382</v>
      </c>
      <c r="BC13" s="37">
        <f>AW13+AX13</f>
        <v>0</v>
      </c>
      <c r="BD13" s="37">
        <f>I13/(100-BE13)*100</f>
        <v>0</v>
      </c>
      <c r="BE13" s="37">
        <v>0</v>
      </c>
      <c r="BF13" s="37">
        <f>N13</f>
        <v>130</v>
      </c>
      <c r="BH13" s="24">
        <f>H13*AO13</f>
        <v>0</v>
      </c>
      <c r="BI13" s="24">
        <f>H13*AP13</f>
        <v>0</v>
      </c>
      <c r="BJ13" s="24">
        <f>H13*I13</f>
        <v>0</v>
      </c>
      <c r="BK13" s="24" t="s">
        <v>387</v>
      </c>
      <c r="BL13" s="37">
        <v>11</v>
      </c>
    </row>
    <row r="14" spans="1:15" ht="12.75">
      <c r="A14" s="5"/>
      <c r="C14" s="18"/>
      <c r="F14" s="20" t="s">
        <v>296</v>
      </c>
      <c r="H14" s="25">
        <v>0</v>
      </c>
      <c r="N14" s="36"/>
      <c r="O14" s="5"/>
    </row>
    <row r="15" spans="1:64" ht="12.75">
      <c r="A15" s="4" t="s">
        <v>8</v>
      </c>
      <c r="B15" s="14" t="s">
        <v>80</v>
      </c>
      <c r="C15" s="113" t="s">
        <v>167</v>
      </c>
      <c r="D15" s="114"/>
      <c r="E15" s="114"/>
      <c r="F15" s="114"/>
      <c r="G15" s="14" t="s">
        <v>319</v>
      </c>
      <c r="H15" s="24">
        <v>3</v>
      </c>
      <c r="I15" s="24">
        <v>0</v>
      </c>
      <c r="J15" s="24">
        <f>H15*AO15</f>
        <v>0</v>
      </c>
      <c r="K15" s="24">
        <f>H15*AP15</f>
        <v>0</v>
      </c>
      <c r="L15" s="24">
        <f>H15*I15</f>
        <v>0</v>
      </c>
      <c r="M15" s="24">
        <v>0</v>
      </c>
      <c r="N15" s="46">
        <f>H15*15</f>
        <v>45</v>
      </c>
      <c r="O15" s="5"/>
      <c r="Z15" s="37">
        <f>IF(AQ15="5",BJ15,0)</f>
        <v>0</v>
      </c>
      <c r="AB15" s="37">
        <f>IF(AQ15="1",BH15,0)</f>
        <v>0</v>
      </c>
      <c r="AC15" s="37">
        <f>IF(AQ15="1",BI15,0)</f>
        <v>0</v>
      </c>
      <c r="AD15" s="37">
        <f>IF(AQ15="7",BH15,0)</f>
        <v>0</v>
      </c>
      <c r="AE15" s="37">
        <f>IF(AQ15="7",BI15,0)</f>
        <v>0</v>
      </c>
      <c r="AF15" s="37">
        <f>IF(AQ15="2",BH15,0)</f>
        <v>0</v>
      </c>
      <c r="AG15" s="37">
        <f>IF(AQ15="2",BI15,0)</f>
        <v>0</v>
      </c>
      <c r="AH15" s="37">
        <f>IF(AQ15="0",BJ15,0)</f>
        <v>0</v>
      </c>
      <c r="AI15" s="35"/>
      <c r="AJ15" s="24">
        <f>IF(AN15=0,L15,0)</f>
        <v>0</v>
      </c>
      <c r="AK15" s="24">
        <f>IF(AN15=15,L15,0)</f>
        <v>0</v>
      </c>
      <c r="AL15" s="24">
        <f>IF(AN15=21,L15,0)</f>
        <v>0</v>
      </c>
      <c r="AN15" s="37">
        <v>21</v>
      </c>
      <c r="AO15" s="37">
        <f>I15*0</f>
        <v>0</v>
      </c>
      <c r="AP15" s="37">
        <f>I15*(1-0)</f>
        <v>0</v>
      </c>
      <c r="AQ15" s="38" t="s">
        <v>7</v>
      </c>
      <c r="AV15" s="37">
        <f>AW15+AX15</f>
        <v>0</v>
      </c>
      <c r="AW15" s="37">
        <f>H15*AO15</f>
        <v>0</v>
      </c>
      <c r="AX15" s="37">
        <f>H15*AP15</f>
        <v>0</v>
      </c>
      <c r="AY15" s="40" t="s">
        <v>349</v>
      </c>
      <c r="AZ15" s="40" t="s">
        <v>374</v>
      </c>
      <c r="BA15" s="35" t="s">
        <v>382</v>
      </c>
      <c r="BC15" s="37">
        <f>AW15+AX15</f>
        <v>0</v>
      </c>
      <c r="BD15" s="37">
        <f>I15/(100-BE15)*100</f>
        <v>0</v>
      </c>
      <c r="BE15" s="37">
        <v>0</v>
      </c>
      <c r="BF15" s="37">
        <f>N15</f>
        <v>45</v>
      </c>
      <c r="BH15" s="24">
        <f>H15*AO15</f>
        <v>0</v>
      </c>
      <c r="BI15" s="24">
        <f>H15*AP15</f>
        <v>0</v>
      </c>
      <c r="BJ15" s="24">
        <f>H15*I15</f>
        <v>0</v>
      </c>
      <c r="BK15" s="24" t="s">
        <v>387</v>
      </c>
      <c r="BL15" s="37">
        <v>11</v>
      </c>
    </row>
    <row r="16" spans="1:47" ht="12.75">
      <c r="A16" s="6"/>
      <c r="B16" s="15" t="s">
        <v>18</v>
      </c>
      <c r="C16" s="111" t="s">
        <v>168</v>
      </c>
      <c r="D16" s="112"/>
      <c r="E16" s="112"/>
      <c r="F16" s="112"/>
      <c r="G16" s="22" t="s">
        <v>6</v>
      </c>
      <c r="H16" s="22" t="s">
        <v>6</v>
      </c>
      <c r="I16" s="22" t="s">
        <v>6</v>
      </c>
      <c r="J16" s="43">
        <f>SUM(J17:J17)</f>
        <v>0</v>
      </c>
      <c r="K16" s="43">
        <f>SUM(K17:K17)</f>
        <v>0</v>
      </c>
      <c r="L16" s="43">
        <f>SUM(L17:L17)</f>
        <v>0</v>
      </c>
      <c r="M16" s="35"/>
      <c r="N16" s="47">
        <f>SUM(N17:N17)</f>
        <v>15.3</v>
      </c>
      <c r="O16" s="5"/>
      <c r="AI16" s="35"/>
      <c r="AS16" s="43">
        <f>SUM(AJ17:AJ17)</f>
        <v>0</v>
      </c>
      <c r="AT16" s="43">
        <f>SUM(AK17:AK17)</f>
        <v>0</v>
      </c>
      <c r="AU16" s="43">
        <f>SUM(AL17:AL17)</f>
        <v>0</v>
      </c>
    </row>
    <row r="17" spans="1:64" ht="12.75">
      <c r="A17" s="4" t="s">
        <v>9</v>
      </c>
      <c r="B17" s="14" t="s">
        <v>81</v>
      </c>
      <c r="C17" s="113" t="s">
        <v>169</v>
      </c>
      <c r="D17" s="114"/>
      <c r="E17" s="114"/>
      <c r="F17" s="114"/>
      <c r="G17" s="14" t="s">
        <v>320</v>
      </c>
      <c r="H17" s="24">
        <v>0.9</v>
      </c>
      <c r="I17" s="24">
        <v>0</v>
      </c>
      <c r="J17" s="24">
        <f>H17*AO17</f>
        <v>0</v>
      </c>
      <c r="K17" s="24">
        <f>H17*AP17</f>
        <v>0</v>
      </c>
      <c r="L17" s="24">
        <f>H17*I17</f>
        <v>0</v>
      </c>
      <c r="M17" s="24">
        <v>0</v>
      </c>
      <c r="N17" s="46">
        <f>H17*17</f>
        <v>15.3</v>
      </c>
      <c r="O17" s="5"/>
      <c r="Z17" s="37">
        <f>IF(AQ17="5",BJ17,0)</f>
        <v>0</v>
      </c>
      <c r="AB17" s="37">
        <f>IF(AQ17="1",BH17,0)</f>
        <v>0</v>
      </c>
      <c r="AC17" s="37">
        <f>IF(AQ17="1",BI17,0)</f>
        <v>0</v>
      </c>
      <c r="AD17" s="37">
        <f>IF(AQ17="7",BH17,0)</f>
        <v>0</v>
      </c>
      <c r="AE17" s="37">
        <f>IF(AQ17="7",BI17,0)</f>
        <v>0</v>
      </c>
      <c r="AF17" s="37">
        <f>IF(AQ17="2",BH17,0)</f>
        <v>0</v>
      </c>
      <c r="AG17" s="37">
        <f>IF(AQ17="2",BI17,0)</f>
        <v>0</v>
      </c>
      <c r="AH17" s="37">
        <f>IF(AQ17="0",BJ17,0)</f>
        <v>0</v>
      </c>
      <c r="AI17" s="35"/>
      <c r="AJ17" s="24">
        <f>IF(AN17=0,L17,0)</f>
        <v>0</v>
      </c>
      <c r="AK17" s="24">
        <f>IF(AN17=15,L17,0)</f>
        <v>0</v>
      </c>
      <c r="AL17" s="24">
        <f>IF(AN17=21,L17,0)</f>
        <v>0</v>
      </c>
      <c r="AN17" s="37">
        <v>21</v>
      </c>
      <c r="AO17" s="37">
        <f>I17*0</f>
        <v>0</v>
      </c>
      <c r="AP17" s="37">
        <f>I17*(1-0)</f>
        <v>0</v>
      </c>
      <c r="AQ17" s="38" t="s">
        <v>7</v>
      </c>
      <c r="AV17" s="37">
        <f>AW17+AX17</f>
        <v>0</v>
      </c>
      <c r="AW17" s="37">
        <f>H17*AO17</f>
        <v>0</v>
      </c>
      <c r="AX17" s="37">
        <f>H17*AP17</f>
        <v>0</v>
      </c>
      <c r="AY17" s="40" t="s">
        <v>350</v>
      </c>
      <c r="AZ17" s="40" t="s">
        <v>374</v>
      </c>
      <c r="BA17" s="35" t="s">
        <v>382</v>
      </c>
      <c r="BC17" s="37">
        <f>AW17+AX17</f>
        <v>0</v>
      </c>
      <c r="BD17" s="37">
        <f>I17/(100-BE17)*100</f>
        <v>0</v>
      </c>
      <c r="BE17" s="37">
        <v>0</v>
      </c>
      <c r="BF17" s="37">
        <f>N17</f>
        <v>15.3</v>
      </c>
      <c r="BH17" s="24">
        <f>H17*AO17</f>
        <v>0</v>
      </c>
      <c r="BI17" s="24">
        <f>H17*AP17</f>
        <v>0</v>
      </c>
      <c r="BJ17" s="24">
        <f>H17*I17</f>
        <v>0</v>
      </c>
      <c r="BK17" s="24" t="s">
        <v>387</v>
      </c>
      <c r="BL17" s="37">
        <v>12</v>
      </c>
    </row>
    <row r="18" spans="1:15" ht="12.75">
      <c r="A18" s="5"/>
      <c r="C18" s="18" t="s">
        <v>170</v>
      </c>
      <c r="F18" s="20" t="s">
        <v>297</v>
      </c>
      <c r="H18" s="25">
        <v>0.9</v>
      </c>
      <c r="N18" s="36"/>
      <c r="O18" s="5"/>
    </row>
    <row r="19" spans="1:47" ht="12.75">
      <c r="A19" s="6"/>
      <c r="B19" s="15" t="s">
        <v>19</v>
      </c>
      <c r="C19" s="111" t="s">
        <v>171</v>
      </c>
      <c r="D19" s="112"/>
      <c r="E19" s="112"/>
      <c r="F19" s="112"/>
      <c r="G19" s="22" t="s">
        <v>6</v>
      </c>
      <c r="H19" s="22" t="s">
        <v>6</v>
      </c>
      <c r="I19" s="22" t="s">
        <v>6</v>
      </c>
      <c r="J19" s="43">
        <f>SUM(J20:J22)</f>
        <v>0</v>
      </c>
      <c r="K19" s="43">
        <f>SUM(K20:K22)</f>
        <v>0</v>
      </c>
      <c r="L19" s="43">
        <f>SUM(L20:L22)</f>
        <v>0</v>
      </c>
      <c r="M19" s="35"/>
      <c r="N19" s="47">
        <f>SUM(N20:N22)</f>
        <v>873</v>
      </c>
      <c r="O19" s="5"/>
      <c r="AI19" s="35"/>
      <c r="AS19" s="43">
        <f>SUM(AJ20:AJ22)</f>
        <v>0</v>
      </c>
      <c r="AT19" s="43">
        <f>SUM(AK20:AK22)</f>
        <v>0</v>
      </c>
      <c r="AU19" s="43">
        <f>SUM(AL20:AL22)</f>
        <v>0</v>
      </c>
    </row>
    <row r="20" spans="1:64" ht="12.75">
      <c r="A20" s="4" t="s">
        <v>10</v>
      </c>
      <c r="B20" s="14" t="s">
        <v>82</v>
      </c>
      <c r="C20" s="113" t="s">
        <v>172</v>
      </c>
      <c r="D20" s="114"/>
      <c r="E20" s="114"/>
      <c r="F20" s="114"/>
      <c r="G20" s="14" t="s">
        <v>320</v>
      </c>
      <c r="H20" s="24">
        <v>4.05</v>
      </c>
      <c r="I20" s="24">
        <v>0</v>
      </c>
      <c r="J20" s="24">
        <f>H20*AO20</f>
        <v>0</v>
      </c>
      <c r="K20" s="24">
        <f>H20*AP20</f>
        <v>0</v>
      </c>
      <c r="L20" s="24">
        <f>H20*I20</f>
        <v>0</v>
      </c>
      <c r="M20" s="24">
        <v>1.9</v>
      </c>
      <c r="N20" s="46">
        <f>H20*20</f>
        <v>81</v>
      </c>
      <c r="O20" s="5"/>
      <c r="Z20" s="37">
        <f>IF(AQ20="5",BJ20,0)</f>
        <v>0</v>
      </c>
      <c r="AB20" s="37">
        <f>IF(AQ20="1",BH20,0)</f>
        <v>0</v>
      </c>
      <c r="AC20" s="37">
        <f>IF(AQ20="1",BI20,0)</f>
        <v>0</v>
      </c>
      <c r="AD20" s="37">
        <f>IF(AQ20="7",BH20,0)</f>
        <v>0</v>
      </c>
      <c r="AE20" s="37">
        <f>IF(AQ20="7",BI20,0)</f>
        <v>0</v>
      </c>
      <c r="AF20" s="37">
        <f>IF(AQ20="2",BH20,0)</f>
        <v>0</v>
      </c>
      <c r="AG20" s="37">
        <f>IF(AQ20="2",BI20,0)</f>
        <v>0</v>
      </c>
      <c r="AH20" s="37">
        <f>IF(AQ20="0",BJ20,0)</f>
        <v>0</v>
      </c>
      <c r="AI20" s="35"/>
      <c r="AJ20" s="24">
        <f>IF(AN20=0,L20,0)</f>
        <v>0</v>
      </c>
      <c r="AK20" s="24">
        <f>IF(AN20=15,L20,0)</f>
        <v>0</v>
      </c>
      <c r="AL20" s="24">
        <f>IF(AN20=21,L20,0)</f>
        <v>0</v>
      </c>
      <c r="AN20" s="37">
        <v>21</v>
      </c>
      <c r="AO20" s="37">
        <f>I20*0</f>
        <v>0</v>
      </c>
      <c r="AP20" s="37">
        <f>I20*(1-0)</f>
        <v>0</v>
      </c>
      <c r="AQ20" s="38" t="s">
        <v>7</v>
      </c>
      <c r="AV20" s="37">
        <f>AW20+AX20</f>
        <v>0</v>
      </c>
      <c r="AW20" s="37">
        <f>H20*AO20</f>
        <v>0</v>
      </c>
      <c r="AX20" s="37">
        <f>H20*AP20</f>
        <v>0</v>
      </c>
      <c r="AY20" s="40" t="s">
        <v>351</v>
      </c>
      <c r="AZ20" s="40" t="s">
        <v>374</v>
      </c>
      <c r="BA20" s="35" t="s">
        <v>382</v>
      </c>
      <c r="BC20" s="37">
        <f>AW20+AX20</f>
        <v>0</v>
      </c>
      <c r="BD20" s="37">
        <f>I20/(100-BE20)*100</f>
        <v>0</v>
      </c>
      <c r="BE20" s="37">
        <v>0</v>
      </c>
      <c r="BF20" s="37">
        <f>N20</f>
        <v>81</v>
      </c>
      <c r="BH20" s="24">
        <f>H20*AO20</f>
        <v>0</v>
      </c>
      <c r="BI20" s="24">
        <f>H20*AP20</f>
        <v>0</v>
      </c>
      <c r="BJ20" s="24">
        <f>H20*I20</f>
        <v>0</v>
      </c>
      <c r="BK20" s="24" t="s">
        <v>387</v>
      </c>
      <c r="BL20" s="37">
        <v>13</v>
      </c>
    </row>
    <row r="21" spans="1:15" ht="12.75">
      <c r="A21" s="5"/>
      <c r="C21" s="18" t="s">
        <v>173</v>
      </c>
      <c r="F21" s="20"/>
      <c r="H21" s="25">
        <v>4.05</v>
      </c>
      <c r="N21" s="36"/>
      <c r="O21" s="5"/>
    </row>
    <row r="22" spans="1:64" ht="12.75">
      <c r="A22" s="4" t="s">
        <v>11</v>
      </c>
      <c r="B22" s="14" t="s">
        <v>83</v>
      </c>
      <c r="C22" s="113" t="s">
        <v>174</v>
      </c>
      <c r="D22" s="114"/>
      <c r="E22" s="114"/>
      <c r="F22" s="114"/>
      <c r="G22" s="14" t="s">
        <v>321</v>
      </c>
      <c r="H22" s="24">
        <v>36</v>
      </c>
      <c r="I22" s="24">
        <v>0</v>
      </c>
      <c r="J22" s="24">
        <f>H22*AO22</f>
        <v>0</v>
      </c>
      <c r="K22" s="24">
        <f>H22*AP22</f>
        <v>0</v>
      </c>
      <c r="L22" s="24">
        <f>H22*I22</f>
        <v>0</v>
      </c>
      <c r="M22" s="24">
        <v>0</v>
      </c>
      <c r="N22" s="46">
        <f>H22*22</f>
        <v>792</v>
      </c>
      <c r="O22" s="5"/>
      <c r="Z22" s="37">
        <f>IF(AQ22="5",BJ22,0)</f>
        <v>0</v>
      </c>
      <c r="AB22" s="37">
        <f>IF(AQ22="1",BH22,0)</f>
        <v>0</v>
      </c>
      <c r="AC22" s="37">
        <f>IF(AQ22="1",BI22,0)</f>
        <v>0</v>
      </c>
      <c r="AD22" s="37">
        <f>IF(AQ22="7",BH22,0)</f>
        <v>0</v>
      </c>
      <c r="AE22" s="37">
        <f>IF(AQ22="7",BI22,0)</f>
        <v>0</v>
      </c>
      <c r="AF22" s="37">
        <f>IF(AQ22="2",BH22,0)</f>
        <v>0</v>
      </c>
      <c r="AG22" s="37">
        <f>IF(AQ22="2",BI22,0)</f>
        <v>0</v>
      </c>
      <c r="AH22" s="37">
        <f>IF(AQ22="0",BJ22,0)</f>
        <v>0</v>
      </c>
      <c r="AI22" s="35"/>
      <c r="AJ22" s="24">
        <f>IF(AN22=0,L22,0)</f>
        <v>0</v>
      </c>
      <c r="AK22" s="24">
        <f>IF(AN22=15,L22,0)</f>
        <v>0</v>
      </c>
      <c r="AL22" s="24">
        <f>IF(AN22=21,L22,0)</f>
        <v>0</v>
      </c>
      <c r="AN22" s="37">
        <v>21</v>
      </c>
      <c r="AO22" s="37">
        <f>I22*0</f>
        <v>0</v>
      </c>
      <c r="AP22" s="37">
        <f>I22*(1-0)</f>
        <v>0</v>
      </c>
      <c r="AQ22" s="38" t="s">
        <v>7</v>
      </c>
      <c r="AV22" s="37">
        <f>AW22+AX22</f>
        <v>0</v>
      </c>
      <c r="AW22" s="37">
        <f>H22*AO22</f>
        <v>0</v>
      </c>
      <c r="AX22" s="37">
        <f>H22*AP22</f>
        <v>0</v>
      </c>
      <c r="AY22" s="40" t="s">
        <v>351</v>
      </c>
      <c r="AZ22" s="40" t="s">
        <v>374</v>
      </c>
      <c r="BA22" s="35" t="s">
        <v>382</v>
      </c>
      <c r="BC22" s="37">
        <f>AW22+AX22</f>
        <v>0</v>
      </c>
      <c r="BD22" s="37">
        <f>I22/(100-BE22)*100</f>
        <v>0</v>
      </c>
      <c r="BE22" s="37">
        <v>0</v>
      </c>
      <c r="BF22" s="37">
        <f>N22</f>
        <v>792</v>
      </c>
      <c r="BH22" s="24">
        <f>H22*AO22</f>
        <v>0</v>
      </c>
      <c r="BI22" s="24">
        <f>H22*AP22</f>
        <v>0</v>
      </c>
      <c r="BJ22" s="24">
        <f>H22*I22</f>
        <v>0</v>
      </c>
      <c r="BK22" s="24" t="s">
        <v>387</v>
      </c>
      <c r="BL22" s="37">
        <v>13</v>
      </c>
    </row>
    <row r="23" spans="1:15" ht="12.75">
      <c r="A23" s="5"/>
      <c r="C23" s="18" t="s">
        <v>175</v>
      </c>
      <c r="F23" s="20" t="s">
        <v>298</v>
      </c>
      <c r="H23" s="25">
        <v>36</v>
      </c>
      <c r="N23" s="36"/>
      <c r="O23" s="5"/>
    </row>
    <row r="24" spans="1:47" ht="12.75">
      <c r="A24" s="6"/>
      <c r="B24" s="15" t="s">
        <v>21</v>
      </c>
      <c r="C24" s="111" t="s">
        <v>176</v>
      </c>
      <c r="D24" s="112"/>
      <c r="E24" s="112"/>
      <c r="F24" s="112"/>
      <c r="G24" s="22" t="s">
        <v>6</v>
      </c>
      <c r="H24" s="22" t="s">
        <v>6</v>
      </c>
      <c r="I24" s="22" t="s">
        <v>6</v>
      </c>
      <c r="J24" s="43">
        <f>SUM(J25:J27)</f>
        <v>0</v>
      </c>
      <c r="K24" s="43">
        <f>SUM(K25:K27)</f>
        <v>0</v>
      </c>
      <c r="L24" s="43">
        <f>SUM(L25:L27)</f>
        <v>0</v>
      </c>
      <c r="M24" s="35"/>
      <c r="N24" s="47">
        <f>SUM(N25:N27)</f>
        <v>234</v>
      </c>
      <c r="O24" s="5"/>
      <c r="AI24" s="35"/>
      <c r="AS24" s="43">
        <f>SUM(AJ25:AJ27)</f>
        <v>0</v>
      </c>
      <c r="AT24" s="43">
        <f>SUM(AK25:AK27)</f>
        <v>0</v>
      </c>
      <c r="AU24" s="43">
        <f>SUM(AL25:AL27)</f>
        <v>0</v>
      </c>
    </row>
    <row r="25" spans="1:64" ht="12.75">
      <c r="A25" s="4" t="s">
        <v>12</v>
      </c>
      <c r="B25" s="14" t="s">
        <v>84</v>
      </c>
      <c r="C25" s="113" t="s">
        <v>177</v>
      </c>
      <c r="D25" s="114"/>
      <c r="E25" s="114"/>
      <c r="F25" s="114"/>
      <c r="G25" s="14" t="s">
        <v>319</v>
      </c>
      <c r="H25" s="24">
        <v>4.5</v>
      </c>
      <c r="I25" s="24">
        <v>0</v>
      </c>
      <c r="J25" s="24">
        <f>H25*AO25</f>
        <v>0</v>
      </c>
      <c r="K25" s="24">
        <f>H25*AP25</f>
        <v>0</v>
      </c>
      <c r="L25" s="24">
        <f>H25*I25</f>
        <v>0</v>
      </c>
      <c r="M25" s="24">
        <v>0.00099</v>
      </c>
      <c r="N25" s="46">
        <f>H25*25</f>
        <v>112.5</v>
      </c>
      <c r="O25" s="5"/>
      <c r="Z25" s="37">
        <f>IF(AQ25="5",BJ25,0)</f>
        <v>0</v>
      </c>
      <c r="AB25" s="37">
        <f>IF(AQ25="1",BH25,0)</f>
        <v>0</v>
      </c>
      <c r="AC25" s="37">
        <f>IF(AQ25="1",BI25,0)</f>
        <v>0</v>
      </c>
      <c r="AD25" s="37">
        <f>IF(AQ25="7",BH25,0)</f>
        <v>0</v>
      </c>
      <c r="AE25" s="37">
        <f>IF(AQ25="7",BI25,0)</f>
        <v>0</v>
      </c>
      <c r="AF25" s="37">
        <f>IF(AQ25="2",BH25,0)</f>
        <v>0</v>
      </c>
      <c r="AG25" s="37">
        <f>IF(AQ25="2",BI25,0)</f>
        <v>0</v>
      </c>
      <c r="AH25" s="37">
        <f>IF(AQ25="0",BJ25,0)</f>
        <v>0</v>
      </c>
      <c r="AI25" s="35"/>
      <c r="AJ25" s="24">
        <f>IF(AN25=0,L25,0)</f>
        <v>0</v>
      </c>
      <c r="AK25" s="24">
        <f>IF(AN25=15,L25,0)</f>
        <v>0</v>
      </c>
      <c r="AL25" s="24">
        <f>IF(AN25=21,L25,0)</f>
        <v>0</v>
      </c>
      <c r="AN25" s="37">
        <v>21</v>
      </c>
      <c r="AO25" s="37">
        <f>I25*0.0731969309462916</f>
        <v>0</v>
      </c>
      <c r="AP25" s="37">
        <f>I25*(1-0.0731969309462916)</f>
        <v>0</v>
      </c>
      <c r="AQ25" s="38" t="s">
        <v>7</v>
      </c>
      <c r="AV25" s="37">
        <f>AW25+AX25</f>
        <v>0</v>
      </c>
      <c r="AW25" s="37">
        <f>H25*AO25</f>
        <v>0</v>
      </c>
      <c r="AX25" s="37">
        <f>H25*AP25</f>
        <v>0</v>
      </c>
      <c r="AY25" s="40" t="s">
        <v>352</v>
      </c>
      <c r="AZ25" s="40" t="s">
        <v>374</v>
      </c>
      <c r="BA25" s="35" t="s">
        <v>382</v>
      </c>
      <c r="BC25" s="37">
        <f>AW25+AX25</f>
        <v>0</v>
      </c>
      <c r="BD25" s="37">
        <f>I25/(100-BE25)*100</f>
        <v>0</v>
      </c>
      <c r="BE25" s="37">
        <v>0</v>
      </c>
      <c r="BF25" s="37">
        <f>N25</f>
        <v>112.5</v>
      </c>
      <c r="BH25" s="24">
        <f>H25*AO25</f>
        <v>0</v>
      </c>
      <c r="BI25" s="24">
        <f>H25*AP25</f>
        <v>0</v>
      </c>
      <c r="BJ25" s="24">
        <f>H25*I25</f>
        <v>0</v>
      </c>
      <c r="BK25" s="24" t="s">
        <v>387</v>
      </c>
      <c r="BL25" s="37">
        <v>15</v>
      </c>
    </row>
    <row r="26" spans="1:15" ht="12.75">
      <c r="A26" s="5"/>
      <c r="C26" s="18" t="s">
        <v>178</v>
      </c>
      <c r="F26" s="20" t="s">
        <v>299</v>
      </c>
      <c r="H26" s="25">
        <v>4.5</v>
      </c>
      <c r="N26" s="36"/>
      <c r="O26" s="5"/>
    </row>
    <row r="27" spans="1:64" ht="12.75">
      <c r="A27" s="4" t="s">
        <v>13</v>
      </c>
      <c r="B27" s="14" t="s">
        <v>85</v>
      </c>
      <c r="C27" s="113" t="s">
        <v>179</v>
      </c>
      <c r="D27" s="114"/>
      <c r="E27" s="114"/>
      <c r="F27" s="114"/>
      <c r="G27" s="14" t="s">
        <v>319</v>
      </c>
      <c r="H27" s="24">
        <v>4.5</v>
      </c>
      <c r="I27" s="24">
        <v>0</v>
      </c>
      <c r="J27" s="24">
        <f>H27*AO27</f>
        <v>0</v>
      </c>
      <c r="K27" s="24">
        <f>H27*AP27</f>
        <v>0</v>
      </c>
      <c r="L27" s="24">
        <f>H27*I27</f>
        <v>0</v>
      </c>
      <c r="M27" s="24">
        <v>0</v>
      </c>
      <c r="N27" s="46">
        <f>H27*27</f>
        <v>121.5</v>
      </c>
      <c r="O27" s="5"/>
      <c r="Z27" s="37">
        <f>IF(AQ27="5",BJ27,0)</f>
        <v>0</v>
      </c>
      <c r="AB27" s="37">
        <f>IF(AQ27="1",BH27,0)</f>
        <v>0</v>
      </c>
      <c r="AC27" s="37">
        <f>IF(AQ27="1",BI27,0)</f>
        <v>0</v>
      </c>
      <c r="AD27" s="37">
        <f>IF(AQ27="7",BH27,0)</f>
        <v>0</v>
      </c>
      <c r="AE27" s="37">
        <f>IF(AQ27="7",BI27,0)</f>
        <v>0</v>
      </c>
      <c r="AF27" s="37">
        <f>IF(AQ27="2",BH27,0)</f>
        <v>0</v>
      </c>
      <c r="AG27" s="37">
        <f>IF(AQ27="2",BI27,0)</f>
        <v>0</v>
      </c>
      <c r="AH27" s="37">
        <f>IF(AQ27="0",BJ27,0)</f>
        <v>0</v>
      </c>
      <c r="AI27" s="35"/>
      <c r="AJ27" s="24">
        <f>IF(AN27=0,L27,0)</f>
        <v>0</v>
      </c>
      <c r="AK27" s="24">
        <f>IF(AN27=15,L27,0)</f>
        <v>0</v>
      </c>
      <c r="AL27" s="24">
        <f>IF(AN27=21,L27,0)</f>
        <v>0</v>
      </c>
      <c r="AN27" s="37">
        <v>21</v>
      </c>
      <c r="AO27" s="37">
        <f>I27*0</f>
        <v>0</v>
      </c>
      <c r="AP27" s="37">
        <f>I27*(1-0)</f>
        <v>0</v>
      </c>
      <c r="AQ27" s="38" t="s">
        <v>7</v>
      </c>
      <c r="AV27" s="37">
        <f>AW27+AX27</f>
        <v>0</v>
      </c>
      <c r="AW27" s="37">
        <f>H27*AO27</f>
        <v>0</v>
      </c>
      <c r="AX27" s="37">
        <f>H27*AP27</f>
        <v>0</v>
      </c>
      <c r="AY27" s="40" t="s">
        <v>352</v>
      </c>
      <c r="AZ27" s="40" t="s">
        <v>374</v>
      </c>
      <c r="BA27" s="35" t="s">
        <v>382</v>
      </c>
      <c r="BC27" s="37">
        <f>AW27+AX27</f>
        <v>0</v>
      </c>
      <c r="BD27" s="37">
        <f>I27/(100-BE27)*100</f>
        <v>0</v>
      </c>
      <c r="BE27" s="37">
        <v>0</v>
      </c>
      <c r="BF27" s="37">
        <f>N27</f>
        <v>121.5</v>
      </c>
      <c r="BH27" s="24">
        <f>H27*AO27</f>
        <v>0</v>
      </c>
      <c r="BI27" s="24">
        <f>H27*AP27</f>
        <v>0</v>
      </c>
      <c r="BJ27" s="24">
        <f>H27*I27</f>
        <v>0</v>
      </c>
      <c r="BK27" s="24" t="s">
        <v>387</v>
      </c>
      <c r="BL27" s="37">
        <v>15</v>
      </c>
    </row>
    <row r="28" spans="1:47" ht="12.75">
      <c r="A28" s="6"/>
      <c r="B28" s="15" t="s">
        <v>22</v>
      </c>
      <c r="C28" s="111" t="s">
        <v>180</v>
      </c>
      <c r="D28" s="112"/>
      <c r="E28" s="112"/>
      <c r="F28" s="112"/>
      <c r="G28" s="22" t="s">
        <v>6</v>
      </c>
      <c r="H28" s="22" t="s">
        <v>6</v>
      </c>
      <c r="I28" s="22" t="s">
        <v>6</v>
      </c>
      <c r="J28" s="43">
        <f>SUM(J29:J31)</f>
        <v>0</v>
      </c>
      <c r="K28" s="43">
        <f>SUM(K29:K31)</f>
        <v>0</v>
      </c>
      <c r="L28" s="43">
        <f>SUM(L29:L31)</f>
        <v>0</v>
      </c>
      <c r="M28" s="35"/>
      <c r="N28" s="47">
        <f>SUM(N29:N31)</f>
        <v>109.2</v>
      </c>
      <c r="O28" s="5"/>
      <c r="AI28" s="35"/>
      <c r="AS28" s="43">
        <f>SUM(AJ29:AJ31)</f>
        <v>0</v>
      </c>
      <c r="AT28" s="43">
        <f>SUM(AK29:AK31)</f>
        <v>0</v>
      </c>
      <c r="AU28" s="43">
        <f>SUM(AL29:AL31)</f>
        <v>0</v>
      </c>
    </row>
    <row r="29" spans="1:64" ht="12.75">
      <c r="A29" s="4" t="s">
        <v>14</v>
      </c>
      <c r="B29" s="14" t="s">
        <v>86</v>
      </c>
      <c r="C29" s="113" t="s">
        <v>181</v>
      </c>
      <c r="D29" s="114"/>
      <c r="E29" s="114"/>
      <c r="F29" s="114"/>
      <c r="G29" s="14" t="s">
        <v>320</v>
      </c>
      <c r="H29" s="24">
        <v>1.82</v>
      </c>
      <c r="I29" s="24">
        <v>0</v>
      </c>
      <c r="J29" s="24">
        <f>H29*AO29</f>
        <v>0</v>
      </c>
      <c r="K29" s="24">
        <f>H29*AP29</f>
        <v>0</v>
      </c>
      <c r="L29" s="24">
        <f>H29*I29</f>
        <v>0</v>
      </c>
      <c r="M29" s="24">
        <v>0</v>
      </c>
      <c r="N29" s="46">
        <f>H29*29</f>
        <v>52.78</v>
      </c>
      <c r="O29" s="5"/>
      <c r="Z29" s="37">
        <f>IF(AQ29="5",BJ29,0)</f>
        <v>0</v>
      </c>
      <c r="AB29" s="37">
        <f>IF(AQ29="1",BH29,0)</f>
        <v>0</v>
      </c>
      <c r="AC29" s="37">
        <f>IF(AQ29="1",BI29,0)</f>
        <v>0</v>
      </c>
      <c r="AD29" s="37">
        <f>IF(AQ29="7",BH29,0)</f>
        <v>0</v>
      </c>
      <c r="AE29" s="37">
        <f>IF(AQ29="7",BI29,0)</f>
        <v>0</v>
      </c>
      <c r="AF29" s="37">
        <f>IF(AQ29="2",BH29,0)</f>
        <v>0</v>
      </c>
      <c r="AG29" s="37">
        <f>IF(AQ29="2",BI29,0)</f>
        <v>0</v>
      </c>
      <c r="AH29" s="37">
        <f>IF(AQ29="0",BJ29,0)</f>
        <v>0</v>
      </c>
      <c r="AI29" s="35"/>
      <c r="AJ29" s="24">
        <f>IF(AN29=0,L29,0)</f>
        <v>0</v>
      </c>
      <c r="AK29" s="24">
        <f>IF(AN29=15,L29,0)</f>
        <v>0</v>
      </c>
      <c r="AL29" s="24">
        <f>IF(AN29=21,L29,0)</f>
        <v>0</v>
      </c>
      <c r="AN29" s="37">
        <v>21</v>
      </c>
      <c r="AO29" s="37">
        <f>I29*0</f>
        <v>0</v>
      </c>
      <c r="AP29" s="37">
        <f>I29*(1-0)</f>
        <v>0</v>
      </c>
      <c r="AQ29" s="38" t="s">
        <v>7</v>
      </c>
      <c r="AV29" s="37">
        <f>AW29+AX29</f>
        <v>0</v>
      </c>
      <c r="AW29" s="37">
        <f>H29*AO29</f>
        <v>0</v>
      </c>
      <c r="AX29" s="37">
        <f>H29*AP29</f>
        <v>0</v>
      </c>
      <c r="AY29" s="40" t="s">
        <v>353</v>
      </c>
      <c r="AZ29" s="40" t="s">
        <v>374</v>
      </c>
      <c r="BA29" s="35" t="s">
        <v>382</v>
      </c>
      <c r="BC29" s="37">
        <f>AW29+AX29</f>
        <v>0</v>
      </c>
      <c r="BD29" s="37">
        <f>I29/(100-BE29)*100</f>
        <v>0</v>
      </c>
      <c r="BE29" s="37">
        <v>0</v>
      </c>
      <c r="BF29" s="37">
        <f>N29</f>
        <v>52.78</v>
      </c>
      <c r="BH29" s="24">
        <f>H29*AO29</f>
        <v>0</v>
      </c>
      <c r="BI29" s="24">
        <f>H29*AP29</f>
        <v>0</v>
      </c>
      <c r="BJ29" s="24">
        <f>H29*I29</f>
        <v>0</v>
      </c>
      <c r="BK29" s="24" t="s">
        <v>387</v>
      </c>
      <c r="BL29" s="37">
        <v>16</v>
      </c>
    </row>
    <row r="30" spans="1:15" ht="12.75">
      <c r="A30" s="5"/>
      <c r="C30" s="18" t="s">
        <v>182</v>
      </c>
      <c r="F30" s="20" t="s">
        <v>300</v>
      </c>
      <c r="H30" s="25">
        <v>1.82</v>
      </c>
      <c r="N30" s="36"/>
      <c r="O30" s="5"/>
    </row>
    <row r="31" spans="1:64" ht="12.75">
      <c r="A31" s="4" t="s">
        <v>15</v>
      </c>
      <c r="B31" s="14" t="s">
        <v>87</v>
      </c>
      <c r="C31" s="113" t="s">
        <v>183</v>
      </c>
      <c r="D31" s="114"/>
      <c r="E31" s="114"/>
      <c r="F31" s="114"/>
      <c r="G31" s="14" t="s">
        <v>320</v>
      </c>
      <c r="H31" s="24">
        <v>1.82</v>
      </c>
      <c r="I31" s="24">
        <v>0</v>
      </c>
      <c r="J31" s="24">
        <f>H31*AO31</f>
        <v>0</v>
      </c>
      <c r="K31" s="24">
        <f>H31*AP31</f>
        <v>0</v>
      </c>
      <c r="L31" s="24">
        <f>H31*I31</f>
        <v>0</v>
      </c>
      <c r="M31" s="24">
        <v>0</v>
      </c>
      <c r="N31" s="46">
        <f>H31*31</f>
        <v>56.42</v>
      </c>
      <c r="O31" s="5"/>
      <c r="Z31" s="37">
        <f>IF(AQ31="5",BJ31,0)</f>
        <v>0</v>
      </c>
      <c r="AB31" s="37">
        <f>IF(AQ31="1",BH31,0)</f>
        <v>0</v>
      </c>
      <c r="AC31" s="37">
        <f>IF(AQ31="1",BI31,0)</f>
        <v>0</v>
      </c>
      <c r="AD31" s="37">
        <f>IF(AQ31="7",BH31,0)</f>
        <v>0</v>
      </c>
      <c r="AE31" s="37">
        <f>IF(AQ31="7",BI31,0)</f>
        <v>0</v>
      </c>
      <c r="AF31" s="37">
        <f>IF(AQ31="2",BH31,0)</f>
        <v>0</v>
      </c>
      <c r="AG31" s="37">
        <f>IF(AQ31="2",BI31,0)</f>
        <v>0</v>
      </c>
      <c r="AH31" s="37">
        <f>IF(AQ31="0",BJ31,0)</f>
        <v>0</v>
      </c>
      <c r="AI31" s="35"/>
      <c r="AJ31" s="24">
        <f>IF(AN31=0,L31,0)</f>
        <v>0</v>
      </c>
      <c r="AK31" s="24">
        <f>IF(AN31=15,L31,0)</f>
        <v>0</v>
      </c>
      <c r="AL31" s="24">
        <f>IF(AN31=21,L31,0)</f>
        <v>0</v>
      </c>
      <c r="AN31" s="37">
        <v>21</v>
      </c>
      <c r="AO31" s="37">
        <f>I31*0</f>
        <v>0</v>
      </c>
      <c r="AP31" s="37">
        <f>I31*(1-0)</f>
        <v>0</v>
      </c>
      <c r="AQ31" s="38" t="s">
        <v>7</v>
      </c>
      <c r="AV31" s="37">
        <f>AW31+AX31</f>
        <v>0</v>
      </c>
      <c r="AW31" s="37">
        <f>H31*AO31</f>
        <v>0</v>
      </c>
      <c r="AX31" s="37">
        <f>H31*AP31</f>
        <v>0</v>
      </c>
      <c r="AY31" s="40" t="s">
        <v>353</v>
      </c>
      <c r="AZ31" s="40" t="s">
        <v>374</v>
      </c>
      <c r="BA31" s="35" t="s">
        <v>382</v>
      </c>
      <c r="BC31" s="37">
        <f>AW31+AX31</f>
        <v>0</v>
      </c>
      <c r="BD31" s="37">
        <f>I31/(100-BE31)*100</f>
        <v>0</v>
      </c>
      <c r="BE31" s="37">
        <v>0</v>
      </c>
      <c r="BF31" s="37">
        <f>N31</f>
        <v>56.42</v>
      </c>
      <c r="BH31" s="24">
        <f>H31*AO31</f>
        <v>0</v>
      </c>
      <c r="BI31" s="24">
        <f>H31*AP31</f>
        <v>0</v>
      </c>
      <c r="BJ31" s="24">
        <f>H31*I31</f>
        <v>0</v>
      </c>
      <c r="BK31" s="24" t="s">
        <v>387</v>
      </c>
      <c r="BL31" s="37">
        <v>16</v>
      </c>
    </row>
    <row r="32" spans="1:47" ht="12.75">
      <c r="A32" s="6"/>
      <c r="B32" s="15" t="s">
        <v>23</v>
      </c>
      <c r="C32" s="111" t="s">
        <v>184</v>
      </c>
      <c r="D32" s="112"/>
      <c r="E32" s="112"/>
      <c r="F32" s="112"/>
      <c r="G32" s="22" t="s">
        <v>6</v>
      </c>
      <c r="H32" s="22" t="s">
        <v>6</v>
      </c>
      <c r="I32" s="22" t="s">
        <v>6</v>
      </c>
      <c r="J32" s="43">
        <f>SUM(J33:J41)</f>
        <v>0</v>
      </c>
      <c r="K32" s="43">
        <f>SUM(K33:K41)</f>
        <v>0</v>
      </c>
      <c r="L32" s="43">
        <f>SUM(L33:L41)</f>
        <v>0</v>
      </c>
      <c r="M32" s="35"/>
      <c r="N32" s="47">
        <f>SUM(N33:N41)</f>
        <v>5660.250000000001</v>
      </c>
      <c r="O32" s="5"/>
      <c r="AI32" s="35"/>
      <c r="AS32" s="43">
        <f>SUM(AJ33:AJ41)</f>
        <v>0</v>
      </c>
      <c r="AT32" s="43">
        <f>SUM(AK33:AK41)</f>
        <v>0</v>
      </c>
      <c r="AU32" s="43">
        <f>SUM(AL33:AL41)</f>
        <v>0</v>
      </c>
    </row>
    <row r="33" spans="1:64" ht="12.75">
      <c r="A33" s="4" t="s">
        <v>16</v>
      </c>
      <c r="B33" s="14" t="s">
        <v>88</v>
      </c>
      <c r="C33" s="113" t="s">
        <v>185</v>
      </c>
      <c r="D33" s="114"/>
      <c r="E33" s="114"/>
      <c r="F33" s="114"/>
      <c r="G33" s="14" t="s">
        <v>320</v>
      </c>
      <c r="H33" s="24">
        <v>1.95</v>
      </c>
      <c r="I33" s="24">
        <v>0</v>
      </c>
      <c r="J33" s="24">
        <f>H33*AO33</f>
        <v>0</v>
      </c>
      <c r="K33" s="24">
        <f>H33*AP33</f>
        <v>0</v>
      </c>
      <c r="L33" s="24">
        <f>H33*I33</f>
        <v>0</v>
      </c>
      <c r="M33" s="24">
        <v>0</v>
      </c>
      <c r="N33" s="46">
        <f>H33*33</f>
        <v>64.35</v>
      </c>
      <c r="O33" s="5"/>
      <c r="Z33" s="37">
        <f>IF(AQ33="5",BJ33,0)</f>
        <v>0</v>
      </c>
      <c r="AB33" s="37">
        <f>IF(AQ33="1",BH33,0)</f>
        <v>0</v>
      </c>
      <c r="AC33" s="37">
        <f>IF(AQ33="1",BI33,0)</f>
        <v>0</v>
      </c>
      <c r="AD33" s="37">
        <f>IF(AQ33="7",BH33,0)</f>
        <v>0</v>
      </c>
      <c r="AE33" s="37">
        <f>IF(AQ33="7",BI33,0)</f>
        <v>0</v>
      </c>
      <c r="AF33" s="37">
        <f>IF(AQ33="2",BH33,0)</f>
        <v>0</v>
      </c>
      <c r="AG33" s="37">
        <f>IF(AQ33="2",BI33,0)</f>
        <v>0</v>
      </c>
      <c r="AH33" s="37">
        <f>IF(AQ33="0",BJ33,0)</f>
        <v>0</v>
      </c>
      <c r="AI33" s="35"/>
      <c r="AJ33" s="24">
        <f>IF(AN33=0,L33,0)</f>
        <v>0</v>
      </c>
      <c r="AK33" s="24">
        <f>IF(AN33=15,L33,0)</f>
        <v>0</v>
      </c>
      <c r="AL33" s="24">
        <f>IF(AN33=21,L33,0)</f>
        <v>0</v>
      </c>
      <c r="AN33" s="37">
        <v>21</v>
      </c>
      <c r="AO33" s="37">
        <f>I33*0</f>
        <v>0</v>
      </c>
      <c r="AP33" s="37">
        <f>I33*(1-0)</f>
        <v>0</v>
      </c>
      <c r="AQ33" s="38" t="s">
        <v>7</v>
      </c>
      <c r="AV33" s="37">
        <f>AW33+AX33</f>
        <v>0</v>
      </c>
      <c r="AW33" s="37">
        <f>H33*AO33</f>
        <v>0</v>
      </c>
      <c r="AX33" s="37">
        <f>H33*AP33</f>
        <v>0</v>
      </c>
      <c r="AY33" s="40" t="s">
        <v>354</v>
      </c>
      <c r="AZ33" s="40" t="s">
        <v>374</v>
      </c>
      <c r="BA33" s="35" t="s">
        <v>382</v>
      </c>
      <c r="BC33" s="37">
        <f>AW33+AX33</f>
        <v>0</v>
      </c>
      <c r="BD33" s="37">
        <f>I33/(100-BE33)*100</f>
        <v>0</v>
      </c>
      <c r="BE33" s="37">
        <v>0</v>
      </c>
      <c r="BF33" s="37">
        <f>N33</f>
        <v>64.35</v>
      </c>
      <c r="BH33" s="24">
        <f>H33*AO33</f>
        <v>0</v>
      </c>
      <c r="BI33" s="24">
        <f>H33*AP33</f>
        <v>0</v>
      </c>
      <c r="BJ33" s="24">
        <f>H33*I33</f>
        <v>0</v>
      </c>
      <c r="BK33" s="24" t="s">
        <v>387</v>
      </c>
      <c r="BL33" s="37">
        <v>17</v>
      </c>
    </row>
    <row r="34" spans="1:15" ht="12.75">
      <c r="A34" s="5"/>
      <c r="C34" s="18" t="s">
        <v>186</v>
      </c>
      <c r="F34" s="20" t="s">
        <v>301</v>
      </c>
      <c r="H34" s="25">
        <v>1.95</v>
      </c>
      <c r="N34" s="36"/>
      <c r="O34" s="5"/>
    </row>
    <row r="35" spans="1:15" ht="12.75">
      <c r="A35" s="5"/>
      <c r="C35" s="18" t="s">
        <v>187</v>
      </c>
      <c r="F35" s="20"/>
      <c r="H35" s="25">
        <v>0</v>
      </c>
      <c r="N35" s="36"/>
      <c r="O35" s="5"/>
    </row>
    <row r="36" spans="1:64" ht="12.75">
      <c r="A36" s="4" t="s">
        <v>17</v>
      </c>
      <c r="B36" s="14" t="s">
        <v>89</v>
      </c>
      <c r="C36" s="113" t="s">
        <v>188</v>
      </c>
      <c r="D36" s="114"/>
      <c r="E36" s="114"/>
      <c r="F36" s="114"/>
      <c r="G36" s="14" t="s">
        <v>322</v>
      </c>
      <c r="H36" s="24">
        <v>3.16</v>
      </c>
      <c r="I36" s="24">
        <v>0</v>
      </c>
      <c r="J36" s="24">
        <f>H36*AO36</f>
        <v>0</v>
      </c>
      <c r="K36" s="24">
        <f>H36*AP36</f>
        <v>0</v>
      </c>
      <c r="L36" s="24">
        <f>H36*I36</f>
        <v>0</v>
      </c>
      <c r="M36" s="24">
        <v>0</v>
      </c>
      <c r="N36" s="46">
        <f>H36*36</f>
        <v>113.76</v>
      </c>
      <c r="O36" s="5"/>
      <c r="Z36" s="37">
        <f>IF(AQ36="5",BJ36,0)</f>
        <v>0</v>
      </c>
      <c r="AB36" s="37">
        <f>IF(AQ36="1",BH36,0)</f>
        <v>0</v>
      </c>
      <c r="AC36" s="37">
        <f>IF(AQ36="1",BI36,0)</f>
        <v>0</v>
      </c>
      <c r="AD36" s="37">
        <f>IF(AQ36="7",BH36,0)</f>
        <v>0</v>
      </c>
      <c r="AE36" s="37">
        <f>IF(AQ36="7",BI36,0)</f>
        <v>0</v>
      </c>
      <c r="AF36" s="37">
        <f>IF(AQ36="2",BH36,0)</f>
        <v>0</v>
      </c>
      <c r="AG36" s="37">
        <f>IF(AQ36="2",BI36,0)</f>
        <v>0</v>
      </c>
      <c r="AH36" s="37">
        <f>IF(AQ36="0",BJ36,0)</f>
        <v>0</v>
      </c>
      <c r="AI36" s="35"/>
      <c r="AJ36" s="24">
        <f>IF(AN36=0,L36,0)</f>
        <v>0</v>
      </c>
      <c r="AK36" s="24">
        <f>IF(AN36=15,L36,0)</f>
        <v>0</v>
      </c>
      <c r="AL36" s="24">
        <f>IF(AN36=21,L36,0)</f>
        <v>0</v>
      </c>
      <c r="AN36" s="37">
        <v>21</v>
      </c>
      <c r="AO36" s="37">
        <f>I36*0</f>
        <v>0</v>
      </c>
      <c r="AP36" s="37">
        <f>I36*(1-0)</f>
        <v>0</v>
      </c>
      <c r="AQ36" s="38" t="s">
        <v>11</v>
      </c>
      <c r="AV36" s="37">
        <f>AW36+AX36</f>
        <v>0</v>
      </c>
      <c r="AW36" s="37">
        <f>H36*AO36</f>
        <v>0</v>
      </c>
      <c r="AX36" s="37">
        <f>H36*AP36</f>
        <v>0</v>
      </c>
      <c r="AY36" s="40" t="s">
        <v>354</v>
      </c>
      <c r="AZ36" s="40" t="s">
        <v>374</v>
      </c>
      <c r="BA36" s="35" t="s">
        <v>382</v>
      </c>
      <c r="BC36" s="37">
        <f>AW36+AX36</f>
        <v>0</v>
      </c>
      <c r="BD36" s="37">
        <f>I36/(100-BE36)*100</f>
        <v>0</v>
      </c>
      <c r="BE36" s="37">
        <v>0</v>
      </c>
      <c r="BF36" s="37">
        <f>N36</f>
        <v>113.76</v>
      </c>
      <c r="BH36" s="24">
        <f>H36*AO36</f>
        <v>0</v>
      </c>
      <c r="BI36" s="24">
        <f>H36*AP36</f>
        <v>0</v>
      </c>
      <c r="BJ36" s="24">
        <f>H36*I36</f>
        <v>0</v>
      </c>
      <c r="BK36" s="24" t="s">
        <v>387</v>
      </c>
      <c r="BL36" s="37">
        <v>17</v>
      </c>
    </row>
    <row r="37" spans="1:15" ht="12.75">
      <c r="A37" s="5"/>
      <c r="C37" s="18" t="s">
        <v>189</v>
      </c>
      <c r="F37" s="20" t="s">
        <v>302</v>
      </c>
      <c r="H37" s="25">
        <v>3.16</v>
      </c>
      <c r="N37" s="36"/>
      <c r="O37" s="5"/>
    </row>
    <row r="38" spans="1:64" ht="12.75">
      <c r="A38" s="4" t="s">
        <v>18</v>
      </c>
      <c r="B38" s="14" t="s">
        <v>90</v>
      </c>
      <c r="C38" s="113" t="s">
        <v>190</v>
      </c>
      <c r="D38" s="114"/>
      <c r="E38" s="114"/>
      <c r="F38" s="114"/>
      <c r="G38" s="14" t="s">
        <v>320</v>
      </c>
      <c r="H38" s="24">
        <v>1.22</v>
      </c>
      <c r="I38" s="24">
        <v>0</v>
      </c>
      <c r="J38" s="24">
        <f>H38*AO38</f>
        <v>0</v>
      </c>
      <c r="K38" s="24">
        <f>H38*AP38</f>
        <v>0</v>
      </c>
      <c r="L38" s="24">
        <f>H38*I38</f>
        <v>0</v>
      </c>
      <c r="M38" s="24">
        <v>0</v>
      </c>
      <c r="N38" s="46">
        <f>H38*38</f>
        <v>46.36</v>
      </c>
      <c r="O38" s="5"/>
      <c r="Z38" s="37">
        <f>IF(AQ38="5",BJ38,0)</f>
        <v>0</v>
      </c>
      <c r="AB38" s="37">
        <f>IF(AQ38="1",BH38,0)</f>
        <v>0</v>
      </c>
      <c r="AC38" s="37">
        <f>IF(AQ38="1",BI38,0)</f>
        <v>0</v>
      </c>
      <c r="AD38" s="37">
        <f>IF(AQ38="7",BH38,0)</f>
        <v>0</v>
      </c>
      <c r="AE38" s="37">
        <f>IF(AQ38="7",BI38,0)</f>
        <v>0</v>
      </c>
      <c r="AF38" s="37">
        <f>IF(AQ38="2",BH38,0)</f>
        <v>0</v>
      </c>
      <c r="AG38" s="37">
        <f>IF(AQ38="2",BI38,0)</f>
        <v>0</v>
      </c>
      <c r="AH38" s="37">
        <f>IF(AQ38="0",BJ38,0)</f>
        <v>0</v>
      </c>
      <c r="AI38" s="35"/>
      <c r="AJ38" s="24">
        <f>IF(AN38=0,L38,0)</f>
        <v>0</v>
      </c>
      <c r="AK38" s="24">
        <f>IF(AN38=15,L38,0)</f>
        <v>0</v>
      </c>
      <c r="AL38" s="24">
        <f>IF(AN38=21,L38,0)</f>
        <v>0</v>
      </c>
      <c r="AN38" s="37">
        <v>21</v>
      </c>
      <c r="AO38" s="37">
        <f>I38*0</f>
        <v>0</v>
      </c>
      <c r="AP38" s="37">
        <f>I38*(1-0)</f>
        <v>0</v>
      </c>
      <c r="AQ38" s="38" t="s">
        <v>7</v>
      </c>
      <c r="AV38" s="37">
        <f>AW38+AX38</f>
        <v>0</v>
      </c>
      <c r="AW38" s="37">
        <f>H38*AO38</f>
        <v>0</v>
      </c>
      <c r="AX38" s="37">
        <f>H38*AP38</f>
        <v>0</v>
      </c>
      <c r="AY38" s="40" t="s">
        <v>354</v>
      </c>
      <c r="AZ38" s="40" t="s">
        <v>374</v>
      </c>
      <c r="BA38" s="35" t="s">
        <v>382</v>
      </c>
      <c r="BC38" s="37">
        <f>AW38+AX38</f>
        <v>0</v>
      </c>
      <c r="BD38" s="37">
        <f>I38/(100-BE38)*100</f>
        <v>0</v>
      </c>
      <c r="BE38" s="37">
        <v>0</v>
      </c>
      <c r="BF38" s="37">
        <f>N38</f>
        <v>46.36</v>
      </c>
      <c r="BH38" s="24">
        <f>H38*AO38</f>
        <v>0</v>
      </c>
      <c r="BI38" s="24">
        <f>H38*AP38</f>
        <v>0</v>
      </c>
      <c r="BJ38" s="24">
        <f>H38*I38</f>
        <v>0</v>
      </c>
      <c r="BK38" s="24" t="s">
        <v>387</v>
      </c>
      <c r="BL38" s="37">
        <v>17</v>
      </c>
    </row>
    <row r="39" spans="1:15" ht="12.75">
      <c r="A39" s="5"/>
      <c r="C39" s="18" t="s">
        <v>191</v>
      </c>
      <c r="F39" s="20" t="s">
        <v>303</v>
      </c>
      <c r="H39" s="25">
        <v>1.22</v>
      </c>
      <c r="N39" s="36"/>
      <c r="O39" s="5"/>
    </row>
    <row r="40" spans="1:15" ht="12.75">
      <c r="A40" s="5"/>
      <c r="C40" s="18" t="s">
        <v>192</v>
      </c>
      <c r="F40" s="20"/>
      <c r="H40" s="25">
        <v>0</v>
      </c>
      <c r="N40" s="36"/>
      <c r="O40" s="5"/>
    </row>
    <row r="41" spans="1:64" ht="12.75">
      <c r="A41" s="7" t="s">
        <v>19</v>
      </c>
      <c r="B41" s="16" t="s">
        <v>91</v>
      </c>
      <c r="C41" s="103" t="s">
        <v>193</v>
      </c>
      <c r="D41" s="104"/>
      <c r="E41" s="104"/>
      <c r="F41" s="104"/>
      <c r="G41" s="16" t="s">
        <v>322</v>
      </c>
      <c r="H41" s="26">
        <v>132.58</v>
      </c>
      <c r="I41" s="26">
        <v>0</v>
      </c>
      <c r="J41" s="26">
        <f>H41*AO41</f>
        <v>0</v>
      </c>
      <c r="K41" s="26">
        <f>H41*AP41</f>
        <v>0</v>
      </c>
      <c r="L41" s="26">
        <f>H41*I41</f>
        <v>0</v>
      </c>
      <c r="M41" s="26">
        <v>1</v>
      </c>
      <c r="N41" s="48">
        <f>H41*41</f>
        <v>5435.780000000001</v>
      </c>
      <c r="O41" s="5"/>
      <c r="Z41" s="37">
        <f>IF(AQ41="5",BJ41,0)</f>
        <v>0</v>
      </c>
      <c r="AB41" s="37">
        <f>IF(AQ41="1",BH41,0)</f>
        <v>0</v>
      </c>
      <c r="AC41" s="37">
        <f>IF(AQ41="1",BI41,0)</f>
        <v>0</v>
      </c>
      <c r="AD41" s="37">
        <f>IF(AQ41="7",BH41,0)</f>
        <v>0</v>
      </c>
      <c r="AE41" s="37">
        <f>IF(AQ41="7",BI41,0)</f>
        <v>0</v>
      </c>
      <c r="AF41" s="37">
        <f>IF(AQ41="2",BH41,0)</f>
        <v>0</v>
      </c>
      <c r="AG41" s="37">
        <f>IF(AQ41="2",BI41,0)</f>
        <v>0</v>
      </c>
      <c r="AH41" s="37">
        <f>IF(AQ41="0",BJ41,0)</f>
        <v>0</v>
      </c>
      <c r="AI41" s="35"/>
      <c r="AJ41" s="26">
        <f>IF(AN41=0,L41,0)</f>
        <v>0</v>
      </c>
      <c r="AK41" s="26">
        <f>IF(AN41=15,L41,0)</f>
        <v>0</v>
      </c>
      <c r="AL41" s="26">
        <f>IF(AN41=21,L41,0)</f>
        <v>0</v>
      </c>
      <c r="AN41" s="37">
        <v>21</v>
      </c>
      <c r="AO41" s="37">
        <f>I41*1</f>
        <v>0</v>
      </c>
      <c r="AP41" s="37">
        <f>I41*(1-1)</f>
        <v>0</v>
      </c>
      <c r="AQ41" s="39" t="s">
        <v>7</v>
      </c>
      <c r="AV41" s="37">
        <f>AW41+AX41</f>
        <v>0</v>
      </c>
      <c r="AW41" s="37">
        <f>H41*AO41</f>
        <v>0</v>
      </c>
      <c r="AX41" s="37">
        <f>H41*AP41</f>
        <v>0</v>
      </c>
      <c r="AY41" s="40" t="s">
        <v>354</v>
      </c>
      <c r="AZ41" s="40" t="s">
        <v>374</v>
      </c>
      <c r="BA41" s="35" t="s">
        <v>382</v>
      </c>
      <c r="BC41" s="37">
        <f>AW41+AX41</f>
        <v>0</v>
      </c>
      <c r="BD41" s="37">
        <f>I41/(100-BE41)*100</f>
        <v>0</v>
      </c>
      <c r="BE41" s="37">
        <v>0</v>
      </c>
      <c r="BF41" s="37">
        <f>N41</f>
        <v>5435.780000000001</v>
      </c>
      <c r="BH41" s="26">
        <f>H41*AO41</f>
        <v>0</v>
      </c>
      <c r="BI41" s="26">
        <f>H41*AP41</f>
        <v>0</v>
      </c>
      <c r="BJ41" s="26">
        <f>H41*I41</f>
        <v>0</v>
      </c>
      <c r="BK41" s="26" t="s">
        <v>388</v>
      </c>
      <c r="BL41" s="37">
        <v>17</v>
      </c>
    </row>
    <row r="42" spans="1:15" ht="12.75">
      <c r="A42" s="5"/>
      <c r="C42" s="18" t="s">
        <v>194</v>
      </c>
      <c r="F42" s="20" t="s">
        <v>304</v>
      </c>
      <c r="H42" s="25">
        <v>132.58</v>
      </c>
      <c r="N42" s="36"/>
      <c r="O42" s="5"/>
    </row>
    <row r="43" spans="1:47" ht="12.75">
      <c r="A43" s="6"/>
      <c r="B43" s="15" t="s">
        <v>24</v>
      </c>
      <c r="C43" s="111" t="s">
        <v>195</v>
      </c>
      <c r="D43" s="112"/>
      <c r="E43" s="112"/>
      <c r="F43" s="112"/>
      <c r="G43" s="22" t="s">
        <v>6</v>
      </c>
      <c r="H43" s="22" t="s">
        <v>6</v>
      </c>
      <c r="I43" s="22" t="s">
        <v>6</v>
      </c>
      <c r="J43" s="43">
        <f>SUM(J44:J48)</f>
        <v>0</v>
      </c>
      <c r="K43" s="43">
        <f>SUM(K44:K48)</f>
        <v>0</v>
      </c>
      <c r="L43" s="43">
        <f>SUM(L44:L48)</f>
        <v>0</v>
      </c>
      <c r="M43" s="35"/>
      <c r="N43" s="47">
        <f>SUM(N44:N48)</f>
        <v>1930.3400000000001</v>
      </c>
      <c r="O43" s="5"/>
      <c r="AI43" s="35"/>
      <c r="AS43" s="43">
        <f>SUM(AJ44:AJ48)</f>
        <v>0</v>
      </c>
      <c r="AT43" s="43">
        <f>SUM(AK44:AK48)</f>
        <v>0</v>
      </c>
      <c r="AU43" s="43">
        <f>SUM(AL44:AL48)</f>
        <v>0</v>
      </c>
    </row>
    <row r="44" spans="1:64" ht="12.75">
      <c r="A44" s="4" t="s">
        <v>20</v>
      </c>
      <c r="B44" s="14" t="s">
        <v>92</v>
      </c>
      <c r="C44" s="113" t="s">
        <v>196</v>
      </c>
      <c r="D44" s="114"/>
      <c r="E44" s="114"/>
      <c r="F44" s="114"/>
      <c r="G44" s="14" t="s">
        <v>319</v>
      </c>
      <c r="H44" s="24">
        <v>0.61</v>
      </c>
      <c r="I44" s="24">
        <v>0</v>
      </c>
      <c r="J44" s="24">
        <f>H44*AO44</f>
        <v>0</v>
      </c>
      <c r="K44" s="24">
        <f>H44*AP44</f>
        <v>0</v>
      </c>
      <c r="L44" s="24">
        <f>H44*I44</f>
        <v>0</v>
      </c>
      <c r="M44" s="24">
        <v>0</v>
      </c>
      <c r="N44" s="46">
        <f>H44*44</f>
        <v>26.84</v>
      </c>
      <c r="O44" s="5"/>
      <c r="Z44" s="37">
        <f>IF(AQ44="5",BJ44,0)</f>
        <v>0</v>
      </c>
      <c r="AB44" s="37">
        <f>IF(AQ44="1",BH44,0)</f>
        <v>0</v>
      </c>
      <c r="AC44" s="37">
        <f>IF(AQ44="1",BI44,0)</f>
        <v>0</v>
      </c>
      <c r="AD44" s="37">
        <f>IF(AQ44="7",BH44,0)</f>
        <v>0</v>
      </c>
      <c r="AE44" s="37">
        <f>IF(AQ44="7",BI44,0)</f>
        <v>0</v>
      </c>
      <c r="AF44" s="37">
        <f>IF(AQ44="2",BH44,0)</f>
        <v>0</v>
      </c>
      <c r="AG44" s="37">
        <f>IF(AQ44="2",BI44,0)</f>
        <v>0</v>
      </c>
      <c r="AH44" s="37">
        <f>IF(AQ44="0",BJ44,0)</f>
        <v>0</v>
      </c>
      <c r="AI44" s="35"/>
      <c r="AJ44" s="24">
        <f>IF(AN44=0,L44,0)</f>
        <v>0</v>
      </c>
      <c r="AK44" s="24">
        <f>IF(AN44=15,L44,0)</f>
        <v>0</v>
      </c>
      <c r="AL44" s="24">
        <f>IF(AN44=21,L44,0)</f>
        <v>0</v>
      </c>
      <c r="AN44" s="37">
        <v>21</v>
      </c>
      <c r="AO44" s="37">
        <f>I44*0</f>
        <v>0</v>
      </c>
      <c r="AP44" s="37">
        <f>I44*(1-0)</f>
        <v>0</v>
      </c>
      <c r="AQ44" s="38" t="s">
        <v>7</v>
      </c>
      <c r="AV44" s="37">
        <f>AW44+AX44</f>
        <v>0</v>
      </c>
      <c r="AW44" s="37">
        <f>H44*AO44</f>
        <v>0</v>
      </c>
      <c r="AX44" s="37">
        <f>H44*AP44</f>
        <v>0</v>
      </c>
      <c r="AY44" s="40" t="s">
        <v>355</v>
      </c>
      <c r="AZ44" s="40" t="s">
        <v>374</v>
      </c>
      <c r="BA44" s="35" t="s">
        <v>382</v>
      </c>
      <c r="BC44" s="37">
        <f>AW44+AX44</f>
        <v>0</v>
      </c>
      <c r="BD44" s="37">
        <f>I44/(100-BE44)*100</f>
        <v>0</v>
      </c>
      <c r="BE44" s="37">
        <v>0</v>
      </c>
      <c r="BF44" s="37">
        <f>N44</f>
        <v>26.84</v>
      </c>
      <c r="BH44" s="24">
        <f>H44*AO44</f>
        <v>0</v>
      </c>
      <c r="BI44" s="24">
        <f>H44*AP44</f>
        <v>0</v>
      </c>
      <c r="BJ44" s="24">
        <f>H44*I44</f>
        <v>0</v>
      </c>
      <c r="BK44" s="24" t="s">
        <v>387</v>
      </c>
      <c r="BL44" s="37">
        <v>18</v>
      </c>
    </row>
    <row r="45" spans="1:15" ht="12.75">
      <c r="A45" s="5"/>
      <c r="C45" s="18" t="s">
        <v>197</v>
      </c>
      <c r="F45" s="20"/>
      <c r="H45" s="25">
        <v>0.61</v>
      </c>
      <c r="N45" s="36"/>
      <c r="O45" s="5"/>
    </row>
    <row r="46" spans="1:64" ht="12.75">
      <c r="A46" s="4" t="s">
        <v>21</v>
      </c>
      <c r="B46" s="14" t="s">
        <v>93</v>
      </c>
      <c r="C46" s="113" t="s">
        <v>198</v>
      </c>
      <c r="D46" s="114"/>
      <c r="E46" s="114"/>
      <c r="F46" s="114"/>
      <c r="G46" s="14" t="s">
        <v>319</v>
      </c>
      <c r="H46" s="24">
        <v>20.25</v>
      </c>
      <c r="I46" s="24">
        <v>0</v>
      </c>
      <c r="J46" s="24">
        <f>H46*AO46</f>
        <v>0</v>
      </c>
      <c r="K46" s="24">
        <f>H46*AP46</f>
        <v>0</v>
      </c>
      <c r="L46" s="24">
        <f>H46*I46</f>
        <v>0</v>
      </c>
      <c r="M46" s="24">
        <v>0</v>
      </c>
      <c r="N46" s="46">
        <f>H46*46</f>
        <v>931.5</v>
      </c>
      <c r="O46" s="5"/>
      <c r="Z46" s="37">
        <f>IF(AQ46="5",BJ46,0)</f>
        <v>0</v>
      </c>
      <c r="AB46" s="37">
        <f>IF(AQ46="1",BH46,0)</f>
        <v>0</v>
      </c>
      <c r="AC46" s="37">
        <f>IF(AQ46="1",BI46,0)</f>
        <v>0</v>
      </c>
      <c r="AD46" s="37">
        <f>IF(AQ46="7",BH46,0)</f>
        <v>0</v>
      </c>
      <c r="AE46" s="37">
        <f>IF(AQ46="7",BI46,0)</f>
        <v>0</v>
      </c>
      <c r="AF46" s="37">
        <f>IF(AQ46="2",BH46,0)</f>
        <v>0</v>
      </c>
      <c r="AG46" s="37">
        <f>IF(AQ46="2",BI46,0)</f>
        <v>0</v>
      </c>
      <c r="AH46" s="37">
        <f>IF(AQ46="0",BJ46,0)</f>
        <v>0</v>
      </c>
      <c r="AI46" s="35"/>
      <c r="AJ46" s="24">
        <f>IF(AN46=0,L46,0)</f>
        <v>0</v>
      </c>
      <c r="AK46" s="24">
        <f>IF(AN46=15,L46,0)</f>
        <v>0</v>
      </c>
      <c r="AL46" s="24">
        <f>IF(AN46=21,L46,0)</f>
        <v>0</v>
      </c>
      <c r="AN46" s="37">
        <v>21</v>
      </c>
      <c r="AO46" s="37">
        <f>I46*0.054</f>
        <v>0</v>
      </c>
      <c r="AP46" s="37">
        <f>I46*(1-0.054)</f>
        <v>0</v>
      </c>
      <c r="AQ46" s="38" t="s">
        <v>7</v>
      </c>
      <c r="AV46" s="37">
        <f>AW46+AX46</f>
        <v>0</v>
      </c>
      <c r="AW46" s="37">
        <f>H46*AO46</f>
        <v>0</v>
      </c>
      <c r="AX46" s="37">
        <f>H46*AP46</f>
        <v>0</v>
      </c>
      <c r="AY46" s="40" t="s">
        <v>355</v>
      </c>
      <c r="AZ46" s="40" t="s">
        <v>374</v>
      </c>
      <c r="BA46" s="35" t="s">
        <v>382</v>
      </c>
      <c r="BC46" s="37">
        <f>AW46+AX46</f>
        <v>0</v>
      </c>
      <c r="BD46" s="37">
        <f>I46/(100-BE46)*100</f>
        <v>0</v>
      </c>
      <c r="BE46" s="37">
        <v>0</v>
      </c>
      <c r="BF46" s="37">
        <f>N46</f>
        <v>931.5</v>
      </c>
      <c r="BH46" s="24">
        <f>H46*AO46</f>
        <v>0</v>
      </c>
      <c r="BI46" s="24">
        <f>H46*AP46</f>
        <v>0</v>
      </c>
      <c r="BJ46" s="24">
        <f>H46*I46</f>
        <v>0</v>
      </c>
      <c r="BK46" s="24" t="s">
        <v>387</v>
      </c>
      <c r="BL46" s="37">
        <v>18</v>
      </c>
    </row>
    <row r="47" spans="1:15" ht="12.75">
      <c r="A47" s="5"/>
      <c r="C47" s="18" t="s">
        <v>199</v>
      </c>
      <c r="F47" s="20" t="s">
        <v>305</v>
      </c>
      <c r="H47" s="25">
        <v>20.25</v>
      </c>
      <c r="N47" s="36"/>
      <c r="O47" s="5"/>
    </row>
    <row r="48" spans="1:64" ht="12.75">
      <c r="A48" s="4" t="s">
        <v>22</v>
      </c>
      <c r="B48" s="14" t="s">
        <v>94</v>
      </c>
      <c r="C48" s="113" t="s">
        <v>200</v>
      </c>
      <c r="D48" s="114"/>
      <c r="E48" s="114"/>
      <c r="F48" s="114"/>
      <c r="G48" s="14" t="s">
        <v>319</v>
      </c>
      <c r="H48" s="24">
        <v>20.25</v>
      </c>
      <c r="I48" s="24">
        <v>0</v>
      </c>
      <c r="J48" s="24">
        <f>H48*AO48</f>
        <v>0</v>
      </c>
      <c r="K48" s="24">
        <f>H48*AP48</f>
        <v>0</v>
      </c>
      <c r="L48" s="24">
        <f>H48*I48</f>
        <v>0</v>
      </c>
      <c r="M48" s="24">
        <v>0</v>
      </c>
      <c r="N48" s="46">
        <f>H48*48</f>
        <v>972</v>
      </c>
      <c r="O48" s="5"/>
      <c r="Z48" s="37">
        <f>IF(AQ48="5",BJ48,0)</f>
        <v>0</v>
      </c>
      <c r="AB48" s="37">
        <f>IF(AQ48="1",BH48,0)</f>
        <v>0</v>
      </c>
      <c r="AC48" s="37">
        <f>IF(AQ48="1",BI48,0)</f>
        <v>0</v>
      </c>
      <c r="AD48" s="37">
        <f>IF(AQ48="7",BH48,0)</f>
        <v>0</v>
      </c>
      <c r="AE48" s="37">
        <f>IF(AQ48="7",BI48,0)</f>
        <v>0</v>
      </c>
      <c r="AF48" s="37">
        <f>IF(AQ48="2",BH48,0)</f>
        <v>0</v>
      </c>
      <c r="AG48" s="37">
        <f>IF(AQ48="2",BI48,0)</f>
        <v>0</v>
      </c>
      <c r="AH48" s="37">
        <f>IF(AQ48="0",BJ48,0)</f>
        <v>0</v>
      </c>
      <c r="AI48" s="35"/>
      <c r="AJ48" s="24">
        <f>IF(AN48=0,L48,0)</f>
        <v>0</v>
      </c>
      <c r="AK48" s="24">
        <f>IF(AN48=15,L48,0)</f>
        <v>0</v>
      </c>
      <c r="AL48" s="24">
        <f>IF(AN48=21,L48,0)</f>
        <v>0</v>
      </c>
      <c r="AN48" s="37">
        <v>21</v>
      </c>
      <c r="AO48" s="37">
        <f>I48*0</f>
        <v>0</v>
      </c>
      <c r="AP48" s="37">
        <f>I48*(1-0)</f>
        <v>0</v>
      </c>
      <c r="AQ48" s="38" t="s">
        <v>7</v>
      </c>
      <c r="AV48" s="37">
        <f>AW48+AX48</f>
        <v>0</v>
      </c>
      <c r="AW48" s="37">
        <f>H48*AO48</f>
        <v>0</v>
      </c>
      <c r="AX48" s="37">
        <f>H48*AP48</f>
        <v>0</v>
      </c>
      <c r="AY48" s="40" t="s">
        <v>355</v>
      </c>
      <c r="AZ48" s="40" t="s">
        <v>374</v>
      </c>
      <c r="BA48" s="35" t="s">
        <v>382</v>
      </c>
      <c r="BC48" s="37">
        <f>AW48+AX48</f>
        <v>0</v>
      </c>
      <c r="BD48" s="37">
        <f>I48/(100-BE48)*100</f>
        <v>0</v>
      </c>
      <c r="BE48" s="37">
        <v>0</v>
      </c>
      <c r="BF48" s="37">
        <f>N48</f>
        <v>972</v>
      </c>
      <c r="BH48" s="24">
        <f>H48*AO48</f>
        <v>0</v>
      </c>
      <c r="BI48" s="24">
        <f>H48*AP48</f>
        <v>0</v>
      </c>
      <c r="BJ48" s="24">
        <f>H48*I48</f>
        <v>0</v>
      </c>
      <c r="BK48" s="24" t="s">
        <v>387</v>
      </c>
      <c r="BL48" s="37">
        <v>18</v>
      </c>
    </row>
    <row r="49" spans="1:47" ht="12.75">
      <c r="A49" s="6"/>
      <c r="B49" s="15" t="s">
        <v>39</v>
      </c>
      <c r="C49" s="111" t="s">
        <v>201</v>
      </c>
      <c r="D49" s="112"/>
      <c r="E49" s="112"/>
      <c r="F49" s="112"/>
      <c r="G49" s="22" t="s">
        <v>6</v>
      </c>
      <c r="H49" s="22" t="s">
        <v>6</v>
      </c>
      <c r="I49" s="22" t="s">
        <v>6</v>
      </c>
      <c r="J49" s="43">
        <f>SUM(J50:J59)</f>
        <v>0</v>
      </c>
      <c r="K49" s="43">
        <f>SUM(K50:K59)</f>
        <v>0</v>
      </c>
      <c r="L49" s="43">
        <f>SUM(L50:L59)</f>
        <v>0</v>
      </c>
      <c r="M49" s="35"/>
      <c r="N49" s="47">
        <f>SUM(N50:N59)</f>
        <v>2016.1999999999998</v>
      </c>
      <c r="O49" s="5"/>
      <c r="AI49" s="35"/>
      <c r="AS49" s="43">
        <f>SUM(AJ50:AJ59)</f>
        <v>0</v>
      </c>
      <c r="AT49" s="43">
        <f>SUM(AK50:AK59)</f>
        <v>0</v>
      </c>
      <c r="AU49" s="43">
        <f>SUM(AL50:AL59)</f>
        <v>0</v>
      </c>
    </row>
    <row r="50" spans="1:64" ht="12.75">
      <c r="A50" s="4" t="s">
        <v>23</v>
      </c>
      <c r="B50" s="14" t="s">
        <v>95</v>
      </c>
      <c r="C50" s="113" t="s">
        <v>202</v>
      </c>
      <c r="D50" s="114"/>
      <c r="E50" s="114"/>
      <c r="F50" s="114"/>
      <c r="G50" s="14" t="s">
        <v>321</v>
      </c>
      <c r="H50" s="24">
        <v>36</v>
      </c>
      <c r="I50" s="24">
        <v>0</v>
      </c>
      <c r="J50" s="24">
        <f>H50*AO50</f>
        <v>0</v>
      </c>
      <c r="K50" s="24">
        <f>H50*AP50</f>
        <v>0</v>
      </c>
      <c r="L50" s="24">
        <f>H50*I50</f>
        <v>0</v>
      </c>
      <c r="M50" s="24">
        <v>0</v>
      </c>
      <c r="N50" s="46">
        <f>H50*50</f>
        <v>1800</v>
      </c>
      <c r="O50" s="5"/>
      <c r="Z50" s="37">
        <f>IF(AQ50="5",BJ50,0)</f>
        <v>0</v>
      </c>
      <c r="AB50" s="37">
        <f>IF(AQ50="1",BH50,0)</f>
        <v>0</v>
      </c>
      <c r="AC50" s="37">
        <f>IF(AQ50="1",BI50,0)</f>
        <v>0</v>
      </c>
      <c r="AD50" s="37">
        <f>IF(AQ50="7",BH50,0)</f>
        <v>0</v>
      </c>
      <c r="AE50" s="37">
        <f>IF(AQ50="7",BI50,0)</f>
        <v>0</v>
      </c>
      <c r="AF50" s="37">
        <f>IF(AQ50="2",BH50,0)</f>
        <v>0</v>
      </c>
      <c r="AG50" s="37">
        <f>IF(AQ50="2",BI50,0)</f>
        <v>0</v>
      </c>
      <c r="AH50" s="37">
        <f>IF(AQ50="0",BJ50,0)</f>
        <v>0</v>
      </c>
      <c r="AI50" s="35"/>
      <c r="AJ50" s="24">
        <f>IF(AN50=0,L50,0)</f>
        <v>0</v>
      </c>
      <c r="AK50" s="24">
        <f>IF(AN50=15,L50,0)</f>
        <v>0</v>
      </c>
      <c r="AL50" s="24">
        <f>IF(AN50=21,L50,0)</f>
        <v>0</v>
      </c>
      <c r="AN50" s="37">
        <v>21</v>
      </c>
      <c r="AO50" s="37">
        <f>I50*0.151253442883152</f>
        <v>0</v>
      </c>
      <c r="AP50" s="37">
        <f>I50*(1-0.151253442883152)</f>
        <v>0</v>
      </c>
      <c r="AQ50" s="38" t="s">
        <v>7</v>
      </c>
      <c r="AV50" s="37">
        <f>AW50+AX50</f>
        <v>0</v>
      </c>
      <c r="AW50" s="37">
        <f>H50*AO50</f>
        <v>0</v>
      </c>
      <c r="AX50" s="37">
        <f>H50*AP50</f>
        <v>0</v>
      </c>
      <c r="AY50" s="40" t="s">
        <v>356</v>
      </c>
      <c r="AZ50" s="40" t="s">
        <v>375</v>
      </c>
      <c r="BA50" s="35" t="s">
        <v>382</v>
      </c>
      <c r="BC50" s="37">
        <f>AW50+AX50</f>
        <v>0</v>
      </c>
      <c r="BD50" s="37">
        <f>I50/(100-BE50)*100</f>
        <v>0</v>
      </c>
      <c r="BE50" s="37">
        <v>0</v>
      </c>
      <c r="BF50" s="37">
        <f>N50</f>
        <v>1800</v>
      </c>
      <c r="BH50" s="24">
        <f>H50*AO50</f>
        <v>0</v>
      </c>
      <c r="BI50" s="24">
        <f>H50*AP50</f>
        <v>0</v>
      </c>
      <c r="BJ50" s="24">
        <f>H50*I50</f>
        <v>0</v>
      </c>
      <c r="BK50" s="24" t="s">
        <v>387</v>
      </c>
      <c r="BL50" s="37">
        <v>33</v>
      </c>
    </row>
    <row r="51" spans="1:15" ht="12.75">
      <c r="A51" s="5"/>
      <c r="C51" s="18" t="s">
        <v>175</v>
      </c>
      <c r="F51" s="20" t="s">
        <v>306</v>
      </c>
      <c r="H51" s="25">
        <v>36</v>
      </c>
      <c r="N51" s="36"/>
      <c r="O51" s="5"/>
    </row>
    <row r="52" spans="1:64" ht="12.75">
      <c r="A52" s="7" t="s">
        <v>24</v>
      </c>
      <c r="B52" s="16" t="s">
        <v>96</v>
      </c>
      <c r="C52" s="103" t="s">
        <v>203</v>
      </c>
      <c r="D52" s="104"/>
      <c r="E52" s="104"/>
      <c r="F52" s="104"/>
      <c r="G52" s="16" t="s">
        <v>322</v>
      </c>
      <c r="H52" s="26">
        <v>0.3</v>
      </c>
      <c r="I52" s="26">
        <v>0</v>
      </c>
      <c r="J52" s="26">
        <f>H52*AO52</f>
        <v>0</v>
      </c>
      <c r="K52" s="26">
        <f>H52*AP52</f>
        <v>0</v>
      </c>
      <c r="L52" s="26">
        <f>H52*I52</f>
        <v>0</v>
      </c>
      <c r="M52" s="26">
        <v>1</v>
      </c>
      <c r="N52" s="48">
        <f>H52*52</f>
        <v>15.6</v>
      </c>
      <c r="O52" s="5"/>
      <c r="Z52" s="37">
        <f>IF(AQ52="5",BJ52,0)</f>
        <v>0</v>
      </c>
      <c r="AB52" s="37">
        <f>IF(AQ52="1",BH52,0)</f>
        <v>0</v>
      </c>
      <c r="AC52" s="37">
        <f>IF(AQ52="1",BI52,0)</f>
        <v>0</v>
      </c>
      <c r="AD52" s="37">
        <f>IF(AQ52="7",BH52,0)</f>
        <v>0</v>
      </c>
      <c r="AE52" s="37">
        <f>IF(AQ52="7",BI52,0)</f>
        <v>0</v>
      </c>
      <c r="AF52" s="37">
        <f>IF(AQ52="2",BH52,0)</f>
        <v>0</v>
      </c>
      <c r="AG52" s="37">
        <f>IF(AQ52="2",BI52,0)</f>
        <v>0</v>
      </c>
      <c r="AH52" s="37">
        <f>IF(AQ52="0",BJ52,0)</f>
        <v>0</v>
      </c>
      <c r="AI52" s="35"/>
      <c r="AJ52" s="26">
        <f>IF(AN52=0,L52,0)</f>
        <v>0</v>
      </c>
      <c r="AK52" s="26">
        <f>IF(AN52=15,L52,0)</f>
        <v>0</v>
      </c>
      <c r="AL52" s="26">
        <f>IF(AN52=21,L52,0)</f>
        <v>0</v>
      </c>
      <c r="AN52" s="37">
        <v>21</v>
      </c>
      <c r="AO52" s="37">
        <f>I52*1</f>
        <v>0</v>
      </c>
      <c r="AP52" s="37">
        <f>I52*(1-1)</f>
        <v>0</v>
      </c>
      <c r="AQ52" s="39" t="s">
        <v>7</v>
      </c>
      <c r="AV52" s="37">
        <f>AW52+AX52</f>
        <v>0</v>
      </c>
      <c r="AW52" s="37">
        <f>H52*AO52</f>
        <v>0</v>
      </c>
      <c r="AX52" s="37">
        <f>H52*AP52</f>
        <v>0</v>
      </c>
      <c r="AY52" s="40" t="s">
        <v>356</v>
      </c>
      <c r="AZ52" s="40" t="s">
        <v>375</v>
      </c>
      <c r="BA52" s="35" t="s">
        <v>382</v>
      </c>
      <c r="BC52" s="37">
        <f>AW52+AX52</f>
        <v>0</v>
      </c>
      <c r="BD52" s="37">
        <f>I52/(100-BE52)*100</f>
        <v>0</v>
      </c>
      <c r="BE52" s="37">
        <v>0</v>
      </c>
      <c r="BF52" s="37">
        <f>N52</f>
        <v>15.6</v>
      </c>
      <c r="BH52" s="26">
        <f>H52*AO52</f>
        <v>0</v>
      </c>
      <c r="BI52" s="26">
        <f>H52*AP52</f>
        <v>0</v>
      </c>
      <c r="BJ52" s="26">
        <f>H52*I52</f>
        <v>0</v>
      </c>
      <c r="BK52" s="26" t="s">
        <v>388</v>
      </c>
      <c r="BL52" s="37">
        <v>33</v>
      </c>
    </row>
    <row r="53" spans="1:15" ht="12.75">
      <c r="A53" s="5"/>
      <c r="C53" s="18" t="s">
        <v>204</v>
      </c>
      <c r="F53" s="20"/>
      <c r="H53" s="25">
        <v>0.3</v>
      </c>
      <c r="N53" s="36"/>
      <c r="O53" s="5"/>
    </row>
    <row r="54" spans="1:64" ht="12.75">
      <c r="A54" s="7" t="s">
        <v>25</v>
      </c>
      <c r="B54" s="16" t="s">
        <v>97</v>
      </c>
      <c r="C54" s="103" t="s">
        <v>205</v>
      </c>
      <c r="D54" s="104"/>
      <c r="E54" s="104"/>
      <c r="F54" s="104"/>
      <c r="G54" s="16" t="s">
        <v>322</v>
      </c>
      <c r="H54" s="26">
        <v>0.05</v>
      </c>
      <c r="I54" s="26">
        <v>0</v>
      </c>
      <c r="J54" s="26">
        <f>H54*AO54</f>
        <v>0</v>
      </c>
      <c r="K54" s="26">
        <f>H54*AP54</f>
        <v>0</v>
      </c>
      <c r="L54" s="26">
        <f>H54*I54</f>
        <v>0</v>
      </c>
      <c r="M54" s="26">
        <v>1</v>
      </c>
      <c r="N54" s="48">
        <f>H54*54</f>
        <v>2.7</v>
      </c>
      <c r="O54" s="5"/>
      <c r="Z54" s="37">
        <f>IF(AQ54="5",BJ54,0)</f>
        <v>0</v>
      </c>
      <c r="AB54" s="37">
        <f>IF(AQ54="1",BH54,0)</f>
        <v>0</v>
      </c>
      <c r="AC54" s="37">
        <f>IF(AQ54="1",BI54,0)</f>
        <v>0</v>
      </c>
      <c r="AD54" s="37">
        <f>IF(AQ54="7",BH54,0)</f>
        <v>0</v>
      </c>
      <c r="AE54" s="37">
        <f>IF(AQ54="7",BI54,0)</f>
        <v>0</v>
      </c>
      <c r="AF54" s="37">
        <f>IF(AQ54="2",BH54,0)</f>
        <v>0</v>
      </c>
      <c r="AG54" s="37">
        <f>IF(AQ54="2",BI54,0)</f>
        <v>0</v>
      </c>
      <c r="AH54" s="37">
        <f>IF(AQ54="0",BJ54,0)</f>
        <v>0</v>
      </c>
      <c r="AI54" s="35"/>
      <c r="AJ54" s="26">
        <f>IF(AN54=0,L54,0)</f>
        <v>0</v>
      </c>
      <c r="AK54" s="26">
        <f>IF(AN54=15,L54,0)</f>
        <v>0</v>
      </c>
      <c r="AL54" s="26">
        <f>IF(AN54=21,L54,0)</f>
        <v>0</v>
      </c>
      <c r="AN54" s="37">
        <v>21</v>
      </c>
      <c r="AO54" s="37">
        <f>I54*1</f>
        <v>0</v>
      </c>
      <c r="AP54" s="37">
        <f>I54*(1-1)</f>
        <v>0</v>
      </c>
      <c r="AQ54" s="39" t="s">
        <v>7</v>
      </c>
      <c r="AV54" s="37">
        <f>AW54+AX54</f>
        <v>0</v>
      </c>
      <c r="AW54" s="37">
        <f>H54*AO54</f>
        <v>0</v>
      </c>
      <c r="AX54" s="37">
        <f>H54*AP54</f>
        <v>0</v>
      </c>
      <c r="AY54" s="40" t="s">
        <v>356</v>
      </c>
      <c r="AZ54" s="40" t="s">
        <v>375</v>
      </c>
      <c r="BA54" s="35" t="s">
        <v>382</v>
      </c>
      <c r="BC54" s="37">
        <f>AW54+AX54</f>
        <v>0</v>
      </c>
      <c r="BD54" s="37">
        <f>I54/(100-BE54)*100</f>
        <v>0</v>
      </c>
      <c r="BE54" s="37">
        <v>0</v>
      </c>
      <c r="BF54" s="37">
        <f>N54</f>
        <v>2.7</v>
      </c>
      <c r="BH54" s="26">
        <f>H54*AO54</f>
        <v>0</v>
      </c>
      <c r="BI54" s="26">
        <f>H54*AP54</f>
        <v>0</v>
      </c>
      <c r="BJ54" s="26">
        <f>H54*I54</f>
        <v>0</v>
      </c>
      <c r="BK54" s="26" t="s">
        <v>388</v>
      </c>
      <c r="BL54" s="37">
        <v>33</v>
      </c>
    </row>
    <row r="55" spans="1:15" ht="12.75">
      <c r="A55" s="5"/>
      <c r="C55" s="18" t="s">
        <v>206</v>
      </c>
      <c r="F55" s="20"/>
      <c r="H55" s="25">
        <v>0.05</v>
      </c>
      <c r="N55" s="36"/>
      <c r="O55" s="5"/>
    </row>
    <row r="56" spans="1:64" ht="12.75">
      <c r="A56" s="4" t="s">
        <v>26</v>
      </c>
      <c r="B56" s="14" t="s">
        <v>98</v>
      </c>
      <c r="C56" s="113" t="s">
        <v>207</v>
      </c>
      <c r="D56" s="114"/>
      <c r="E56" s="114"/>
      <c r="F56" s="114"/>
      <c r="G56" s="14" t="s">
        <v>319</v>
      </c>
      <c r="H56" s="24">
        <v>0.38</v>
      </c>
      <c r="I56" s="24">
        <v>0</v>
      </c>
      <c r="J56" s="24">
        <f>H56*AO56</f>
        <v>0</v>
      </c>
      <c r="K56" s="24">
        <f>H56*AP56</f>
        <v>0</v>
      </c>
      <c r="L56" s="24">
        <f>H56*I56</f>
        <v>0</v>
      </c>
      <c r="M56" s="24">
        <v>0.03498</v>
      </c>
      <c r="N56" s="46">
        <f>H56*56</f>
        <v>21.28</v>
      </c>
      <c r="O56" s="5"/>
      <c r="Z56" s="37">
        <f>IF(AQ56="5",BJ56,0)</f>
        <v>0</v>
      </c>
      <c r="AB56" s="37">
        <f>IF(AQ56="1",BH56,0)</f>
        <v>0</v>
      </c>
      <c r="AC56" s="37">
        <f>IF(AQ56="1",BI56,0)</f>
        <v>0</v>
      </c>
      <c r="AD56" s="37">
        <f>IF(AQ56="7",BH56,0)</f>
        <v>0</v>
      </c>
      <c r="AE56" s="37">
        <f>IF(AQ56="7",BI56,0)</f>
        <v>0</v>
      </c>
      <c r="AF56" s="37">
        <f>IF(AQ56="2",BH56,0)</f>
        <v>0</v>
      </c>
      <c r="AG56" s="37">
        <f>IF(AQ56="2",BI56,0)</f>
        <v>0</v>
      </c>
      <c r="AH56" s="37">
        <f>IF(AQ56="0",BJ56,0)</f>
        <v>0</v>
      </c>
      <c r="AI56" s="35"/>
      <c r="AJ56" s="24">
        <f>IF(AN56=0,L56,0)</f>
        <v>0</v>
      </c>
      <c r="AK56" s="24">
        <f>IF(AN56=15,L56,0)</f>
        <v>0</v>
      </c>
      <c r="AL56" s="24">
        <f>IF(AN56=21,L56,0)</f>
        <v>0</v>
      </c>
      <c r="AN56" s="37">
        <v>21</v>
      </c>
      <c r="AO56" s="37">
        <f>I56*0.553667057673509</f>
        <v>0</v>
      </c>
      <c r="AP56" s="37">
        <f>I56*(1-0.553667057673509)</f>
        <v>0</v>
      </c>
      <c r="AQ56" s="38" t="s">
        <v>7</v>
      </c>
      <c r="AV56" s="37">
        <f>AW56+AX56</f>
        <v>0</v>
      </c>
      <c r="AW56" s="37">
        <f>H56*AO56</f>
        <v>0</v>
      </c>
      <c r="AX56" s="37">
        <f>H56*AP56</f>
        <v>0</v>
      </c>
      <c r="AY56" s="40" t="s">
        <v>356</v>
      </c>
      <c r="AZ56" s="40" t="s">
        <v>375</v>
      </c>
      <c r="BA56" s="35" t="s">
        <v>382</v>
      </c>
      <c r="BC56" s="37">
        <f>AW56+AX56</f>
        <v>0</v>
      </c>
      <c r="BD56" s="37">
        <f>I56/(100-BE56)*100</f>
        <v>0</v>
      </c>
      <c r="BE56" s="37">
        <v>0</v>
      </c>
      <c r="BF56" s="37">
        <f>N56</f>
        <v>21.28</v>
      </c>
      <c r="BH56" s="24">
        <f>H56*AO56</f>
        <v>0</v>
      </c>
      <c r="BI56" s="24">
        <f>H56*AP56</f>
        <v>0</v>
      </c>
      <c r="BJ56" s="24">
        <f>H56*I56</f>
        <v>0</v>
      </c>
      <c r="BK56" s="24" t="s">
        <v>387</v>
      </c>
      <c r="BL56" s="37">
        <v>33</v>
      </c>
    </row>
    <row r="57" spans="1:15" ht="12.75">
      <c r="A57" s="5"/>
      <c r="C57" s="18" t="s">
        <v>208</v>
      </c>
      <c r="F57" s="20"/>
      <c r="H57" s="25">
        <v>0.38</v>
      </c>
      <c r="N57" s="36"/>
      <c r="O57" s="5"/>
    </row>
    <row r="58" spans="1:64" ht="12.75">
      <c r="A58" s="4" t="s">
        <v>27</v>
      </c>
      <c r="B58" s="14" t="s">
        <v>99</v>
      </c>
      <c r="C58" s="113" t="s">
        <v>209</v>
      </c>
      <c r="D58" s="114"/>
      <c r="E58" s="114"/>
      <c r="F58" s="114"/>
      <c r="G58" s="14" t="s">
        <v>319</v>
      </c>
      <c r="H58" s="24">
        <v>0.38</v>
      </c>
      <c r="I58" s="24">
        <v>0</v>
      </c>
      <c r="J58" s="24">
        <f>H58*AO58</f>
        <v>0</v>
      </c>
      <c r="K58" s="24">
        <f>H58*AP58</f>
        <v>0</v>
      </c>
      <c r="L58" s="24">
        <f>H58*I58</f>
        <v>0</v>
      </c>
      <c r="M58" s="24">
        <v>5E-05</v>
      </c>
      <c r="N58" s="46">
        <f>H58*58</f>
        <v>22.04</v>
      </c>
      <c r="O58" s="5"/>
      <c r="Z58" s="37">
        <f>IF(AQ58="5",BJ58,0)</f>
        <v>0</v>
      </c>
      <c r="AB58" s="37">
        <f>IF(AQ58="1",BH58,0)</f>
        <v>0</v>
      </c>
      <c r="AC58" s="37">
        <f>IF(AQ58="1",BI58,0)</f>
        <v>0</v>
      </c>
      <c r="AD58" s="37">
        <f>IF(AQ58="7",BH58,0)</f>
        <v>0</v>
      </c>
      <c r="AE58" s="37">
        <f>IF(AQ58="7",BI58,0)</f>
        <v>0</v>
      </c>
      <c r="AF58" s="37">
        <f>IF(AQ58="2",BH58,0)</f>
        <v>0</v>
      </c>
      <c r="AG58" s="37">
        <f>IF(AQ58="2",BI58,0)</f>
        <v>0</v>
      </c>
      <c r="AH58" s="37">
        <f>IF(AQ58="0",BJ58,0)</f>
        <v>0</v>
      </c>
      <c r="AI58" s="35"/>
      <c r="AJ58" s="24">
        <f>IF(AN58=0,L58,0)</f>
        <v>0</v>
      </c>
      <c r="AK58" s="24">
        <f>IF(AN58=15,L58,0)</f>
        <v>0</v>
      </c>
      <c r="AL58" s="24">
        <f>IF(AN58=21,L58,0)</f>
        <v>0</v>
      </c>
      <c r="AN58" s="37">
        <v>21</v>
      </c>
      <c r="AO58" s="37">
        <f>I58*0.0106611111111111</f>
        <v>0</v>
      </c>
      <c r="AP58" s="37">
        <f>I58*(1-0.0106611111111111)</f>
        <v>0</v>
      </c>
      <c r="AQ58" s="38" t="s">
        <v>7</v>
      </c>
      <c r="AV58" s="37">
        <f>AW58+AX58</f>
        <v>0</v>
      </c>
      <c r="AW58" s="37">
        <f>H58*AO58</f>
        <v>0</v>
      </c>
      <c r="AX58" s="37">
        <f>H58*AP58</f>
        <v>0</v>
      </c>
      <c r="AY58" s="40" t="s">
        <v>356</v>
      </c>
      <c r="AZ58" s="40" t="s">
        <v>375</v>
      </c>
      <c r="BA58" s="35" t="s">
        <v>382</v>
      </c>
      <c r="BC58" s="37">
        <f>AW58+AX58</f>
        <v>0</v>
      </c>
      <c r="BD58" s="37">
        <f>I58/(100-BE58)*100</f>
        <v>0</v>
      </c>
      <c r="BE58" s="37">
        <v>0</v>
      </c>
      <c r="BF58" s="37">
        <f>N58</f>
        <v>22.04</v>
      </c>
      <c r="BH58" s="24">
        <f>H58*AO58</f>
        <v>0</v>
      </c>
      <c r="BI58" s="24">
        <f>H58*AP58</f>
        <v>0</v>
      </c>
      <c r="BJ58" s="24">
        <f>H58*I58</f>
        <v>0</v>
      </c>
      <c r="BK58" s="24" t="s">
        <v>387</v>
      </c>
      <c r="BL58" s="37">
        <v>33</v>
      </c>
    </row>
    <row r="59" spans="1:64" ht="12.75">
      <c r="A59" s="4" t="s">
        <v>28</v>
      </c>
      <c r="B59" s="14" t="s">
        <v>100</v>
      </c>
      <c r="C59" s="113" t="s">
        <v>210</v>
      </c>
      <c r="D59" s="114"/>
      <c r="E59" s="114"/>
      <c r="F59" s="114"/>
      <c r="G59" s="14" t="s">
        <v>320</v>
      </c>
      <c r="H59" s="24">
        <v>2.62</v>
      </c>
      <c r="I59" s="24">
        <v>0</v>
      </c>
      <c r="J59" s="24">
        <f>H59*AO59</f>
        <v>0</v>
      </c>
      <c r="K59" s="24">
        <f>H59*AP59</f>
        <v>0</v>
      </c>
      <c r="L59" s="24">
        <f>H59*I59</f>
        <v>0</v>
      </c>
      <c r="M59" s="24">
        <v>2.55195</v>
      </c>
      <c r="N59" s="46">
        <f>H59*59</f>
        <v>154.58</v>
      </c>
      <c r="O59" s="5"/>
      <c r="Z59" s="37">
        <f>IF(AQ59="5",BJ59,0)</f>
        <v>0</v>
      </c>
      <c r="AB59" s="37">
        <f>IF(AQ59="1",BH59,0)</f>
        <v>0</v>
      </c>
      <c r="AC59" s="37">
        <f>IF(AQ59="1",BI59,0)</f>
        <v>0</v>
      </c>
      <c r="AD59" s="37">
        <f>IF(AQ59="7",BH59,0)</f>
        <v>0</v>
      </c>
      <c r="AE59" s="37">
        <f>IF(AQ59="7",BI59,0)</f>
        <v>0</v>
      </c>
      <c r="AF59" s="37">
        <f>IF(AQ59="2",BH59,0)</f>
        <v>0</v>
      </c>
      <c r="AG59" s="37">
        <f>IF(AQ59="2",BI59,0)</f>
        <v>0</v>
      </c>
      <c r="AH59" s="37">
        <f>IF(AQ59="0",BJ59,0)</f>
        <v>0</v>
      </c>
      <c r="AI59" s="35"/>
      <c r="AJ59" s="24">
        <f>IF(AN59=0,L59,0)</f>
        <v>0</v>
      </c>
      <c r="AK59" s="24">
        <f>IF(AN59=15,L59,0)</f>
        <v>0</v>
      </c>
      <c r="AL59" s="24">
        <f>IF(AN59=21,L59,0)</f>
        <v>0</v>
      </c>
      <c r="AN59" s="37">
        <v>21</v>
      </c>
      <c r="AO59" s="37">
        <f>I59*0.281548103384917</f>
        <v>0</v>
      </c>
      <c r="AP59" s="37">
        <f>I59*(1-0.281548103384917)</f>
        <v>0</v>
      </c>
      <c r="AQ59" s="38" t="s">
        <v>7</v>
      </c>
      <c r="AV59" s="37">
        <f>AW59+AX59</f>
        <v>0</v>
      </c>
      <c r="AW59" s="37">
        <f>H59*AO59</f>
        <v>0</v>
      </c>
      <c r="AX59" s="37">
        <f>H59*AP59</f>
        <v>0</v>
      </c>
      <c r="AY59" s="40" t="s">
        <v>356</v>
      </c>
      <c r="AZ59" s="40" t="s">
        <v>375</v>
      </c>
      <c r="BA59" s="35" t="s">
        <v>382</v>
      </c>
      <c r="BC59" s="37">
        <f>AW59+AX59</f>
        <v>0</v>
      </c>
      <c r="BD59" s="37">
        <f>I59/(100-BE59)*100</f>
        <v>0</v>
      </c>
      <c r="BE59" s="37">
        <v>0</v>
      </c>
      <c r="BF59" s="37">
        <f>N59</f>
        <v>154.58</v>
      </c>
      <c r="BH59" s="24">
        <f>H59*AO59</f>
        <v>0</v>
      </c>
      <c r="BI59" s="24">
        <f>H59*AP59</f>
        <v>0</v>
      </c>
      <c r="BJ59" s="24">
        <f>H59*I59</f>
        <v>0</v>
      </c>
      <c r="BK59" s="24" t="s">
        <v>387</v>
      </c>
      <c r="BL59" s="37">
        <v>33</v>
      </c>
    </row>
    <row r="60" spans="1:15" ht="12.75">
      <c r="A60" s="5"/>
      <c r="C60" s="18" t="s">
        <v>211</v>
      </c>
      <c r="F60" s="20" t="s">
        <v>307</v>
      </c>
      <c r="H60" s="25">
        <v>2.62</v>
      </c>
      <c r="N60" s="36"/>
      <c r="O60" s="5"/>
    </row>
    <row r="61" spans="1:47" ht="12.75">
      <c r="A61" s="6"/>
      <c r="B61" s="15" t="s">
        <v>40</v>
      </c>
      <c r="C61" s="111" t="s">
        <v>212</v>
      </c>
      <c r="D61" s="112"/>
      <c r="E61" s="112"/>
      <c r="F61" s="112"/>
      <c r="G61" s="22" t="s">
        <v>6</v>
      </c>
      <c r="H61" s="22" t="s">
        <v>6</v>
      </c>
      <c r="I61" s="22" t="s">
        <v>6</v>
      </c>
      <c r="J61" s="43">
        <f>SUM(J62:J62)</f>
        <v>0</v>
      </c>
      <c r="K61" s="43">
        <f>SUM(K62:K62)</f>
        <v>0</v>
      </c>
      <c r="L61" s="43">
        <f>SUM(L62:L62)</f>
        <v>0</v>
      </c>
      <c r="M61" s="35"/>
      <c r="N61" s="47">
        <f>SUM(N62:N62)</f>
        <v>124</v>
      </c>
      <c r="O61" s="5"/>
      <c r="AI61" s="35"/>
      <c r="AS61" s="43">
        <f>SUM(AJ62:AJ62)</f>
        <v>0</v>
      </c>
      <c r="AT61" s="43">
        <f>SUM(AK62:AK62)</f>
        <v>0</v>
      </c>
      <c r="AU61" s="43">
        <f>SUM(AL62:AL62)</f>
        <v>0</v>
      </c>
    </row>
    <row r="62" spans="1:64" ht="12.75">
      <c r="A62" s="4" t="s">
        <v>29</v>
      </c>
      <c r="B62" s="14" t="s">
        <v>101</v>
      </c>
      <c r="C62" s="113" t="s">
        <v>213</v>
      </c>
      <c r="D62" s="114"/>
      <c r="E62" s="114"/>
      <c r="F62" s="114"/>
      <c r="G62" s="14" t="s">
        <v>321</v>
      </c>
      <c r="H62" s="24">
        <v>2</v>
      </c>
      <c r="I62" s="24">
        <v>0</v>
      </c>
      <c r="J62" s="24">
        <f>H62*AO62</f>
        <v>0</v>
      </c>
      <c r="K62" s="24">
        <f>H62*AP62</f>
        <v>0</v>
      </c>
      <c r="L62" s="24">
        <f>H62*I62</f>
        <v>0</v>
      </c>
      <c r="M62" s="24">
        <v>0.006</v>
      </c>
      <c r="N62" s="46">
        <f>H62*62</f>
        <v>124</v>
      </c>
      <c r="O62" s="5"/>
      <c r="Z62" s="37">
        <f>IF(AQ62="5",BJ62,0)</f>
        <v>0</v>
      </c>
      <c r="AB62" s="37">
        <f>IF(AQ62="1",BH62,0)</f>
        <v>0</v>
      </c>
      <c r="AC62" s="37">
        <f>IF(AQ62="1",BI62,0)</f>
        <v>0</v>
      </c>
      <c r="AD62" s="37">
        <f>IF(AQ62="7",BH62,0)</f>
        <v>0</v>
      </c>
      <c r="AE62" s="37">
        <f>IF(AQ62="7",BI62,0)</f>
        <v>0</v>
      </c>
      <c r="AF62" s="37">
        <f>IF(AQ62="2",BH62,0)</f>
        <v>0</v>
      </c>
      <c r="AG62" s="37">
        <f>IF(AQ62="2",BI62,0)</f>
        <v>0</v>
      </c>
      <c r="AH62" s="37">
        <f>IF(AQ62="0",BJ62,0)</f>
        <v>0</v>
      </c>
      <c r="AI62" s="35"/>
      <c r="AJ62" s="24">
        <f>IF(AN62=0,L62,0)</f>
        <v>0</v>
      </c>
      <c r="AK62" s="24">
        <f>IF(AN62=15,L62,0)</f>
        <v>0</v>
      </c>
      <c r="AL62" s="24">
        <f>IF(AN62=21,L62,0)</f>
        <v>0</v>
      </c>
      <c r="AN62" s="37">
        <v>21</v>
      </c>
      <c r="AO62" s="37">
        <f>I62*0.178678678678679</f>
        <v>0</v>
      </c>
      <c r="AP62" s="37">
        <f>I62*(1-0.178678678678679)</f>
        <v>0</v>
      </c>
      <c r="AQ62" s="38" t="s">
        <v>7</v>
      </c>
      <c r="AV62" s="37">
        <f>AW62+AX62</f>
        <v>0</v>
      </c>
      <c r="AW62" s="37">
        <f>H62*AO62</f>
        <v>0</v>
      </c>
      <c r="AX62" s="37">
        <f>H62*AP62</f>
        <v>0</v>
      </c>
      <c r="AY62" s="40" t="s">
        <v>357</v>
      </c>
      <c r="AZ62" s="40" t="s">
        <v>375</v>
      </c>
      <c r="BA62" s="35" t="s">
        <v>382</v>
      </c>
      <c r="BC62" s="37">
        <f>AW62+AX62</f>
        <v>0</v>
      </c>
      <c r="BD62" s="37">
        <f>I62/(100-BE62)*100</f>
        <v>0</v>
      </c>
      <c r="BE62" s="37">
        <v>0</v>
      </c>
      <c r="BF62" s="37">
        <f>N62</f>
        <v>124</v>
      </c>
      <c r="BH62" s="24">
        <f>H62*AO62</f>
        <v>0</v>
      </c>
      <c r="BI62" s="24">
        <f>H62*AP62</f>
        <v>0</v>
      </c>
      <c r="BJ62" s="24">
        <f>H62*I62</f>
        <v>0</v>
      </c>
      <c r="BK62" s="24" t="s">
        <v>387</v>
      </c>
      <c r="BL62" s="37">
        <v>34</v>
      </c>
    </row>
    <row r="63" spans="1:47" ht="12.75">
      <c r="A63" s="6"/>
      <c r="B63" s="15" t="s">
        <v>102</v>
      </c>
      <c r="C63" s="111" t="s">
        <v>214</v>
      </c>
      <c r="D63" s="112"/>
      <c r="E63" s="112"/>
      <c r="F63" s="112"/>
      <c r="G63" s="22" t="s">
        <v>6</v>
      </c>
      <c r="H63" s="22" t="s">
        <v>6</v>
      </c>
      <c r="I63" s="22" t="s">
        <v>6</v>
      </c>
      <c r="J63" s="43">
        <f>SUM(J64:J64)</f>
        <v>0</v>
      </c>
      <c r="K63" s="43">
        <f>SUM(K64:K64)</f>
        <v>0</v>
      </c>
      <c r="L63" s="43">
        <f>SUM(L64:L64)</f>
        <v>0</v>
      </c>
      <c r="M63" s="35"/>
      <c r="N63" s="47">
        <f>SUM(N64:N64)</f>
        <v>102.4</v>
      </c>
      <c r="O63" s="5"/>
      <c r="AI63" s="35"/>
      <c r="AS63" s="43">
        <f>SUM(AJ64:AJ64)</f>
        <v>0</v>
      </c>
      <c r="AT63" s="43">
        <f>SUM(AK64:AK64)</f>
        <v>0</v>
      </c>
      <c r="AU63" s="43">
        <f>SUM(AL64:AL64)</f>
        <v>0</v>
      </c>
    </row>
    <row r="64" spans="1:64" ht="12.75">
      <c r="A64" s="4" t="s">
        <v>30</v>
      </c>
      <c r="B64" s="14" t="s">
        <v>103</v>
      </c>
      <c r="C64" s="113" t="s">
        <v>215</v>
      </c>
      <c r="D64" s="114"/>
      <c r="E64" s="114"/>
      <c r="F64" s="114"/>
      <c r="G64" s="14" t="s">
        <v>320</v>
      </c>
      <c r="H64" s="24">
        <v>1.6</v>
      </c>
      <c r="I64" s="24">
        <v>0</v>
      </c>
      <c r="J64" s="24">
        <f>H64*AO64</f>
        <v>0</v>
      </c>
      <c r="K64" s="24">
        <f>H64*AP64</f>
        <v>0</v>
      </c>
      <c r="L64" s="24">
        <f>H64*I64</f>
        <v>0</v>
      </c>
      <c r="M64" s="24">
        <v>0</v>
      </c>
      <c r="N64" s="46">
        <f>H64*64</f>
        <v>102.4</v>
      </c>
      <c r="O64" s="5"/>
      <c r="Z64" s="37">
        <f>IF(AQ64="5",BJ64,0)</f>
        <v>0</v>
      </c>
      <c r="AB64" s="37">
        <f>IF(AQ64="1",BH64,0)</f>
        <v>0</v>
      </c>
      <c r="AC64" s="37">
        <f>IF(AQ64="1",BI64,0)</f>
        <v>0</v>
      </c>
      <c r="AD64" s="37">
        <f>IF(AQ64="7",BH64,0)</f>
        <v>0</v>
      </c>
      <c r="AE64" s="37">
        <f>IF(AQ64="7",BI64,0)</f>
        <v>0</v>
      </c>
      <c r="AF64" s="37">
        <f>IF(AQ64="2",BH64,0)</f>
        <v>0</v>
      </c>
      <c r="AG64" s="37">
        <f>IF(AQ64="2",BI64,0)</f>
        <v>0</v>
      </c>
      <c r="AH64" s="37">
        <f>IF(AQ64="0",BJ64,0)</f>
        <v>0</v>
      </c>
      <c r="AI64" s="35"/>
      <c r="AJ64" s="24">
        <f>IF(AN64=0,L64,0)</f>
        <v>0</v>
      </c>
      <c r="AK64" s="24">
        <f>IF(AN64=15,L64,0)</f>
        <v>0</v>
      </c>
      <c r="AL64" s="24">
        <f>IF(AN64=21,L64,0)</f>
        <v>0</v>
      </c>
      <c r="AN64" s="37">
        <v>21</v>
      </c>
      <c r="AO64" s="37">
        <f>I64*0</f>
        <v>0</v>
      </c>
      <c r="AP64" s="37">
        <f>I64*(1-0)</f>
        <v>0</v>
      </c>
      <c r="AQ64" s="38" t="s">
        <v>7</v>
      </c>
      <c r="AV64" s="37">
        <f>AW64+AX64</f>
        <v>0</v>
      </c>
      <c r="AW64" s="37">
        <f>H64*AO64</f>
        <v>0</v>
      </c>
      <c r="AX64" s="37">
        <f>H64*AP64</f>
        <v>0</v>
      </c>
      <c r="AY64" s="40" t="s">
        <v>358</v>
      </c>
      <c r="AZ64" s="40" t="s">
        <v>376</v>
      </c>
      <c r="BA64" s="35" t="s">
        <v>382</v>
      </c>
      <c r="BC64" s="37">
        <f>AW64+AX64</f>
        <v>0</v>
      </c>
      <c r="BD64" s="37">
        <f>I64/(100-BE64)*100</f>
        <v>0</v>
      </c>
      <c r="BE64" s="37">
        <v>0</v>
      </c>
      <c r="BF64" s="37">
        <f>N64</f>
        <v>102.4</v>
      </c>
      <c r="BH64" s="24">
        <f>H64*AO64</f>
        <v>0</v>
      </c>
      <c r="BI64" s="24">
        <f>H64*AP64</f>
        <v>0</v>
      </c>
      <c r="BJ64" s="24">
        <f>H64*I64</f>
        <v>0</v>
      </c>
      <c r="BK64" s="24" t="s">
        <v>387</v>
      </c>
      <c r="BL64" s="37" t="s">
        <v>102</v>
      </c>
    </row>
    <row r="65" spans="1:15" ht="12.75">
      <c r="A65" s="5"/>
      <c r="C65" s="18" t="s">
        <v>216</v>
      </c>
      <c r="F65" s="20" t="s">
        <v>308</v>
      </c>
      <c r="H65" s="25">
        <v>1.6</v>
      </c>
      <c r="N65" s="36"/>
      <c r="O65" s="5"/>
    </row>
    <row r="66" spans="1:47" ht="12.75">
      <c r="A66" s="6"/>
      <c r="B66" s="15" t="s">
        <v>67</v>
      </c>
      <c r="C66" s="111" t="s">
        <v>217</v>
      </c>
      <c r="D66" s="112"/>
      <c r="E66" s="112"/>
      <c r="F66" s="112"/>
      <c r="G66" s="22" t="s">
        <v>6</v>
      </c>
      <c r="H66" s="22" t="s">
        <v>6</v>
      </c>
      <c r="I66" s="22" t="s">
        <v>6</v>
      </c>
      <c r="J66" s="43">
        <f>SUM(J67:J67)</f>
        <v>0</v>
      </c>
      <c r="K66" s="43">
        <f>SUM(K67:K67)</f>
        <v>0</v>
      </c>
      <c r="L66" s="43">
        <f>SUM(L67:L67)</f>
        <v>0</v>
      </c>
      <c r="M66" s="35"/>
      <c r="N66" s="47">
        <f>SUM(N67:N67)</f>
        <v>134</v>
      </c>
      <c r="O66" s="5"/>
      <c r="AI66" s="35"/>
      <c r="AS66" s="43">
        <f>SUM(AJ67:AJ67)</f>
        <v>0</v>
      </c>
      <c r="AT66" s="43">
        <f>SUM(AK67:AK67)</f>
        <v>0</v>
      </c>
      <c r="AU66" s="43">
        <f>SUM(AL67:AL67)</f>
        <v>0</v>
      </c>
    </row>
    <row r="67" spans="1:64" ht="12.75">
      <c r="A67" s="4" t="s">
        <v>31</v>
      </c>
      <c r="B67" s="14" t="s">
        <v>104</v>
      </c>
      <c r="C67" s="113" t="s">
        <v>218</v>
      </c>
      <c r="D67" s="114"/>
      <c r="E67" s="114"/>
      <c r="F67" s="114"/>
      <c r="G67" s="14" t="s">
        <v>321</v>
      </c>
      <c r="H67" s="24">
        <v>2</v>
      </c>
      <c r="I67" s="24">
        <v>0</v>
      </c>
      <c r="J67" s="24">
        <f>H67*AO67</f>
        <v>0</v>
      </c>
      <c r="K67" s="24">
        <f>H67*AP67</f>
        <v>0</v>
      </c>
      <c r="L67" s="24">
        <f>H67*I67</f>
        <v>0</v>
      </c>
      <c r="M67" s="24">
        <v>0.00867</v>
      </c>
      <c r="N67" s="46">
        <f>H67*67</f>
        <v>134</v>
      </c>
      <c r="O67" s="5"/>
      <c r="Z67" s="37">
        <f>IF(AQ67="5",BJ67,0)</f>
        <v>0</v>
      </c>
      <c r="AB67" s="37">
        <f>IF(AQ67="1",BH67,0)</f>
        <v>0</v>
      </c>
      <c r="AC67" s="37">
        <f>IF(AQ67="1",BI67,0)</f>
        <v>0</v>
      </c>
      <c r="AD67" s="37">
        <f>IF(AQ67="7",BH67,0)</f>
        <v>0</v>
      </c>
      <c r="AE67" s="37">
        <f>IF(AQ67="7",BI67,0)</f>
        <v>0</v>
      </c>
      <c r="AF67" s="37">
        <f>IF(AQ67="2",BH67,0)</f>
        <v>0</v>
      </c>
      <c r="AG67" s="37">
        <f>IF(AQ67="2",BI67,0)</f>
        <v>0</v>
      </c>
      <c r="AH67" s="37">
        <f>IF(AQ67="0",BJ67,0)</f>
        <v>0</v>
      </c>
      <c r="AI67" s="35"/>
      <c r="AJ67" s="24">
        <f>IF(AN67=0,L67,0)</f>
        <v>0</v>
      </c>
      <c r="AK67" s="24">
        <f>IF(AN67=15,L67,0)</f>
        <v>0</v>
      </c>
      <c r="AL67" s="24">
        <f>IF(AN67=21,L67,0)</f>
        <v>0</v>
      </c>
      <c r="AN67" s="37">
        <v>21</v>
      </c>
      <c r="AO67" s="37">
        <f>I67*0.205579831932773</f>
        <v>0</v>
      </c>
      <c r="AP67" s="37">
        <f>I67*(1-0.205579831932773)</f>
        <v>0</v>
      </c>
      <c r="AQ67" s="38" t="s">
        <v>7</v>
      </c>
      <c r="AV67" s="37">
        <f>AW67+AX67</f>
        <v>0</v>
      </c>
      <c r="AW67" s="37">
        <f>H67*AO67</f>
        <v>0</v>
      </c>
      <c r="AX67" s="37">
        <f>H67*AP67</f>
        <v>0</v>
      </c>
      <c r="AY67" s="40" t="s">
        <v>359</v>
      </c>
      <c r="AZ67" s="40" t="s">
        <v>377</v>
      </c>
      <c r="BA67" s="35" t="s">
        <v>382</v>
      </c>
      <c r="BC67" s="37">
        <f>AW67+AX67</f>
        <v>0</v>
      </c>
      <c r="BD67" s="37">
        <f>I67/(100-BE67)*100</f>
        <v>0</v>
      </c>
      <c r="BE67" s="37">
        <v>0</v>
      </c>
      <c r="BF67" s="37">
        <f>N67</f>
        <v>134</v>
      </c>
      <c r="BH67" s="24">
        <f>H67*AO67</f>
        <v>0</v>
      </c>
      <c r="BI67" s="24">
        <f>H67*AP67</f>
        <v>0</v>
      </c>
      <c r="BJ67" s="24">
        <f>H67*I67</f>
        <v>0</v>
      </c>
      <c r="BK67" s="24" t="s">
        <v>387</v>
      </c>
      <c r="BL67" s="37">
        <v>61</v>
      </c>
    </row>
    <row r="68" spans="1:47" ht="12.75">
      <c r="A68" s="6"/>
      <c r="B68" s="15" t="s">
        <v>68</v>
      </c>
      <c r="C68" s="111" t="s">
        <v>219</v>
      </c>
      <c r="D68" s="112"/>
      <c r="E68" s="112"/>
      <c r="F68" s="112"/>
      <c r="G68" s="22" t="s">
        <v>6</v>
      </c>
      <c r="H68" s="22" t="s">
        <v>6</v>
      </c>
      <c r="I68" s="22" t="s">
        <v>6</v>
      </c>
      <c r="J68" s="43">
        <f>SUM(J69:J69)</f>
        <v>0</v>
      </c>
      <c r="K68" s="43">
        <f>SUM(K69:K69)</f>
        <v>0</v>
      </c>
      <c r="L68" s="43">
        <f>SUM(L69:L69)</f>
        <v>0</v>
      </c>
      <c r="M68" s="35"/>
      <c r="N68" s="47">
        <f>SUM(N69:N69)</f>
        <v>138</v>
      </c>
      <c r="O68" s="5"/>
      <c r="AI68" s="35"/>
      <c r="AS68" s="43">
        <f>SUM(AJ69:AJ69)</f>
        <v>0</v>
      </c>
      <c r="AT68" s="43">
        <f>SUM(AK69:AK69)</f>
        <v>0</v>
      </c>
      <c r="AU68" s="43">
        <f>SUM(AL69:AL69)</f>
        <v>0</v>
      </c>
    </row>
    <row r="69" spans="1:64" ht="12.75">
      <c r="A69" s="4" t="s">
        <v>32</v>
      </c>
      <c r="B69" s="14" t="s">
        <v>105</v>
      </c>
      <c r="C69" s="113" t="s">
        <v>220</v>
      </c>
      <c r="D69" s="114"/>
      <c r="E69" s="114"/>
      <c r="F69" s="114"/>
      <c r="G69" s="14" t="s">
        <v>321</v>
      </c>
      <c r="H69" s="24">
        <v>2</v>
      </c>
      <c r="I69" s="24">
        <v>0</v>
      </c>
      <c r="J69" s="24">
        <f>H69*AO69</f>
        <v>0</v>
      </c>
      <c r="K69" s="24">
        <f>H69*AP69</f>
        <v>0</v>
      </c>
      <c r="L69" s="24">
        <f>H69*I69</f>
        <v>0</v>
      </c>
      <c r="M69" s="24">
        <v>0.00068</v>
      </c>
      <c r="N69" s="46">
        <f>H69*69</f>
        <v>138</v>
      </c>
      <c r="O69" s="5"/>
      <c r="Z69" s="37">
        <f>IF(AQ69="5",BJ69,0)</f>
        <v>0</v>
      </c>
      <c r="AB69" s="37">
        <f>IF(AQ69="1",BH69,0)</f>
        <v>0</v>
      </c>
      <c r="AC69" s="37">
        <f>IF(AQ69="1",BI69,0)</f>
        <v>0</v>
      </c>
      <c r="AD69" s="37">
        <f>IF(AQ69="7",BH69,0)</f>
        <v>0</v>
      </c>
      <c r="AE69" s="37">
        <f>IF(AQ69="7",BI69,0)</f>
        <v>0</v>
      </c>
      <c r="AF69" s="37">
        <f>IF(AQ69="2",BH69,0)</f>
        <v>0</v>
      </c>
      <c r="AG69" s="37">
        <f>IF(AQ69="2",BI69,0)</f>
        <v>0</v>
      </c>
      <c r="AH69" s="37">
        <f>IF(AQ69="0",BJ69,0)</f>
        <v>0</v>
      </c>
      <c r="AI69" s="35"/>
      <c r="AJ69" s="24">
        <f>IF(AN69=0,L69,0)</f>
        <v>0</v>
      </c>
      <c r="AK69" s="24">
        <f>IF(AN69=15,L69,0)</f>
        <v>0</v>
      </c>
      <c r="AL69" s="24">
        <f>IF(AN69=21,L69,0)</f>
        <v>0</v>
      </c>
      <c r="AN69" s="37">
        <v>21</v>
      </c>
      <c r="AO69" s="37">
        <f>I69*0.349932705248991</f>
        <v>0</v>
      </c>
      <c r="AP69" s="37">
        <f>I69*(1-0.349932705248991)</f>
        <v>0</v>
      </c>
      <c r="AQ69" s="38" t="s">
        <v>7</v>
      </c>
      <c r="AV69" s="37">
        <f>AW69+AX69</f>
        <v>0</v>
      </c>
      <c r="AW69" s="37">
        <f>H69*AO69</f>
        <v>0</v>
      </c>
      <c r="AX69" s="37">
        <f>H69*AP69</f>
        <v>0</v>
      </c>
      <c r="AY69" s="40" t="s">
        <v>360</v>
      </c>
      <c r="AZ69" s="40" t="s">
        <v>377</v>
      </c>
      <c r="BA69" s="35" t="s">
        <v>382</v>
      </c>
      <c r="BC69" s="37">
        <f>AW69+AX69</f>
        <v>0</v>
      </c>
      <c r="BD69" s="37">
        <f>I69/(100-BE69)*100</f>
        <v>0</v>
      </c>
      <c r="BE69" s="37">
        <v>0</v>
      </c>
      <c r="BF69" s="37">
        <f>N69</f>
        <v>138</v>
      </c>
      <c r="BH69" s="24">
        <f>H69*AO69</f>
        <v>0</v>
      </c>
      <c r="BI69" s="24">
        <f>H69*AP69</f>
        <v>0</v>
      </c>
      <c r="BJ69" s="24">
        <f>H69*I69</f>
        <v>0</v>
      </c>
      <c r="BK69" s="24" t="s">
        <v>387</v>
      </c>
      <c r="BL69" s="37">
        <v>62</v>
      </c>
    </row>
    <row r="70" spans="1:47" ht="12.75">
      <c r="A70" s="6"/>
      <c r="B70" s="15" t="s">
        <v>106</v>
      </c>
      <c r="C70" s="111" t="s">
        <v>221</v>
      </c>
      <c r="D70" s="112"/>
      <c r="E70" s="112"/>
      <c r="F70" s="112"/>
      <c r="G70" s="22" t="s">
        <v>6</v>
      </c>
      <c r="H70" s="22" t="s">
        <v>6</v>
      </c>
      <c r="I70" s="22" t="s">
        <v>6</v>
      </c>
      <c r="J70" s="43">
        <f>SUM(J71:J71)</f>
        <v>0</v>
      </c>
      <c r="K70" s="43">
        <f>SUM(K71:K71)</f>
        <v>0</v>
      </c>
      <c r="L70" s="43">
        <f>SUM(L71:L71)</f>
        <v>0</v>
      </c>
      <c r="M70" s="35"/>
      <c r="N70" s="47">
        <f>SUM(N71:N71)</f>
        <v>17633.56</v>
      </c>
      <c r="O70" s="5"/>
      <c r="AI70" s="35"/>
      <c r="AS70" s="43">
        <f>SUM(AJ71:AJ71)</f>
        <v>0</v>
      </c>
      <c r="AT70" s="43">
        <f>SUM(AK71:AK71)</f>
        <v>0</v>
      </c>
      <c r="AU70" s="43">
        <f>SUM(AL71:AL71)</f>
        <v>0</v>
      </c>
    </row>
    <row r="71" spans="1:64" ht="12.75">
      <c r="A71" s="4" t="s">
        <v>33</v>
      </c>
      <c r="B71" s="14" t="s">
        <v>107</v>
      </c>
      <c r="C71" s="113" t="s">
        <v>222</v>
      </c>
      <c r="D71" s="114"/>
      <c r="E71" s="114"/>
      <c r="F71" s="114"/>
      <c r="G71" s="14" t="s">
        <v>323</v>
      </c>
      <c r="H71" s="24">
        <v>248.36</v>
      </c>
      <c r="I71" s="24">
        <v>0</v>
      </c>
      <c r="J71" s="24">
        <f>H71*AO71</f>
        <v>0</v>
      </c>
      <c r="K71" s="24">
        <f>H71*AP71</f>
        <v>0</v>
      </c>
      <c r="L71" s="24">
        <f>H71*I71</f>
        <v>0</v>
      </c>
      <c r="M71" s="24">
        <v>0.001</v>
      </c>
      <c r="N71" s="46">
        <f>H71*71</f>
        <v>17633.56</v>
      </c>
      <c r="O71" s="5"/>
      <c r="Z71" s="37">
        <f>IF(AQ71="5",BJ71,0)</f>
        <v>0</v>
      </c>
      <c r="AB71" s="37">
        <f>IF(AQ71="1",BH71,0)</f>
        <v>0</v>
      </c>
      <c r="AC71" s="37">
        <f>IF(AQ71="1",BI71,0)</f>
        <v>0</v>
      </c>
      <c r="AD71" s="37">
        <f>IF(AQ71="7",BH71,0)</f>
        <v>0</v>
      </c>
      <c r="AE71" s="37">
        <f>IF(AQ71="7",BI71,0)</f>
        <v>0</v>
      </c>
      <c r="AF71" s="37">
        <f>IF(AQ71="2",BH71,0)</f>
        <v>0</v>
      </c>
      <c r="AG71" s="37">
        <f>IF(AQ71="2",BI71,0)</f>
        <v>0</v>
      </c>
      <c r="AH71" s="37">
        <f>IF(AQ71="0",BJ71,0)</f>
        <v>0</v>
      </c>
      <c r="AI71" s="35"/>
      <c r="AJ71" s="24">
        <f>IF(AN71=0,L71,0)</f>
        <v>0</v>
      </c>
      <c r="AK71" s="24">
        <f>IF(AN71=15,L71,0)</f>
        <v>0</v>
      </c>
      <c r="AL71" s="24">
        <f>IF(AN71=21,L71,0)</f>
        <v>0</v>
      </c>
      <c r="AN71" s="37">
        <v>21</v>
      </c>
      <c r="AO71" s="37">
        <f>I71*0.244221797323136</f>
        <v>0</v>
      </c>
      <c r="AP71" s="37">
        <f>I71*(1-0.244221797323136)</f>
        <v>0</v>
      </c>
      <c r="AQ71" s="38" t="s">
        <v>13</v>
      </c>
      <c r="AV71" s="37">
        <f>AW71+AX71</f>
        <v>0</v>
      </c>
      <c r="AW71" s="37">
        <f>H71*AO71</f>
        <v>0</v>
      </c>
      <c r="AX71" s="37">
        <f>H71*AP71</f>
        <v>0</v>
      </c>
      <c r="AY71" s="40" t="s">
        <v>361</v>
      </c>
      <c r="AZ71" s="40" t="s">
        <v>378</v>
      </c>
      <c r="BA71" s="35" t="s">
        <v>382</v>
      </c>
      <c r="BC71" s="37">
        <f>AW71+AX71</f>
        <v>0</v>
      </c>
      <c r="BD71" s="37">
        <f>I71/(100-BE71)*100</f>
        <v>0</v>
      </c>
      <c r="BE71" s="37">
        <v>0</v>
      </c>
      <c r="BF71" s="37">
        <f>N71</f>
        <v>17633.56</v>
      </c>
      <c r="BH71" s="24">
        <f>H71*AO71</f>
        <v>0</v>
      </c>
      <c r="BI71" s="24">
        <f>H71*AP71</f>
        <v>0</v>
      </c>
      <c r="BJ71" s="24">
        <f>H71*I71</f>
        <v>0</v>
      </c>
      <c r="BK71" s="24" t="s">
        <v>387</v>
      </c>
      <c r="BL71" s="37">
        <v>767</v>
      </c>
    </row>
    <row r="72" spans="1:15" ht="12.75">
      <c r="A72" s="5"/>
      <c r="C72" s="18" t="s">
        <v>223</v>
      </c>
      <c r="F72" s="20" t="s">
        <v>309</v>
      </c>
      <c r="H72" s="25">
        <v>248.36</v>
      </c>
      <c r="N72" s="36"/>
      <c r="O72" s="5"/>
    </row>
    <row r="73" spans="1:15" ht="12.75">
      <c r="A73" s="5"/>
      <c r="C73" s="18" t="s">
        <v>224</v>
      </c>
      <c r="F73" s="20" t="s">
        <v>310</v>
      </c>
      <c r="H73" s="25">
        <v>0</v>
      </c>
      <c r="N73" s="36"/>
      <c r="O73" s="5"/>
    </row>
    <row r="74" spans="1:47" ht="12.75">
      <c r="A74" s="6"/>
      <c r="B74" s="15" t="s">
        <v>108</v>
      </c>
      <c r="C74" s="111" t="s">
        <v>225</v>
      </c>
      <c r="D74" s="112"/>
      <c r="E74" s="112"/>
      <c r="F74" s="112"/>
      <c r="G74" s="22" t="s">
        <v>6</v>
      </c>
      <c r="H74" s="22" t="s">
        <v>6</v>
      </c>
      <c r="I74" s="22" t="s">
        <v>6</v>
      </c>
      <c r="J74" s="43">
        <f>SUM(J75:J77)</f>
        <v>0</v>
      </c>
      <c r="K74" s="43">
        <f>SUM(K75:K77)</f>
        <v>0</v>
      </c>
      <c r="L74" s="43">
        <f>SUM(L75:L77)</f>
        <v>0</v>
      </c>
      <c r="M74" s="35"/>
      <c r="N74" s="47">
        <f>SUM(N75:N77)</f>
        <v>20724.5</v>
      </c>
      <c r="O74" s="5"/>
      <c r="AI74" s="35"/>
      <c r="AS74" s="43">
        <f>SUM(AJ75:AJ77)</f>
        <v>0</v>
      </c>
      <c r="AT74" s="43">
        <f>SUM(AK75:AK77)</f>
        <v>0</v>
      </c>
      <c r="AU74" s="43">
        <f>SUM(AL75:AL77)</f>
        <v>0</v>
      </c>
    </row>
    <row r="75" spans="1:64" ht="12.75">
      <c r="A75" s="4" t="s">
        <v>34</v>
      </c>
      <c r="B75" s="14" t="s">
        <v>109</v>
      </c>
      <c r="C75" s="113" t="s">
        <v>226</v>
      </c>
      <c r="D75" s="114"/>
      <c r="E75" s="114"/>
      <c r="F75" s="114"/>
      <c r="G75" s="14" t="s">
        <v>319</v>
      </c>
      <c r="H75" s="24">
        <v>13.5</v>
      </c>
      <c r="I75" s="24">
        <v>0</v>
      </c>
      <c r="J75" s="24">
        <f>H75*AO75</f>
        <v>0</v>
      </c>
      <c r="K75" s="24">
        <f>H75*AP75</f>
        <v>0</v>
      </c>
      <c r="L75" s="24">
        <f>H75*I75</f>
        <v>0</v>
      </c>
      <c r="M75" s="24">
        <v>0.00038</v>
      </c>
      <c r="N75" s="46">
        <f>H75*75</f>
        <v>1012.5</v>
      </c>
      <c r="O75" s="5"/>
      <c r="Z75" s="37">
        <f>IF(AQ75="5",BJ75,0)</f>
        <v>0</v>
      </c>
      <c r="AB75" s="37">
        <f>IF(AQ75="1",BH75,0)</f>
        <v>0</v>
      </c>
      <c r="AC75" s="37">
        <f>IF(AQ75="1",BI75,0)</f>
        <v>0</v>
      </c>
      <c r="AD75" s="37">
        <f>IF(AQ75="7",BH75,0)</f>
        <v>0</v>
      </c>
      <c r="AE75" s="37">
        <f>IF(AQ75="7",BI75,0)</f>
        <v>0</v>
      </c>
      <c r="AF75" s="37">
        <f>IF(AQ75="2",BH75,0)</f>
        <v>0</v>
      </c>
      <c r="AG75" s="37">
        <f>IF(AQ75="2",BI75,0)</f>
        <v>0</v>
      </c>
      <c r="AH75" s="37">
        <f>IF(AQ75="0",BJ75,0)</f>
        <v>0</v>
      </c>
      <c r="AI75" s="35"/>
      <c r="AJ75" s="24">
        <f>IF(AN75=0,L75,0)</f>
        <v>0</v>
      </c>
      <c r="AK75" s="24">
        <f>IF(AN75=15,L75,0)</f>
        <v>0</v>
      </c>
      <c r="AL75" s="24">
        <f>IF(AN75=21,L75,0)</f>
        <v>0</v>
      </c>
      <c r="AN75" s="37">
        <v>21</v>
      </c>
      <c r="AO75" s="37">
        <f>I75*0.423565815324165</f>
        <v>0</v>
      </c>
      <c r="AP75" s="37">
        <f>I75*(1-0.423565815324165)</f>
        <v>0</v>
      </c>
      <c r="AQ75" s="38" t="s">
        <v>13</v>
      </c>
      <c r="AV75" s="37">
        <f>AW75+AX75</f>
        <v>0</v>
      </c>
      <c r="AW75" s="37">
        <f>H75*AO75</f>
        <v>0</v>
      </c>
      <c r="AX75" s="37">
        <f>H75*AP75</f>
        <v>0</v>
      </c>
      <c r="AY75" s="40" t="s">
        <v>362</v>
      </c>
      <c r="AZ75" s="40" t="s">
        <v>379</v>
      </c>
      <c r="BA75" s="35" t="s">
        <v>382</v>
      </c>
      <c r="BC75" s="37">
        <f>AW75+AX75</f>
        <v>0</v>
      </c>
      <c r="BD75" s="37">
        <f>I75/(100-BE75)*100</f>
        <v>0</v>
      </c>
      <c r="BE75" s="37">
        <v>0</v>
      </c>
      <c r="BF75" s="37">
        <f>N75</f>
        <v>1012.5</v>
      </c>
      <c r="BH75" s="24">
        <f>H75*AO75</f>
        <v>0</v>
      </c>
      <c r="BI75" s="24">
        <f>H75*AP75</f>
        <v>0</v>
      </c>
      <c r="BJ75" s="24">
        <f>H75*I75</f>
        <v>0</v>
      </c>
      <c r="BK75" s="24" t="s">
        <v>387</v>
      </c>
      <c r="BL75" s="37">
        <v>783</v>
      </c>
    </row>
    <row r="76" spans="1:15" ht="12.75">
      <c r="A76" s="5"/>
      <c r="C76" s="18" t="s">
        <v>227</v>
      </c>
      <c r="F76" s="20"/>
      <c r="H76" s="25">
        <v>13.5</v>
      </c>
      <c r="N76" s="36"/>
      <c r="O76" s="5"/>
    </row>
    <row r="77" spans="1:64" ht="12.75">
      <c r="A77" s="4" t="s">
        <v>35</v>
      </c>
      <c r="B77" s="14" t="s">
        <v>110</v>
      </c>
      <c r="C77" s="113" t="s">
        <v>228</v>
      </c>
      <c r="D77" s="114"/>
      <c r="E77" s="114"/>
      <c r="F77" s="114"/>
      <c r="G77" s="14" t="s">
        <v>324</v>
      </c>
      <c r="H77" s="24">
        <v>256</v>
      </c>
      <c r="I77" s="24">
        <v>0</v>
      </c>
      <c r="J77" s="24">
        <f>H77*AO77</f>
        <v>0</v>
      </c>
      <c r="K77" s="24">
        <f>H77*AP77</f>
        <v>0</v>
      </c>
      <c r="L77" s="24">
        <f>H77*I77</f>
        <v>0</v>
      </c>
      <c r="M77" s="24">
        <v>0.00018</v>
      </c>
      <c r="N77" s="46">
        <f>H77*77</f>
        <v>19712</v>
      </c>
      <c r="O77" s="5"/>
      <c r="Z77" s="37">
        <f>IF(AQ77="5",BJ77,0)</f>
        <v>0</v>
      </c>
      <c r="AB77" s="37">
        <f>IF(AQ77="1",BH77,0)</f>
        <v>0</v>
      </c>
      <c r="AC77" s="37">
        <f>IF(AQ77="1",BI77,0)</f>
        <v>0</v>
      </c>
      <c r="AD77" s="37">
        <f>IF(AQ77="7",BH77,0)</f>
        <v>0</v>
      </c>
      <c r="AE77" s="37">
        <f>IF(AQ77="7",BI77,0)</f>
        <v>0</v>
      </c>
      <c r="AF77" s="37">
        <f>IF(AQ77="2",BH77,0)</f>
        <v>0</v>
      </c>
      <c r="AG77" s="37">
        <f>IF(AQ77="2",BI77,0)</f>
        <v>0</v>
      </c>
      <c r="AH77" s="37">
        <f>IF(AQ77="0",BJ77,0)</f>
        <v>0</v>
      </c>
      <c r="AI77" s="35"/>
      <c r="AJ77" s="24">
        <f>IF(AN77=0,L77,0)</f>
        <v>0</v>
      </c>
      <c r="AK77" s="24">
        <f>IF(AN77=15,L77,0)</f>
        <v>0</v>
      </c>
      <c r="AL77" s="24">
        <f>IF(AN77=21,L77,0)</f>
        <v>0</v>
      </c>
      <c r="AN77" s="37">
        <v>21</v>
      </c>
      <c r="AO77" s="37">
        <f>I77*0.247252494708195</f>
        <v>0</v>
      </c>
      <c r="AP77" s="37">
        <f>I77*(1-0.247252494708195)</f>
        <v>0</v>
      </c>
      <c r="AQ77" s="38" t="s">
        <v>13</v>
      </c>
      <c r="AV77" s="37">
        <f>AW77+AX77</f>
        <v>0</v>
      </c>
      <c r="AW77" s="37">
        <f>H77*AO77</f>
        <v>0</v>
      </c>
      <c r="AX77" s="37">
        <f>H77*AP77</f>
        <v>0</v>
      </c>
      <c r="AY77" s="40" t="s">
        <v>362</v>
      </c>
      <c r="AZ77" s="40" t="s">
        <v>379</v>
      </c>
      <c r="BA77" s="35" t="s">
        <v>382</v>
      </c>
      <c r="BC77" s="37">
        <f>AW77+AX77</f>
        <v>0</v>
      </c>
      <c r="BD77" s="37">
        <f>I77/(100-BE77)*100</f>
        <v>0</v>
      </c>
      <c r="BE77" s="37">
        <v>0</v>
      </c>
      <c r="BF77" s="37">
        <f>N77</f>
        <v>19712</v>
      </c>
      <c r="BH77" s="24">
        <f>H77*AO77</f>
        <v>0</v>
      </c>
      <c r="BI77" s="24">
        <f>H77*AP77</f>
        <v>0</v>
      </c>
      <c r="BJ77" s="24">
        <f>H77*I77</f>
        <v>0</v>
      </c>
      <c r="BK77" s="24" t="s">
        <v>387</v>
      </c>
      <c r="BL77" s="37">
        <v>783</v>
      </c>
    </row>
    <row r="78" spans="1:15" ht="12.75">
      <c r="A78" s="5"/>
      <c r="C78" s="18" t="s">
        <v>229</v>
      </c>
      <c r="F78" s="20"/>
      <c r="H78" s="25">
        <v>256</v>
      </c>
      <c r="N78" s="36"/>
      <c r="O78" s="5"/>
    </row>
    <row r="79" spans="1:47" ht="12.75">
      <c r="A79" s="6"/>
      <c r="B79" s="15" t="s">
        <v>111</v>
      </c>
      <c r="C79" s="111" t="s">
        <v>230</v>
      </c>
      <c r="D79" s="112"/>
      <c r="E79" s="112"/>
      <c r="F79" s="112"/>
      <c r="G79" s="22" t="s">
        <v>6</v>
      </c>
      <c r="H79" s="22" t="s">
        <v>6</v>
      </c>
      <c r="I79" s="22" t="s">
        <v>6</v>
      </c>
      <c r="J79" s="43">
        <f>SUM(J80:J80)</f>
        <v>0</v>
      </c>
      <c r="K79" s="43">
        <f>SUM(K80:K80)</f>
        <v>0</v>
      </c>
      <c r="L79" s="43">
        <f>SUM(L80:L80)</f>
        <v>0</v>
      </c>
      <c r="M79" s="35"/>
      <c r="N79" s="47">
        <f>SUM(N80:N80)</f>
        <v>2560</v>
      </c>
      <c r="O79" s="5"/>
      <c r="AI79" s="35"/>
      <c r="AS79" s="43">
        <f>SUM(AJ80:AJ80)</f>
        <v>0</v>
      </c>
      <c r="AT79" s="43">
        <f>SUM(AK80:AK80)</f>
        <v>0</v>
      </c>
      <c r="AU79" s="43">
        <f>SUM(AL80:AL80)</f>
        <v>0</v>
      </c>
    </row>
    <row r="80" spans="1:64" ht="12.75">
      <c r="A80" s="4" t="s">
        <v>36</v>
      </c>
      <c r="B80" s="14" t="s">
        <v>112</v>
      </c>
      <c r="C80" s="113" t="s">
        <v>231</v>
      </c>
      <c r="D80" s="114"/>
      <c r="E80" s="114"/>
      <c r="F80" s="114"/>
      <c r="G80" s="14" t="s">
        <v>325</v>
      </c>
      <c r="H80" s="24">
        <v>32</v>
      </c>
      <c r="I80" s="24">
        <v>0</v>
      </c>
      <c r="J80" s="24">
        <f>H80*AO80</f>
        <v>0</v>
      </c>
      <c r="K80" s="24">
        <f>H80*AP80</f>
        <v>0</v>
      </c>
      <c r="L80" s="24">
        <f>H80*I80</f>
        <v>0</v>
      </c>
      <c r="M80" s="24">
        <v>0</v>
      </c>
      <c r="N80" s="46">
        <f>H80*80</f>
        <v>2560</v>
      </c>
      <c r="O80" s="5"/>
      <c r="Z80" s="37">
        <f>IF(AQ80="5",BJ80,0)</f>
        <v>0</v>
      </c>
      <c r="AB80" s="37">
        <f>IF(AQ80="1",BH80,0)</f>
        <v>0</v>
      </c>
      <c r="AC80" s="37">
        <f>IF(AQ80="1",BI80,0)</f>
        <v>0</v>
      </c>
      <c r="AD80" s="37">
        <f>IF(AQ80="7",BH80,0)</f>
        <v>0</v>
      </c>
      <c r="AE80" s="37">
        <f>IF(AQ80="7",BI80,0)</f>
        <v>0</v>
      </c>
      <c r="AF80" s="37">
        <f>IF(AQ80="2",BH80,0)</f>
        <v>0</v>
      </c>
      <c r="AG80" s="37">
        <f>IF(AQ80="2",BI80,0)</f>
        <v>0</v>
      </c>
      <c r="AH80" s="37">
        <f>IF(AQ80="0",BJ80,0)</f>
        <v>0</v>
      </c>
      <c r="AI80" s="35"/>
      <c r="AJ80" s="24">
        <f>IF(AN80=0,L80,0)</f>
        <v>0</v>
      </c>
      <c r="AK80" s="24">
        <f>IF(AN80=15,L80,0)</f>
        <v>0</v>
      </c>
      <c r="AL80" s="24">
        <f>IF(AN80=21,L80,0)</f>
        <v>0</v>
      </c>
      <c r="AN80" s="37">
        <v>21</v>
      </c>
      <c r="AO80" s="37">
        <f>I80*0</f>
        <v>0</v>
      </c>
      <c r="AP80" s="37">
        <f>I80*(1-0)</f>
        <v>0</v>
      </c>
      <c r="AQ80" s="38" t="s">
        <v>7</v>
      </c>
      <c r="AV80" s="37">
        <f>AW80+AX80</f>
        <v>0</v>
      </c>
      <c r="AW80" s="37">
        <f>H80*AO80</f>
        <v>0</v>
      </c>
      <c r="AX80" s="37">
        <f>H80*AP80</f>
        <v>0</v>
      </c>
      <c r="AY80" s="40" t="s">
        <v>363</v>
      </c>
      <c r="AZ80" s="40" t="s">
        <v>380</v>
      </c>
      <c r="BA80" s="35" t="s">
        <v>382</v>
      </c>
      <c r="BC80" s="37">
        <f>AW80+AX80</f>
        <v>0</v>
      </c>
      <c r="BD80" s="37">
        <f>I80/(100-BE80)*100</f>
        <v>0</v>
      </c>
      <c r="BE80" s="37">
        <v>0</v>
      </c>
      <c r="BF80" s="37">
        <f>N80</f>
        <v>2560</v>
      </c>
      <c r="BH80" s="24">
        <f>H80*AO80</f>
        <v>0</v>
      </c>
      <c r="BI80" s="24">
        <f>H80*AP80</f>
        <v>0</v>
      </c>
      <c r="BJ80" s="24">
        <f>H80*I80</f>
        <v>0</v>
      </c>
      <c r="BK80" s="24" t="s">
        <v>387</v>
      </c>
      <c r="BL80" s="37">
        <v>90</v>
      </c>
    </row>
    <row r="81" spans="1:47" ht="12.75">
      <c r="A81" s="6"/>
      <c r="B81" s="15" t="s">
        <v>113</v>
      </c>
      <c r="C81" s="111" t="s">
        <v>232</v>
      </c>
      <c r="D81" s="112"/>
      <c r="E81" s="112"/>
      <c r="F81" s="112"/>
      <c r="G81" s="22" t="s">
        <v>6</v>
      </c>
      <c r="H81" s="22" t="s">
        <v>6</v>
      </c>
      <c r="I81" s="22" t="s">
        <v>6</v>
      </c>
      <c r="J81" s="43">
        <f>SUM(J82:J82)</f>
        <v>0</v>
      </c>
      <c r="K81" s="43">
        <f>SUM(K82:K82)</f>
        <v>0</v>
      </c>
      <c r="L81" s="43">
        <f>SUM(L82:L82)</f>
        <v>0</v>
      </c>
      <c r="M81" s="35"/>
      <c r="N81" s="47">
        <f>SUM(N82:N82)</f>
        <v>82</v>
      </c>
      <c r="O81" s="5"/>
      <c r="AI81" s="35"/>
      <c r="AS81" s="43">
        <f>SUM(AJ82:AJ82)</f>
        <v>0</v>
      </c>
      <c r="AT81" s="43">
        <f>SUM(AK82:AK82)</f>
        <v>0</v>
      </c>
      <c r="AU81" s="43">
        <f>SUM(AL82:AL82)</f>
        <v>0</v>
      </c>
    </row>
    <row r="82" spans="1:64" ht="12.75">
      <c r="A82" s="4" t="s">
        <v>37</v>
      </c>
      <c r="B82" s="14" t="s">
        <v>114</v>
      </c>
      <c r="C82" s="113" t="s">
        <v>233</v>
      </c>
      <c r="D82" s="114"/>
      <c r="E82" s="114"/>
      <c r="F82" s="114"/>
      <c r="G82" s="14" t="s">
        <v>324</v>
      </c>
      <c r="H82" s="24">
        <v>1</v>
      </c>
      <c r="I82" s="24">
        <v>0</v>
      </c>
      <c r="J82" s="24">
        <f>H82*AO82</f>
        <v>0</v>
      </c>
      <c r="K82" s="24">
        <f>H82*AP82</f>
        <v>0</v>
      </c>
      <c r="L82" s="24">
        <f>H82*I82</f>
        <v>0</v>
      </c>
      <c r="M82" s="24">
        <v>0</v>
      </c>
      <c r="N82" s="46">
        <f>H82*82</f>
        <v>82</v>
      </c>
      <c r="O82" s="5"/>
      <c r="Z82" s="37">
        <f>IF(AQ82="5",BJ82,0)</f>
        <v>0</v>
      </c>
      <c r="AB82" s="37">
        <f>IF(AQ82="1",BH82,0)</f>
        <v>0</v>
      </c>
      <c r="AC82" s="37">
        <f>IF(AQ82="1",BI82,0)</f>
        <v>0</v>
      </c>
      <c r="AD82" s="37">
        <f>IF(AQ82="7",BH82,0)</f>
        <v>0</v>
      </c>
      <c r="AE82" s="37">
        <f>IF(AQ82="7",BI82,0)</f>
        <v>0</v>
      </c>
      <c r="AF82" s="37">
        <f>IF(AQ82="2",BH82,0)</f>
        <v>0</v>
      </c>
      <c r="AG82" s="37">
        <f>IF(AQ82="2",BI82,0)</f>
        <v>0</v>
      </c>
      <c r="AH82" s="37">
        <f>IF(AQ82="0",BJ82,0)</f>
        <v>0</v>
      </c>
      <c r="AI82" s="35"/>
      <c r="AJ82" s="24">
        <f>IF(AN82=0,L82,0)</f>
        <v>0</v>
      </c>
      <c r="AK82" s="24">
        <f>IF(AN82=15,L82,0)</f>
        <v>0</v>
      </c>
      <c r="AL82" s="24">
        <f>IF(AN82=21,L82,0)</f>
        <v>0</v>
      </c>
      <c r="AN82" s="37">
        <v>21</v>
      </c>
      <c r="AO82" s="37">
        <f>I82*0.255598058252427</f>
        <v>0</v>
      </c>
      <c r="AP82" s="37">
        <f>I82*(1-0.255598058252427)</f>
        <v>0</v>
      </c>
      <c r="AQ82" s="38" t="s">
        <v>7</v>
      </c>
      <c r="AV82" s="37">
        <f>AW82+AX82</f>
        <v>0</v>
      </c>
      <c r="AW82" s="37">
        <f>H82*AO82</f>
        <v>0</v>
      </c>
      <c r="AX82" s="37">
        <f>H82*AP82</f>
        <v>0</v>
      </c>
      <c r="AY82" s="40" t="s">
        <v>364</v>
      </c>
      <c r="AZ82" s="40" t="s">
        <v>380</v>
      </c>
      <c r="BA82" s="35" t="s">
        <v>382</v>
      </c>
      <c r="BC82" s="37">
        <f>AW82+AX82</f>
        <v>0</v>
      </c>
      <c r="BD82" s="37">
        <f>I82/(100-BE82)*100</f>
        <v>0</v>
      </c>
      <c r="BE82" s="37">
        <v>0</v>
      </c>
      <c r="BF82" s="37">
        <f>N82</f>
        <v>82</v>
      </c>
      <c r="BH82" s="24">
        <f>H82*AO82</f>
        <v>0</v>
      </c>
      <c r="BI82" s="24">
        <f>H82*AP82</f>
        <v>0</v>
      </c>
      <c r="BJ82" s="24">
        <f>H82*I82</f>
        <v>0</v>
      </c>
      <c r="BK82" s="24" t="s">
        <v>387</v>
      </c>
      <c r="BL82" s="37">
        <v>97</v>
      </c>
    </row>
    <row r="83" spans="1:15" ht="12.75">
      <c r="A83" s="5"/>
      <c r="C83" s="18" t="s">
        <v>234</v>
      </c>
      <c r="F83" s="20"/>
      <c r="H83" s="25">
        <v>1</v>
      </c>
      <c r="N83" s="36"/>
      <c r="O83" s="5"/>
    </row>
    <row r="84" spans="1:47" ht="12.75">
      <c r="A84" s="6"/>
      <c r="B84" s="15" t="s">
        <v>115</v>
      </c>
      <c r="C84" s="111" t="s">
        <v>235</v>
      </c>
      <c r="D84" s="112"/>
      <c r="E84" s="112"/>
      <c r="F84" s="112"/>
      <c r="G84" s="22" t="s">
        <v>6</v>
      </c>
      <c r="H84" s="22" t="s">
        <v>6</v>
      </c>
      <c r="I84" s="22" t="s">
        <v>6</v>
      </c>
      <c r="J84" s="43">
        <f>SUM(J85:J85)</f>
        <v>0</v>
      </c>
      <c r="K84" s="43">
        <f>SUM(K85:K85)</f>
        <v>0</v>
      </c>
      <c r="L84" s="43">
        <f>SUM(L85:L85)</f>
        <v>0</v>
      </c>
      <c r="M84" s="35"/>
      <c r="N84" s="47">
        <f>SUM(N85:N85)</f>
        <v>568.65</v>
      </c>
      <c r="O84" s="5"/>
      <c r="AI84" s="35"/>
      <c r="AS84" s="43">
        <f>SUM(AJ85:AJ85)</f>
        <v>0</v>
      </c>
      <c r="AT84" s="43">
        <f>SUM(AK85:AK85)</f>
        <v>0</v>
      </c>
      <c r="AU84" s="43">
        <f>SUM(AL85:AL85)</f>
        <v>0</v>
      </c>
    </row>
    <row r="85" spans="1:64" ht="12.75">
      <c r="A85" s="4" t="s">
        <v>38</v>
      </c>
      <c r="B85" s="14" t="s">
        <v>116</v>
      </c>
      <c r="C85" s="113" t="s">
        <v>236</v>
      </c>
      <c r="D85" s="114"/>
      <c r="E85" s="114"/>
      <c r="F85" s="114"/>
      <c r="G85" s="14" t="s">
        <v>322</v>
      </c>
      <c r="H85" s="24">
        <v>6.69</v>
      </c>
      <c r="I85" s="24">
        <v>0</v>
      </c>
      <c r="J85" s="24">
        <f>H85*AO85</f>
        <v>0</v>
      </c>
      <c r="K85" s="24">
        <f>H85*AP85</f>
        <v>0</v>
      </c>
      <c r="L85" s="24">
        <f>H85*I85</f>
        <v>0</v>
      </c>
      <c r="M85" s="24">
        <v>0</v>
      </c>
      <c r="N85" s="46">
        <f>H85*85</f>
        <v>568.65</v>
      </c>
      <c r="O85" s="5"/>
      <c r="Z85" s="37">
        <f>IF(AQ85="5",BJ85,0)</f>
        <v>0</v>
      </c>
      <c r="AB85" s="37">
        <f>IF(AQ85="1",BH85,0)</f>
        <v>0</v>
      </c>
      <c r="AC85" s="37">
        <f>IF(AQ85="1",BI85,0)</f>
        <v>0</v>
      </c>
      <c r="AD85" s="37">
        <f>IF(AQ85="7",BH85,0)</f>
        <v>0</v>
      </c>
      <c r="AE85" s="37">
        <f>IF(AQ85="7",BI85,0)</f>
        <v>0</v>
      </c>
      <c r="AF85" s="37">
        <f>IF(AQ85="2",BH85,0)</f>
        <v>0</v>
      </c>
      <c r="AG85" s="37">
        <f>IF(AQ85="2",BI85,0)</f>
        <v>0</v>
      </c>
      <c r="AH85" s="37">
        <f>IF(AQ85="0",BJ85,0)</f>
        <v>0</v>
      </c>
      <c r="AI85" s="35"/>
      <c r="AJ85" s="24">
        <f>IF(AN85=0,L85,0)</f>
        <v>0</v>
      </c>
      <c r="AK85" s="24">
        <f>IF(AN85=15,L85,0)</f>
        <v>0</v>
      </c>
      <c r="AL85" s="24">
        <f>IF(AN85=21,L85,0)</f>
        <v>0</v>
      </c>
      <c r="AN85" s="37">
        <v>21</v>
      </c>
      <c r="AO85" s="37">
        <f>I85*0</f>
        <v>0</v>
      </c>
      <c r="AP85" s="37">
        <f>I85*(1-0)</f>
        <v>0</v>
      </c>
      <c r="AQ85" s="38" t="s">
        <v>11</v>
      </c>
      <c r="AV85" s="37">
        <f>AW85+AX85</f>
        <v>0</v>
      </c>
      <c r="AW85" s="37">
        <f>H85*AO85</f>
        <v>0</v>
      </c>
      <c r="AX85" s="37">
        <f>H85*AP85</f>
        <v>0</v>
      </c>
      <c r="AY85" s="40" t="s">
        <v>365</v>
      </c>
      <c r="AZ85" s="40" t="s">
        <v>380</v>
      </c>
      <c r="BA85" s="35" t="s">
        <v>382</v>
      </c>
      <c r="BC85" s="37">
        <f>AW85+AX85</f>
        <v>0</v>
      </c>
      <c r="BD85" s="37">
        <f>I85/(100-BE85)*100</f>
        <v>0</v>
      </c>
      <c r="BE85" s="37">
        <v>0</v>
      </c>
      <c r="BF85" s="37">
        <f>N85</f>
        <v>568.65</v>
      </c>
      <c r="BH85" s="24">
        <f>H85*AO85</f>
        <v>0</v>
      </c>
      <c r="BI85" s="24">
        <f>H85*AP85</f>
        <v>0</v>
      </c>
      <c r="BJ85" s="24">
        <f>H85*I85</f>
        <v>0</v>
      </c>
      <c r="BK85" s="24" t="s">
        <v>387</v>
      </c>
      <c r="BL85" s="37" t="s">
        <v>115</v>
      </c>
    </row>
    <row r="86" spans="1:15" ht="12.75">
      <c r="A86" s="5"/>
      <c r="C86" s="18" t="s">
        <v>237</v>
      </c>
      <c r="F86" s="20" t="s">
        <v>311</v>
      </c>
      <c r="H86" s="25">
        <v>6.69</v>
      </c>
      <c r="N86" s="36"/>
      <c r="O86" s="5"/>
    </row>
    <row r="87" spans="1:47" ht="12.75">
      <c r="A87" s="6"/>
      <c r="B87" s="15" t="s">
        <v>117</v>
      </c>
      <c r="C87" s="111" t="s">
        <v>238</v>
      </c>
      <c r="D87" s="112"/>
      <c r="E87" s="112"/>
      <c r="F87" s="112"/>
      <c r="G87" s="22" t="s">
        <v>6</v>
      </c>
      <c r="H87" s="22" t="s">
        <v>6</v>
      </c>
      <c r="I87" s="22" t="s">
        <v>6</v>
      </c>
      <c r="J87" s="43">
        <f>SUM(J88:J88)</f>
        <v>0</v>
      </c>
      <c r="K87" s="43">
        <f>SUM(K88:K88)</f>
        <v>0</v>
      </c>
      <c r="L87" s="43">
        <f>SUM(L88:L88)</f>
        <v>0</v>
      </c>
      <c r="M87" s="35"/>
      <c r="N87" s="47">
        <f>SUM(N88:N88)</f>
        <v>264</v>
      </c>
      <c r="O87" s="5"/>
      <c r="AI87" s="35"/>
      <c r="AS87" s="43">
        <f>SUM(AJ88:AJ88)</f>
        <v>0</v>
      </c>
      <c r="AT87" s="43">
        <f>SUM(AK88:AK88)</f>
        <v>0</v>
      </c>
      <c r="AU87" s="43">
        <f>SUM(AL88:AL88)</f>
        <v>0</v>
      </c>
    </row>
    <row r="88" spans="1:64" ht="12.75">
      <c r="A88" s="4" t="s">
        <v>39</v>
      </c>
      <c r="B88" s="14" t="s">
        <v>118</v>
      </c>
      <c r="C88" s="113" t="s">
        <v>239</v>
      </c>
      <c r="D88" s="114"/>
      <c r="E88" s="114"/>
      <c r="F88" s="114"/>
      <c r="G88" s="14" t="s">
        <v>322</v>
      </c>
      <c r="H88" s="24">
        <v>3</v>
      </c>
      <c r="I88" s="24">
        <v>0</v>
      </c>
      <c r="J88" s="24">
        <f>H88*AO88</f>
        <v>0</v>
      </c>
      <c r="K88" s="24">
        <f>H88*AP88</f>
        <v>0</v>
      </c>
      <c r="L88" s="24">
        <f>H88*I88</f>
        <v>0</v>
      </c>
      <c r="M88" s="24">
        <v>0</v>
      </c>
      <c r="N88" s="46">
        <f>H88*88</f>
        <v>264</v>
      </c>
      <c r="O88" s="5"/>
      <c r="Z88" s="37">
        <f>IF(AQ88="5",BJ88,0)</f>
        <v>0</v>
      </c>
      <c r="AB88" s="37">
        <f>IF(AQ88="1",BH88,0)</f>
        <v>0</v>
      </c>
      <c r="AC88" s="37">
        <f>IF(AQ88="1",BI88,0)</f>
        <v>0</v>
      </c>
      <c r="AD88" s="37">
        <f>IF(AQ88="7",BH88,0)</f>
        <v>0</v>
      </c>
      <c r="AE88" s="37">
        <f>IF(AQ88="7",BI88,0)</f>
        <v>0</v>
      </c>
      <c r="AF88" s="37">
        <f>IF(AQ88="2",BH88,0)</f>
        <v>0</v>
      </c>
      <c r="AG88" s="37">
        <f>IF(AQ88="2",BI88,0)</f>
        <v>0</v>
      </c>
      <c r="AH88" s="37">
        <f>IF(AQ88="0",BJ88,0)</f>
        <v>0</v>
      </c>
      <c r="AI88" s="35"/>
      <c r="AJ88" s="24">
        <f>IF(AN88=0,L88,0)</f>
        <v>0</v>
      </c>
      <c r="AK88" s="24">
        <f>IF(AN88=15,L88,0)</f>
        <v>0</v>
      </c>
      <c r="AL88" s="24">
        <f>IF(AN88=21,L88,0)</f>
        <v>0</v>
      </c>
      <c r="AN88" s="37">
        <v>21</v>
      </c>
      <c r="AO88" s="37">
        <f>I88*0</f>
        <v>0</v>
      </c>
      <c r="AP88" s="37">
        <f>I88*(1-0)</f>
        <v>0</v>
      </c>
      <c r="AQ88" s="38" t="s">
        <v>11</v>
      </c>
      <c r="AV88" s="37">
        <f>AW88+AX88</f>
        <v>0</v>
      </c>
      <c r="AW88" s="37">
        <f>H88*AO88</f>
        <v>0</v>
      </c>
      <c r="AX88" s="37">
        <f>H88*AP88</f>
        <v>0</v>
      </c>
      <c r="AY88" s="40" t="s">
        <v>366</v>
      </c>
      <c r="AZ88" s="40" t="s">
        <v>380</v>
      </c>
      <c r="BA88" s="35" t="s">
        <v>382</v>
      </c>
      <c r="BC88" s="37">
        <f>AW88+AX88</f>
        <v>0</v>
      </c>
      <c r="BD88" s="37">
        <f>I88/(100-BE88)*100</f>
        <v>0</v>
      </c>
      <c r="BE88" s="37">
        <v>0</v>
      </c>
      <c r="BF88" s="37">
        <f>N88</f>
        <v>264</v>
      </c>
      <c r="BH88" s="24">
        <f>H88*AO88</f>
        <v>0</v>
      </c>
      <c r="BI88" s="24">
        <f>H88*AP88</f>
        <v>0</v>
      </c>
      <c r="BJ88" s="24">
        <f>H88*I88</f>
        <v>0</v>
      </c>
      <c r="BK88" s="24" t="s">
        <v>387</v>
      </c>
      <c r="BL88" s="37" t="s">
        <v>117</v>
      </c>
    </row>
    <row r="89" spans="1:47" ht="12.75">
      <c r="A89" s="6"/>
      <c r="B89" s="15" t="s">
        <v>119</v>
      </c>
      <c r="C89" s="111" t="s">
        <v>240</v>
      </c>
      <c r="D89" s="112"/>
      <c r="E89" s="112"/>
      <c r="F89" s="112"/>
      <c r="G89" s="22" t="s">
        <v>6</v>
      </c>
      <c r="H89" s="22" t="s">
        <v>6</v>
      </c>
      <c r="I89" s="22" t="s">
        <v>6</v>
      </c>
      <c r="J89" s="43">
        <f>SUM(J90:J90)</f>
        <v>0</v>
      </c>
      <c r="K89" s="43">
        <f>SUM(K90:K90)</f>
        <v>0</v>
      </c>
      <c r="L89" s="43">
        <f>SUM(L90:L90)</f>
        <v>0</v>
      </c>
      <c r="M89" s="35"/>
      <c r="N89" s="47">
        <f>SUM(N90:N90)</f>
        <v>31.499999999999996</v>
      </c>
      <c r="O89" s="5"/>
      <c r="AI89" s="35"/>
      <c r="AS89" s="43">
        <f>SUM(AJ90:AJ90)</f>
        <v>0</v>
      </c>
      <c r="AT89" s="43">
        <f>SUM(AK90:AK90)</f>
        <v>0</v>
      </c>
      <c r="AU89" s="43">
        <f>SUM(AL90:AL90)</f>
        <v>0</v>
      </c>
    </row>
    <row r="90" spans="1:64" ht="12.75">
      <c r="A90" s="4" t="s">
        <v>40</v>
      </c>
      <c r="B90" s="14" t="s">
        <v>120</v>
      </c>
      <c r="C90" s="113" t="s">
        <v>241</v>
      </c>
      <c r="D90" s="114"/>
      <c r="E90" s="114"/>
      <c r="F90" s="114"/>
      <c r="G90" s="14" t="s">
        <v>322</v>
      </c>
      <c r="H90" s="24">
        <v>0.35</v>
      </c>
      <c r="I90" s="24">
        <v>0</v>
      </c>
      <c r="J90" s="24">
        <f>H90*AO90</f>
        <v>0</v>
      </c>
      <c r="K90" s="24">
        <f>H90*AP90</f>
        <v>0</v>
      </c>
      <c r="L90" s="24">
        <f>H90*I90</f>
        <v>0</v>
      </c>
      <c r="M90" s="24">
        <v>0</v>
      </c>
      <c r="N90" s="46">
        <f>H90*90</f>
        <v>31.499999999999996</v>
      </c>
      <c r="O90" s="5"/>
      <c r="Z90" s="37">
        <f>IF(AQ90="5",BJ90,0)</f>
        <v>0</v>
      </c>
      <c r="AB90" s="37">
        <f>IF(AQ90="1",BH90,0)</f>
        <v>0</v>
      </c>
      <c r="AC90" s="37">
        <f>IF(AQ90="1",BI90,0)</f>
        <v>0</v>
      </c>
      <c r="AD90" s="37">
        <f>IF(AQ90="7",BH90,0)</f>
        <v>0</v>
      </c>
      <c r="AE90" s="37">
        <f>IF(AQ90="7",BI90,0)</f>
        <v>0</v>
      </c>
      <c r="AF90" s="37">
        <f>IF(AQ90="2",BH90,0)</f>
        <v>0</v>
      </c>
      <c r="AG90" s="37">
        <f>IF(AQ90="2",BI90,0)</f>
        <v>0</v>
      </c>
      <c r="AH90" s="37">
        <f>IF(AQ90="0",BJ90,0)</f>
        <v>0</v>
      </c>
      <c r="AI90" s="35"/>
      <c r="AJ90" s="24">
        <f>IF(AN90=0,L90,0)</f>
        <v>0</v>
      </c>
      <c r="AK90" s="24">
        <f>IF(AN90=15,L90,0)</f>
        <v>0</v>
      </c>
      <c r="AL90" s="24">
        <f>IF(AN90=21,L90,0)</f>
        <v>0</v>
      </c>
      <c r="AN90" s="37">
        <v>21</v>
      </c>
      <c r="AO90" s="37">
        <f>I90*0</f>
        <v>0</v>
      </c>
      <c r="AP90" s="37">
        <f>I90*(1-0)</f>
        <v>0</v>
      </c>
      <c r="AQ90" s="38" t="s">
        <v>11</v>
      </c>
      <c r="AV90" s="37">
        <f>AW90+AX90</f>
        <v>0</v>
      </c>
      <c r="AW90" s="37">
        <f>H90*AO90</f>
        <v>0</v>
      </c>
      <c r="AX90" s="37">
        <f>H90*AP90</f>
        <v>0</v>
      </c>
      <c r="AY90" s="40" t="s">
        <v>367</v>
      </c>
      <c r="AZ90" s="40" t="s">
        <v>380</v>
      </c>
      <c r="BA90" s="35" t="s">
        <v>382</v>
      </c>
      <c r="BC90" s="37">
        <f>AW90+AX90</f>
        <v>0</v>
      </c>
      <c r="BD90" s="37">
        <f>I90/(100-BE90)*100</f>
        <v>0</v>
      </c>
      <c r="BE90" s="37">
        <v>0</v>
      </c>
      <c r="BF90" s="37">
        <f>N90</f>
        <v>31.499999999999996</v>
      </c>
      <c r="BH90" s="24">
        <f>H90*AO90</f>
        <v>0</v>
      </c>
      <c r="BI90" s="24">
        <f>H90*AP90</f>
        <v>0</v>
      </c>
      <c r="BJ90" s="24">
        <f>H90*I90</f>
        <v>0</v>
      </c>
      <c r="BK90" s="24" t="s">
        <v>387</v>
      </c>
      <c r="BL90" s="37" t="s">
        <v>119</v>
      </c>
    </row>
    <row r="91" spans="1:15" ht="12.75">
      <c r="A91" s="5"/>
      <c r="C91" s="18" t="s">
        <v>242</v>
      </c>
      <c r="F91" s="20"/>
      <c r="H91" s="25">
        <v>0.35</v>
      </c>
      <c r="N91" s="36"/>
      <c r="O91" s="5"/>
    </row>
    <row r="92" spans="1:47" ht="12.75">
      <c r="A92" s="6"/>
      <c r="B92" s="15" t="s">
        <v>121</v>
      </c>
      <c r="C92" s="111" t="s">
        <v>221</v>
      </c>
      <c r="D92" s="112"/>
      <c r="E92" s="112"/>
      <c r="F92" s="112"/>
      <c r="G92" s="22" t="s">
        <v>6</v>
      </c>
      <c r="H92" s="22" t="s">
        <v>6</v>
      </c>
      <c r="I92" s="22" t="s">
        <v>6</v>
      </c>
      <c r="J92" s="43">
        <f>SUM(J93:J94)</f>
        <v>0</v>
      </c>
      <c r="K92" s="43">
        <f>SUM(K93:K94)</f>
        <v>0</v>
      </c>
      <c r="L92" s="43">
        <f>SUM(L93:L94)</f>
        <v>0</v>
      </c>
      <c r="M92" s="35"/>
      <c r="N92" s="47">
        <f>SUM(N93:N94)</f>
        <v>46.75</v>
      </c>
      <c r="O92" s="5"/>
      <c r="AI92" s="35"/>
      <c r="AS92" s="43">
        <f>SUM(AJ93:AJ94)</f>
        <v>0</v>
      </c>
      <c r="AT92" s="43">
        <f>SUM(AK93:AK94)</f>
        <v>0</v>
      </c>
      <c r="AU92" s="43">
        <f>SUM(AL93:AL94)</f>
        <v>0</v>
      </c>
    </row>
    <row r="93" spans="1:64" ht="12.75">
      <c r="A93" s="4" t="s">
        <v>41</v>
      </c>
      <c r="B93" s="14" t="s">
        <v>122</v>
      </c>
      <c r="C93" s="113" t="s">
        <v>243</v>
      </c>
      <c r="D93" s="114"/>
      <c r="E93" s="114"/>
      <c r="F93" s="114"/>
      <c r="G93" s="14" t="s">
        <v>322</v>
      </c>
      <c r="H93" s="24">
        <v>0.25</v>
      </c>
      <c r="I93" s="24">
        <v>0</v>
      </c>
      <c r="J93" s="24">
        <f>H93*AO93</f>
        <v>0</v>
      </c>
      <c r="K93" s="24">
        <f>H93*AP93</f>
        <v>0</v>
      </c>
      <c r="L93" s="24">
        <f>H93*I93</f>
        <v>0</v>
      </c>
      <c r="M93" s="24">
        <v>0</v>
      </c>
      <c r="N93" s="46">
        <f>H93*93</f>
        <v>23.25</v>
      </c>
      <c r="O93" s="5"/>
      <c r="Z93" s="37">
        <f>IF(AQ93="5",BJ93,0)</f>
        <v>0</v>
      </c>
      <c r="AB93" s="37">
        <f>IF(AQ93="1",BH93,0)</f>
        <v>0</v>
      </c>
      <c r="AC93" s="37">
        <f>IF(AQ93="1",BI93,0)</f>
        <v>0</v>
      </c>
      <c r="AD93" s="37">
        <f>IF(AQ93="7",BH93,0)</f>
        <v>0</v>
      </c>
      <c r="AE93" s="37">
        <f>IF(AQ93="7",BI93,0)</f>
        <v>0</v>
      </c>
      <c r="AF93" s="37">
        <f>IF(AQ93="2",BH93,0)</f>
        <v>0</v>
      </c>
      <c r="AG93" s="37">
        <f>IF(AQ93="2",BI93,0)</f>
        <v>0</v>
      </c>
      <c r="AH93" s="37">
        <f>IF(AQ93="0",BJ93,0)</f>
        <v>0</v>
      </c>
      <c r="AI93" s="35"/>
      <c r="AJ93" s="24">
        <f>IF(AN93=0,L93,0)</f>
        <v>0</v>
      </c>
      <c r="AK93" s="24">
        <f>IF(AN93=15,L93,0)</f>
        <v>0</v>
      </c>
      <c r="AL93" s="24">
        <f>IF(AN93=21,L93,0)</f>
        <v>0</v>
      </c>
      <c r="AN93" s="37">
        <v>21</v>
      </c>
      <c r="AO93" s="37">
        <f>I93*0</f>
        <v>0</v>
      </c>
      <c r="AP93" s="37">
        <f>I93*(1-0)</f>
        <v>0</v>
      </c>
      <c r="AQ93" s="38" t="s">
        <v>11</v>
      </c>
      <c r="AV93" s="37">
        <f>AW93+AX93</f>
        <v>0</v>
      </c>
      <c r="AW93" s="37">
        <f>H93*AO93</f>
        <v>0</v>
      </c>
      <c r="AX93" s="37">
        <f>H93*AP93</f>
        <v>0</v>
      </c>
      <c r="AY93" s="40" t="s">
        <v>368</v>
      </c>
      <c r="AZ93" s="40" t="s">
        <v>380</v>
      </c>
      <c r="BA93" s="35" t="s">
        <v>382</v>
      </c>
      <c r="BC93" s="37">
        <f>AW93+AX93</f>
        <v>0</v>
      </c>
      <c r="BD93" s="37">
        <f>I93/(100-BE93)*100</f>
        <v>0</v>
      </c>
      <c r="BE93" s="37">
        <v>0</v>
      </c>
      <c r="BF93" s="37">
        <f>N93</f>
        <v>23.25</v>
      </c>
      <c r="BH93" s="24">
        <f>H93*AO93</f>
        <v>0</v>
      </c>
      <c r="BI93" s="24">
        <f>H93*AP93</f>
        <v>0</v>
      </c>
      <c r="BJ93" s="24">
        <f>H93*I93</f>
        <v>0</v>
      </c>
      <c r="BK93" s="24" t="s">
        <v>387</v>
      </c>
      <c r="BL93" s="37" t="s">
        <v>121</v>
      </c>
    </row>
    <row r="94" spans="1:64" ht="12.75">
      <c r="A94" s="4" t="s">
        <v>42</v>
      </c>
      <c r="B94" s="14" t="s">
        <v>123</v>
      </c>
      <c r="C94" s="113" t="s">
        <v>244</v>
      </c>
      <c r="D94" s="114"/>
      <c r="E94" s="114"/>
      <c r="F94" s="114"/>
      <c r="G94" s="14" t="s">
        <v>322</v>
      </c>
      <c r="H94" s="24">
        <v>0.25</v>
      </c>
      <c r="I94" s="24">
        <v>0</v>
      </c>
      <c r="J94" s="24">
        <f>H94*AO94</f>
        <v>0</v>
      </c>
      <c r="K94" s="24">
        <f>H94*AP94</f>
        <v>0</v>
      </c>
      <c r="L94" s="24">
        <f>H94*I94</f>
        <v>0</v>
      </c>
      <c r="M94" s="24">
        <v>0</v>
      </c>
      <c r="N94" s="46">
        <f>H94*94</f>
        <v>23.5</v>
      </c>
      <c r="O94" s="5"/>
      <c r="Z94" s="37">
        <f>IF(AQ94="5",BJ94,0)</f>
        <v>0</v>
      </c>
      <c r="AB94" s="37">
        <f>IF(AQ94="1",BH94,0)</f>
        <v>0</v>
      </c>
      <c r="AC94" s="37">
        <f>IF(AQ94="1",BI94,0)</f>
        <v>0</v>
      </c>
      <c r="AD94" s="37">
        <f>IF(AQ94="7",BH94,0)</f>
        <v>0</v>
      </c>
      <c r="AE94" s="37">
        <f>IF(AQ94="7",BI94,0)</f>
        <v>0</v>
      </c>
      <c r="AF94" s="37">
        <f>IF(AQ94="2",BH94,0)</f>
        <v>0</v>
      </c>
      <c r="AG94" s="37">
        <f>IF(AQ94="2",BI94,0)</f>
        <v>0</v>
      </c>
      <c r="AH94" s="37">
        <f>IF(AQ94="0",BJ94,0)</f>
        <v>0</v>
      </c>
      <c r="AI94" s="35"/>
      <c r="AJ94" s="24">
        <f>IF(AN94=0,L94,0)</f>
        <v>0</v>
      </c>
      <c r="AK94" s="24">
        <f>IF(AN94=15,L94,0)</f>
        <v>0</v>
      </c>
      <c r="AL94" s="24">
        <f>IF(AN94=21,L94,0)</f>
        <v>0</v>
      </c>
      <c r="AN94" s="37">
        <v>21</v>
      </c>
      <c r="AO94" s="37">
        <f>I94*0</f>
        <v>0</v>
      </c>
      <c r="AP94" s="37">
        <f>I94*(1-0)</f>
        <v>0</v>
      </c>
      <c r="AQ94" s="38" t="s">
        <v>11</v>
      </c>
      <c r="AV94" s="37">
        <f>AW94+AX94</f>
        <v>0</v>
      </c>
      <c r="AW94" s="37">
        <f>H94*AO94</f>
        <v>0</v>
      </c>
      <c r="AX94" s="37">
        <f>H94*AP94</f>
        <v>0</v>
      </c>
      <c r="AY94" s="40" t="s">
        <v>368</v>
      </c>
      <c r="AZ94" s="40" t="s">
        <v>380</v>
      </c>
      <c r="BA94" s="35" t="s">
        <v>382</v>
      </c>
      <c r="BC94" s="37">
        <f>AW94+AX94</f>
        <v>0</v>
      </c>
      <c r="BD94" s="37">
        <f>I94/(100-BE94)*100</f>
        <v>0</v>
      </c>
      <c r="BE94" s="37">
        <v>0</v>
      </c>
      <c r="BF94" s="37">
        <f>N94</f>
        <v>23.5</v>
      </c>
      <c r="BH94" s="24">
        <f>H94*AO94</f>
        <v>0</v>
      </c>
      <c r="BI94" s="24">
        <f>H94*AP94</f>
        <v>0</v>
      </c>
      <c r="BJ94" s="24">
        <f>H94*I94</f>
        <v>0</v>
      </c>
      <c r="BK94" s="24" t="s">
        <v>387</v>
      </c>
      <c r="BL94" s="37" t="s">
        <v>121</v>
      </c>
    </row>
    <row r="95" spans="1:47" ht="12.75">
      <c r="A95" s="6"/>
      <c r="B95" s="15" t="s">
        <v>124</v>
      </c>
      <c r="C95" s="111" t="s">
        <v>245</v>
      </c>
      <c r="D95" s="112"/>
      <c r="E95" s="112"/>
      <c r="F95" s="112"/>
      <c r="G95" s="22" t="s">
        <v>6</v>
      </c>
      <c r="H95" s="22" t="s">
        <v>6</v>
      </c>
      <c r="I95" s="22" t="s">
        <v>6</v>
      </c>
      <c r="J95" s="43">
        <f>SUM(J96:J99)</f>
        <v>0</v>
      </c>
      <c r="K95" s="43">
        <f>SUM(K96:K99)</f>
        <v>0</v>
      </c>
      <c r="L95" s="43">
        <f>SUM(L96:L99)</f>
        <v>0</v>
      </c>
      <c r="M95" s="35"/>
      <c r="N95" s="47">
        <f>SUM(N96:N99)</f>
        <v>1432.8</v>
      </c>
      <c r="O95" s="5"/>
      <c r="AI95" s="35"/>
      <c r="AS95" s="43">
        <f>SUM(AJ96:AJ99)</f>
        <v>0</v>
      </c>
      <c r="AT95" s="43">
        <f>SUM(AK96:AK99)</f>
        <v>0</v>
      </c>
      <c r="AU95" s="43">
        <f>SUM(AL96:AL99)</f>
        <v>0</v>
      </c>
    </row>
    <row r="96" spans="1:64" ht="12.75">
      <c r="A96" s="4" t="s">
        <v>43</v>
      </c>
      <c r="B96" s="14" t="s">
        <v>125</v>
      </c>
      <c r="C96" s="113" t="s">
        <v>246</v>
      </c>
      <c r="D96" s="114"/>
      <c r="E96" s="114"/>
      <c r="F96" s="114"/>
      <c r="G96" s="14" t="s">
        <v>326</v>
      </c>
      <c r="H96" s="24">
        <v>1</v>
      </c>
      <c r="I96" s="24">
        <v>0</v>
      </c>
      <c r="J96" s="24">
        <f>H96*AO96</f>
        <v>0</v>
      </c>
      <c r="K96" s="24">
        <f>H96*AP96</f>
        <v>0</v>
      </c>
      <c r="L96" s="24">
        <f>H96*I96</f>
        <v>0</v>
      </c>
      <c r="M96" s="24">
        <v>0</v>
      </c>
      <c r="N96" s="46">
        <f>H96*96</f>
        <v>96</v>
      </c>
      <c r="O96" s="5"/>
      <c r="Z96" s="37">
        <f>IF(AQ96="5",BJ96,0)</f>
        <v>0</v>
      </c>
      <c r="AB96" s="37">
        <f>IF(AQ96="1",BH96,0)</f>
        <v>0</v>
      </c>
      <c r="AC96" s="37">
        <f>IF(AQ96="1",BI96,0)</f>
        <v>0</v>
      </c>
      <c r="AD96" s="37">
        <f>IF(AQ96="7",BH96,0)</f>
        <v>0</v>
      </c>
      <c r="AE96" s="37">
        <f>IF(AQ96="7",BI96,0)</f>
        <v>0</v>
      </c>
      <c r="AF96" s="37">
        <f>IF(AQ96="2",BH96,0)</f>
        <v>0</v>
      </c>
      <c r="AG96" s="37">
        <f>IF(AQ96="2",BI96,0)</f>
        <v>0</v>
      </c>
      <c r="AH96" s="37">
        <f>IF(AQ96="0",BJ96,0)</f>
        <v>0</v>
      </c>
      <c r="AI96" s="35"/>
      <c r="AJ96" s="24">
        <f>IF(AN96=0,L96,0)</f>
        <v>0</v>
      </c>
      <c r="AK96" s="24">
        <f>IF(AN96=15,L96,0)</f>
        <v>0</v>
      </c>
      <c r="AL96" s="24">
        <f>IF(AN96=21,L96,0)</f>
        <v>0</v>
      </c>
      <c r="AN96" s="37">
        <v>21</v>
      </c>
      <c r="AO96" s="37">
        <f>I96*0</f>
        <v>0</v>
      </c>
      <c r="AP96" s="37">
        <f>I96*(1-0)</f>
        <v>0</v>
      </c>
      <c r="AQ96" s="38" t="s">
        <v>11</v>
      </c>
      <c r="AV96" s="37">
        <f>AW96+AX96</f>
        <v>0</v>
      </c>
      <c r="AW96" s="37">
        <f>H96*AO96</f>
        <v>0</v>
      </c>
      <c r="AX96" s="37">
        <f>H96*AP96</f>
        <v>0</v>
      </c>
      <c r="AY96" s="40" t="s">
        <v>369</v>
      </c>
      <c r="AZ96" s="40" t="s">
        <v>380</v>
      </c>
      <c r="BA96" s="35" t="s">
        <v>382</v>
      </c>
      <c r="BC96" s="37">
        <f>AW96+AX96</f>
        <v>0</v>
      </c>
      <c r="BD96" s="37">
        <f>I96/(100-BE96)*100</f>
        <v>0</v>
      </c>
      <c r="BE96" s="37">
        <v>0</v>
      </c>
      <c r="BF96" s="37">
        <f>N96</f>
        <v>96</v>
      </c>
      <c r="BH96" s="24">
        <f>H96*AO96</f>
        <v>0</v>
      </c>
      <c r="BI96" s="24">
        <f>H96*AP96</f>
        <v>0</v>
      </c>
      <c r="BJ96" s="24">
        <f>H96*I96</f>
        <v>0</v>
      </c>
      <c r="BK96" s="24" t="s">
        <v>387</v>
      </c>
      <c r="BL96" s="37" t="s">
        <v>124</v>
      </c>
    </row>
    <row r="97" spans="1:64" ht="12.75">
      <c r="A97" s="4" t="s">
        <v>44</v>
      </c>
      <c r="B97" s="14" t="s">
        <v>126</v>
      </c>
      <c r="C97" s="113" t="s">
        <v>247</v>
      </c>
      <c r="D97" s="114"/>
      <c r="E97" s="114"/>
      <c r="F97" s="114"/>
      <c r="G97" s="14" t="s">
        <v>325</v>
      </c>
      <c r="H97" s="24">
        <v>6</v>
      </c>
      <c r="I97" s="24">
        <v>0</v>
      </c>
      <c r="J97" s="24">
        <f>H97*AO97</f>
        <v>0</v>
      </c>
      <c r="K97" s="24">
        <f>H97*AP97</f>
        <v>0</v>
      </c>
      <c r="L97" s="24">
        <f>H97*I97</f>
        <v>0</v>
      </c>
      <c r="M97" s="24">
        <v>0</v>
      </c>
      <c r="N97" s="46">
        <f>H97*97</f>
        <v>582</v>
      </c>
      <c r="O97" s="5"/>
      <c r="Z97" s="37">
        <f>IF(AQ97="5",BJ97,0)</f>
        <v>0</v>
      </c>
      <c r="AB97" s="37">
        <f>IF(AQ97="1",BH97,0)</f>
        <v>0</v>
      </c>
      <c r="AC97" s="37">
        <f>IF(AQ97="1",BI97,0)</f>
        <v>0</v>
      </c>
      <c r="AD97" s="37">
        <f>IF(AQ97="7",BH97,0)</f>
        <v>0</v>
      </c>
      <c r="AE97" s="37">
        <f>IF(AQ97="7",BI97,0)</f>
        <v>0</v>
      </c>
      <c r="AF97" s="37">
        <f>IF(AQ97="2",BH97,0)</f>
        <v>0</v>
      </c>
      <c r="AG97" s="37">
        <f>IF(AQ97="2",BI97,0)</f>
        <v>0</v>
      </c>
      <c r="AH97" s="37">
        <f>IF(AQ97="0",BJ97,0)</f>
        <v>0</v>
      </c>
      <c r="AI97" s="35"/>
      <c r="AJ97" s="24">
        <f>IF(AN97=0,L97,0)</f>
        <v>0</v>
      </c>
      <c r="AK97" s="24">
        <f>IF(AN97=15,L97,0)</f>
        <v>0</v>
      </c>
      <c r="AL97" s="24">
        <f>IF(AN97=21,L97,0)</f>
        <v>0</v>
      </c>
      <c r="AN97" s="37">
        <v>21</v>
      </c>
      <c r="AO97" s="37">
        <f>I97*0</f>
        <v>0</v>
      </c>
      <c r="AP97" s="37">
        <f>I97*(1-0)</f>
        <v>0</v>
      </c>
      <c r="AQ97" s="38" t="s">
        <v>11</v>
      </c>
      <c r="AV97" s="37">
        <f>AW97+AX97</f>
        <v>0</v>
      </c>
      <c r="AW97" s="37">
        <f>H97*AO97</f>
        <v>0</v>
      </c>
      <c r="AX97" s="37">
        <f>H97*AP97</f>
        <v>0</v>
      </c>
      <c r="AY97" s="40" t="s">
        <v>369</v>
      </c>
      <c r="AZ97" s="40" t="s">
        <v>380</v>
      </c>
      <c r="BA97" s="35" t="s">
        <v>382</v>
      </c>
      <c r="BC97" s="37">
        <f>AW97+AX97</f>
        <v>0</v>
      </c>
      <c r="BD97" s="37">
        <f>I97/(100-BE97)*100</f>
        <v>0</v>
      </c>
      <c r="BE97" s="37">
        <v>0</v>
      </c>
      <c r="BF97" s="37">
        <f>N97</f>
        <v>582</v>
      </c>
      <c r="BH97" s="24">
        <f>H97*AO97</f>
        <v>0</v>
      </c>
      <c r="BI97" s="24">
        <f>H97*AP97</f>
        <v>0</v>
      </c>
      <c r="BJ97" s="24">
        <f>H97*I97</f>
        <v>0</v>
      </c>
      <c r="BK97" s="24" t="s">
        <v>387</v>
      </c>
      <c r="BL97" s="37" t="s">
        <v>124</v>
      </c>
    </row>
    <row r="98" spans="1:64" ht="12.75">
      <c r="A98" s="4" t="s">
        <v>45</v>
      </c>
      <c r="B98" s="14" t="s">
        <v>127</v>
      </c>
      <c r="C98" s="113" t="s">
        <v>248</v>
      </c>
      <c r="D98" s="114"/>
      <c r="E98" s="114"/>
      <c r="F98" s="114"/>
      <c r="G98" s="14" t="s">
        <v>327</v>
      </c>
      <c r="H98" s="24">
        <v>7.5</v>
      </c>
      <c r="I98" s="24">
        <v>0</v>
      </c>
      <c r="J98" s="24">
        <f>H98*AO98</f>
        <v>0</v>
      </c>
      <c r="K98" s="24">
        <f>H98*AP98</f>
        <v>0</v>
      </c>
      <c r="L98" s="24">
        <f>H98*I98</f>
        <v>0</v>
      </c>
      <c r="M98" s="24">
        <v>0</v>
      </c>
      <c r="N98" s="46">
        <f>H98*98</f>
        <v>735</v>
      </c>
      <c r="O98" s="5"/>
      <c r="Z98" s="37">
        <f>IF(AQ98="5",BJ98,0)</f>
        <v>0</v>
      </c>
      <c r="AB98" s="37">
        <f>IF(AQ98="1",BH98,0)</f>
        <v>0</v>
      </c>
      <c r="AC98" s="37">
        <f>IF(AQ98="1",BI98,0)</f>
        <v>0</v>
      </c>
      <c r="AD98" s="37">
        <f>IF(AQ98="7",BH98,0)</f>
        <v>0</v>
      </c>
      <c r="AE98" s="37">
        <f>IF(AQ98="7",BI98,0)</f>
        <v>0</v>
      </c>
      <c r="AF98" s="37">
        <f>IF(AQ98="2",BH98,0)</f>
        <v>0</v>
      </c>
      <c r="AG98" s="37">
        <f>IF(AQ98="2",BI98,0)</f>
        <v>0</v>
      </c>
      <c r="AH98" s="37">
        <f>IF(AQ98="0",BJ98,0)</f>
        <v>0</v>
      </c>
      <c r="AI98" s="35"/>
      <c r="AJ98" s="24">
        <f>IF(AN98=0,L98,0)</f>
        <v>0</v>
      </c>
      <c r="AK98" s="24">
        <f>IF(AN98=15,L98,0)</f>
        <v>0</v>
      </c>
      <c r="AL98" s="24">
        <f>IF(AN98=21,L98,0)</f>
        <v>0</v>
      </c>
      <c r="AN98" s="37">
        <v>21</v>
      </c>
      <c r="AO98" s="37">
        <f>I98*0</f>
        <v>0</v>
      </c>
      <c r="AP98" s="37">
        <f>I98*(1-0)</f>
        <v>0</v>
      </c>
      <c r="AQ98" s="38" t="s">
        <v>11</v>
      </c>
      <c r="AV98" s="37">
        <f>AW98+AX98</f>
        <v>0</v>
      </c>
      <c r="AW98" s="37">
        <f>H98*AO98</f>
        <v>0</v>
      </c>
      <c r="AX98" s="37">
        <f>H98*AP98</f>
        <v>0</v>
      </c>
      <c r="AY98" s="40" t="s">
        <v>369</v>
      </c>
      <c r="AZ98" s="40" t="s">
        <v>380</v>
      </c>
      <c r="BA98" s="35" t="s">
        <v>382</v>
      </c>
      <c r="BC98" s="37">
        <f>AW98+AX98</f>
        <v>0</v>
      </c>
      <c r="BD98" s="37">
        <f>I98/(100-BE98)*100</f>
        <v>0</v>
      </c>
      <c r="BE98" s="37">
        <v>0</v>
      </c>
      <c r="BF98" s="37">
        <f>N98</f>
        <v>735</v>
      </c>
      <c r="BH98" s="24">
        <f>H98*AO98</f>
        <v>0</v>
      </c>
      <c r="BI98" s="24">
        <f>H98*AP98</f>
        <v>0</v>
      </c>
      <c r="BJ98" s="24">
        <f>H98*I98</f>
        <v>0</v>
      </c>
      <c r="BK98" s="24" t="s">
        <v>387</v>
      </c>
      <c r="BL98" s="37" t="s">
        <v>124</v>
      </c>
    </row>
    <row r="99" spans="1:64" ht="12.75">
      <c r="A99" s="4" t="s">
        <v>46</v>
      </c>
      <c r="B99" s="14" t="s">
        <v>128</v>
      </c>
      <c r="C99" s="113" t="s">
        <v>249</v>
      </c>
      <c r="D99" s="114"/>
      <c r="E99" s="114"/>
      <c r="F99" s="114"/>
      <c r="G99" s="14" t="s">
        <v>322</v>
      </c>
      <c r="H99" s="24">
        <v>0.2</v>
      </c>
      <c r="I99" s="24">
        <v>0</v>
      </c>
      <c r="J99" s="24">
        <f>H99*AO99</f>
        <v>0</v>
      </c>
      <c r="K99" s="24">
        <f>H99*AP99</f>
        <v>0</v>
      </c>
      <c r="L99" s="24">
        <f>H99*I99</f>
        <v>0</v>
      </c>
      <c r="M99" s="24">
        <v>0</v>
      </c>
      <c r="N99" s="46">
        <f>H99*99</f>
        <v>19.8</v>
      </c>
      <c r="O99" s="5"/>
      <c r="Z99" s="37">
        <f>IF(AQ99="5",BJ99,0)</f>
        <v>0</v>
      </c>
      <c r="AB99" s="37">
        <f>IF(AQ99="1",BH99,0)</f>
        <v>0</v>
      </c>
      <c r="AC99" s="37">
        <f>IF(AQ99="1",BI99,0)</f>
        <v>0</v>
      </c>
      <c r="AD99" s="37">
        <f>IF(AQ99="7",BH99,0)</f>
        <v>0</v>
      </c>
      <c r="AE99" s="37">
        <f>IF(AQ99="7",BI99,0)</f>
        <v>0</v>
      </c>
      <c r="AF99" s="37">
        <f>IF(AQ99="2",BH99,0)</f>
        <v>0</v>
      </c>
      <c r="AG99" s="37">
        <f>IF(AQ99="2",BI99,0)</f>
        <v>0</v>
      </c>
      <c r="AH99" s="37">
        <f>IF(AQ99="0",BJ99,0)</f>
        <v>0</v>
      </c>
      <c r="AI99" s="35"/>
      <c r="AJ99" s="24">
        <f>IF(AN99=0,L99,0)</f>
        <v>0</v>
      </c>
      <c r="AK99" s="24">
        <f>IF(AN99=15,L99,0)</f>
        <v>0</v>
      </c>
      <c r="AL99" s="24">
        <f>IF(AN99=21,L99,0)</f>
        <v>0</v>
      </c>
      <c r="AN99" s="37">
        <v>21</v>
      </c>
      <c r="AO99" s="37">
        <f>I99*0</f>
        <v>0</v>
      </c>
      <c r="AP99" s="37">
        <f>I99*(1-0)</f>
        <v>0</v>
      </c>
      <c r="AQ99" s="38" t="s">
        <v>11</v>
      </c>
      <c r="AV99" s="37">
        <f>AW99+AX99</f>
        <v>0</v>
      </c>
      <c r="AW99" s="37">
        <f>H99*AO99</f>
        <v>0</v>
      </c>
      <c r="AX99" s="37">
        <f>H99*AP99</f>
        <v>0</v>
      </c>
      <c r="AY99" s="40" t="s">
        <v>369</v>
      </c>
      <c r="AZ99" s="40" t="s">
        <v>380</v>
      </c>
      <c r="BA99" s="35" t="s">
        <v>382</v>
      </c>
      <c r="BC99" s="37">
        <f>AW99+AX99</f>
        <v>0</v>
      </c>
      <c r="BD99" s="37">
        <f>I99/(100-BE99)*100</f>
        <v>0</v>
      </c>
      <c r="BE99" s="37">
        <v>0</v>
      </c>
      <c r="BF99" s="37">
        <f>N99</f>
        <v>19.8</v>
      </c>
      <c r="BH99" s="24">
        <f>H99*AO99</f>
        <v>0</v>
      </c>
      <c r="BI99" s="24">
        <f>H99*AP99</f>
        <v>0</v>
      </c>
      <c r="BJ99" s="24">
        <f>H99*I99</f>
        <v>0</v>
      </c>
      <c r="BK99" s="24" t="s">
        <v>387</v>
      </c>
      <c r="BL99" s="37" t="s">
        <v>124</v>
      </c>
    </row>
    <row r="100" spans="1:47" ht="12.75">
      <c r="A100" s="6"/>
      <c r="B100" s="15" t="s">
        <v>129</v>
      </c>
      <c r="C100" s="111" t="s">
        <v>250</v>
      </c>
      <c r="D100" s="112"/>
      <c r="E100" s="112"/>
      <c r="F100" s="112"/>
      <c r="G100" s="22" t="s">
        <v>6</v>
      </c>
      <c r="H100" s="22" t="s">
        <v>6</v>
      </c>
      <c r="I100" s="22" t="s">
        <v>6</v>
      </c>
      <c r="J100" s="43">
        <f>SUM(J101:J108)</f>
        <v>0</v>
      </c>
      <c r="K100" s="43">
        <f>SUM(K101:K108)</f>
        <v>0</v>
      </c>
      <c r="L100" s="43">
        <f>SUM(L101:L108)</f>
        <v>0</v>
      </c>
      <c r="M100" s="35"/>
      <c r="N100" s="47">
        <f>SUM(N101:N108)</f>
        <v>87504</v>
      </c>
      <c r="O100" s="5"/>
      <c r="AI100" s="35"/>
      <c r="AS100" s="43">
        <f>SUM(AJ101:AJ108)</f>
        <v>0</v>
      </c>
      <c r="AT100" s="43">
        <f>SUM(AK101:AK108)</f>
        <v>0</v>
      </c>
      <c r="AU100" s="43">
        <f>SUM(AL101:AL108)</f>
        <v>0</v>
      </c>
    </row>
    <row r="101" spans="1:64" ht="12.75">
      <c r="A101" s="4" t="s">
        <v>47</v>
      </c>
      <c r="B101" s="14" t="s">
        <v>130</v>
      </c>
      <c r="C101" s="113" t="s">
        <v>251</v>
      </c>
      <c r="D101" s="114"/>
      <c r="E101" s="114"/>
      <c r="F101" s="114"/>
      <c r="G101" s="14" t="s">
        <v>324</v>
      </c>
      <c r="H101" s="24">
        <v>267</v>
      </c>
      <c r="I101" s="24">
        <v>0</v>
      </c>
      <c r="J101" s="24">
        <f>H101*AO101</f>
        <v>0</v>
      </c>
      <c r="K101" s="24">
        <f>H101*AP101</f>
        <v>0</v>
      </c>
      <c r="L101" s="24">
        <f>H101*I101</f>
        <v>0</v>
      </c>
      <c r="M101" s="24">
        <v>0.0005</v>
      </c>
      <c r="N101" s="46">
        <f>H101*101</f>
        <v>26967</v>
      </c>
      <c r="O101" s="5"/>
      <c r="Z101" s="37">
        <f>IF(AQ101="5",BJ101,0)</f>
        <v>0</v>
      </c>
      <c r="AB101" s="37">
        <f>IF(AQ101="1",BH101,0)</f>
        <v>0</v>
      </c>
      <c r="AC101" s="37">
        <f>IF(AQ101="1",BI101,0)</f>
        <v>0</v>
      </c>
      <c r="AD101" s="37">
        <f>IF(AQ101="7",BH101,0)</f>
        <v>0</v>
      </c>
      <c r="AE101" s="37">
        <f>IF(AQ101="7",BI101,0)</f>
        <v>0</v>
      </c>
      <c r="AF101" s="37">
        <f>IF(AQ101="2",BH101,0)</f>
        <v>0</v>
      </c>
      <c r="AG101" s="37">
        <f>IF(AQ101="2",BI101,0)</f>
        <v>0</v>
      </c>
      <c r="AH101" s="37">
        <f>IF(AQ101="0",BJ101,0)</f>
        <v>0</v>
      </c>
      <c r="AI101" s="35"/>
      <c r="AJ101" s="24">
        <f>IF(AN101=0,L101,0)</f>
        <v>0</v>
      </c>
      <c r="AK101" s="24">
        <f>IF(AN101=15,L101,0)</f>
        <v>0</v>
      </c>
      <c r="AL101" s="24">
        <f>IF(AN101=21,L101,0)</f>
        <v>0</v>
      </c>
      <c r="AN101" s="37">
        <v>21</v>
      </c>
      <c r="AO101" s="37">
        <f>I101*0.263746478465576</f>
        <v>0</v>
      </c>
      <c r="AP101" s="37">
        <f>I101*(1-0.263746478465576)</f>
        <v>0</v>
      </c>
      <c r="AQ101" s="38" t="s">
        <v>7</v>
      </c>
      <c r="AV101" s="37">
        <f>AW101+AX101</f>
        <v>0</v>
      </c>
      <c r="AW101" s="37">
        <f>H101*AO101</f>
        <v>0</v>
      </c>
      <c r="AX101" s="37">
        <f>H101*AP101</f>
        <v>0</v>
      </c>
      <c r="AY101" s="40" t="s">
        <v>370</v>
      </c>
      <c r="AZ101" s="40" t="s">
        <v>380</v>
      </c>
      <c r="BA101" s="35" t="s">
        <v>382</v>
      </c>
      <c r="BC101" s="37">
        <f>AW101+AX101</f>
        <v>0</v>
      </c>
      <c r="BD101" s="37">
        <f>I101/(100-BE101)*100</f>
        <v>0</v>
      </c>
      <c r="BE101" s="37">
        <v>0</v>
      </c>
      <c r="BF101" s="37">
        <f>N101</f>
        <v>26967</v>
      </c>
      <c r="BH101" s="24">
        <f>H101*AO101</f>
        <v>0</v>
      </c>
      <c r="BI101" s="24">
        <f>H101*AP101</f>
        <v>0</v>
      </c>
      <c r="BJ101" s="24">
        <f>H101*I101</f>
        <v>0</v>
      </c>
      <c r="BK101" s="24" t="s">
        <v>387</v>
      </c>
      <c r="BL101" s="37" t="s">
        <v>129</v>
      </c>
    </row>
    <row r="102" spans="1:15" ht="12.75">
      <c r="A102" s="5"/>
      <c r="C102" s="18" t="s">
        <v>252</v>
      </c>
      <c r="F102" s="20"/>
      <c r="H102" s="25">
        <v>267</v>
      </c>
      <c r="N102" s="36"/>
      <c r="O102" s="5"/>
    </row>
    <row r="103" spans="1:64" ht="12.75">
      <c r="A103" s="4" t="s">
        <v>48</v>
      </c>
      <c r="B103" s="14" t="s">
        <v>131</v>
      </c>
      <c r="C103" s="113" t="s">
        <v>253</v>
      </c>
      <c r="D103" s="114"/>
      <c r="E103" s="114"/>
      <c r="F103" s="114"/>
      <c r="G103" s="14" t="s">
        <v>321</v>
      </c>
      <c r="H103" s="24">
        <v>48</v>
      </c>
      <c r="I103" s="24">
        <v>0</v>
      </c>
      <c r="J103" s="24">
        <f>H103*AO103</f>
        <v>0</v>
      </c>
      <c r="K103" s="24">
        <f>H103*AP103</f>
        <v>0</v>
      </c>
      <c r="L103" s="24">
        <f>H103*I103</f>
        <v>0</v>
      </c>
      <c r="M103" s="24">
        <v>0</v>
      </c>
      <c r="N103" s="46">
        <f>H103*103</f>
        <v>4944</v>
      </c>
      <c r="O103" s="5"/>
      <c r="Z103" s="37">
        <f>IF(AQ103="5",BJ103,0)</f>
        <v>0</v>
      </c>
      <c r="AB103" s="37">
        <f>IF(AQ103="1",BH103,0)</f>
        <v>0</v>
      </c>
      <c r="AC103" s="37">
        <f>IF(AQ103="1",BI103,0)</f>
        <v>0</v>
      </c>
      <c r="AD103" s="37">
        <f>IF(AQ103="7",BH103,0)</f>
        <v>0</v>
      </c>
      <c r="AE103" s="37">
        <f>IF(AQ103="7",BI103,0)</f>
        <v>0</v>
      </c>
      <c r="AF103" s="37">
        <f>IF(AQ103="2",BH103,0)</f>
        <v>0</v>
      </c>
      <c r="AG103" s="37">
        <f>IF(AQ103="2",BI103,0)</f>
        <v>0</v>
      </c>
      <c r="AH103" s="37">
        <f>IF(AQ103="0",BJ103,0)</f>
        <v>0</v>
      </c>
      <c r="AI103" s="35"/>
      <c r="AJ103" s="24">
        <f>IF(AN103=0,L103,0)</f>
        <v>0</v>
      </c>
      <c r="AK103" s="24">
        <f>IF(AN103=15,L103,0)</f>
        <v>0</v>
      </c>
      <c r="AL103" s="24">
        <f>IF(AN103=21,L103,0)</f>
        <v>0</v>
      </c>
      <c r="AN103" s="37">
        <v>21</v>
      </c>
      <c r="AO103" s="37">
        <f>I103*0</f>
        <v>0</v>
      </c>
      <c r="AP103" s="37">
        <f>I103*(1-0)</f>
        <v>0</v>
      </c>
      <c r="AQ103" s="38" t="s">
        <v>8</v>
      </c>
      <c r="AV103" s="37">
        <f>AW103+AX103</f>
        <v>0</v>
      </c>
      <c r="AW103" s="37">
        <f>H103*AO103</f>
        <v>0</v>
      </c>
      <c r="AX103" s="37">
        <f>H103*AP103</f>
        <v>0</v>
      </c>
      <c r="AY103" s="40" t="s">
        <v>370</v>
      </c>
      <c r="AZ103" s="40" t="s">
        <v>380</v>
      </c>
      <c r="BA103" s="35" t="s">
        <v>382</v>
      </c>
      <c r="BC103" s="37">
        <f>AW103+AX103</f>
        <v>0</v>
      </c>
      <c r="BD103" s="37">
        <f>I103/(100-BE103)*100</f>
        <v>0</v>
      </c>
      <c r="BE103" s="37">
        <v>0</v>
      </c>
      <c r="BF103" s="37">
        <f>N103</f>
        <v>4944</v>
      </c>
      <c r="BH103" s="24">
        <f>H103*AO103</f>
        <v>0</v>
      </c>
      <c r="BI103" s="24">
        <f>H103*AP103</f>
        <v>0</v>
      </c>
      <c r="BJ103" s="24">
        <f>H103*I103</f>
        <v>0</v>
      </c>
      <c r="BK103" s="24" t="s">
        <v>387</v>
      </c>
      <c r="BL103" s="37" t="s">
        <v>129</v>
      </c>
    </row>
    <row r="104" spans="1:15" ht="12.75">
      <c r="A104" s="5"/>
      <c r="C104" s="18" t="s">
        <v>254</v>
      </c>
      <c r="F104" s="20" t="s">
        <v>312</v>
      </c>
      <c r="H104" s="25">
        <v>48</v>
      </c>
      <c r="N104" s="36"/>
      <c r="O104" s="5"/>
    </row>
    <row r="105" spans="1:64" ht="12.75">
      <c r="A105" s="4" t="s">
        <v>49</v>
      </c>
      <c r="B105" s="14" t="s">
        <v>132</v>
      </c>
      <c r="C105" s="113" t="s">
        <v>255</v>
      </c>
      <c r="D105" s="114"/>
      <c r="E105" s="114"/>
      <c r="F105" s="114"/>
      <c r="G105" s="14" t="s">
        <v>321</v>
      </c>
      <c r="H105" s="24">
        <v>1</v>
      </c>
      <c r="I105" s="24">
        <v>0</v>
      </c>
      <c r="J105" s="24">
        <f>H105*AO105</f>
        <v>0</v>
      </c>
      <c r="K105" s="24">
        <f>H105*AP105</f>
        <v>0</v>
      </c>
      <c r="L105" s="24">
        <f>H105*I105</f>
        <v>0</v>
      </c>
      <c r="M105" s="24">
        <v>0</v>
      </c>
      <c r="N105" s="46">
        <f>H105*105</f>
        <v>105</v>
      </c>
      <c r="O105" s="5"/>
      <c r="Z105" s="37">
        <f>IF(AQ105="5",BJ105,0)</f>
        <v>0</v>
      </c>
      <c r="AB105" s="37">
        <f>IF(AQ105="1",BH105,0)</f>
        <v>0</v>
      </c>
      <c r="AC105" s="37">
        <f>IF(AQ105="1",BI105,0)</f>
        <v>0</v>
      </c>
      <c r="AD105" s="37">
        <f>IF(AQ105="7",BH105,0)</f>
        <v>0</v>
      </c>
      <c r="AE105" s="37">
        <f>IF(AQ105="7",BI105,0)</f>
        <v>0</v>
      </c>
      <c r="AF105" s="37">
        <f>IF(AQ105="2",BH105,0)</f>
        <v>0</v>
      </c>
      <c r="AG105" s="37">
        <f>IF(AQ105="2",BI105,0)</f>
        <v>0</v>
      </c>
      <c r="AH105" s="37">
        <f>IF(AQ105="0",BJ105,0)</f>
        <v>0</v>
      </c>
      <c r="AI105" s="35"/>
      <c r="AJ105" s="24">
        <f>IF(AN105=0,L105,0)</f>
        <v>0</v>
      </c>
      <c r="AK105" s="24">
        <f>IF(AN105=15,L105,0)</f>
        <v>0</v>
      </c>
      <c r="AL105" s="24">
        <f>IF(AN105=21,L105,0)</f>
        <v>0</v>
      </c>
      <c r="AN105" s="37">
        <v>21</v>
      </c>
      <c r="AO105" s="37">
        <f>I105*0</f>
        <v>0</v>
      </c>
      <c r="AP105" s="37">
        <f>I105*(1-0)</f>
        <v>0</v>
      </c>
      <c r="AQ105" s="38" t="s">
        <v>8</v>
      </c>
      <c r="AV105" s="37">
        <f>AW105+AX105</f>
        <v>0</v>
      </c>
      <c r="AW105" s="37">
        <f>H105*AO105</f>
        <v>0</v>
      </c>
      <c r="AX105" s="37">
        <f>H105*AP105</f>
        <v>0</v>
      </c>
      <c r="AY105" s="40" t="s">
        <v>370</v>
      </c>
      <c r="AZ105" s="40" t="s">
        <v>380</v>
      </c>
      <c r="BA105" s="35" t="s">
        <v>382</v>
      </c>
      <c r="BC105" s="37">
        <f>AW105+AX105</f>
        <v>0</v>
      </c>
      <c r="BD105" s="37">
        <f>I105/(100-BE105)*100</f>
        <v>0</v>
      </c>
      <c r="BE105" s="37">
        <v>0</v>
      </c>
      <c r="BF105" s="37">
        <f>N105</f>
        <v>105</v>
      </c>
      <c r="BH105" s="24">
        <f>H105*AO105</f>
        <v>0</v>
      </c>
      <c r="BI105" s="24">
        <f>H105*AP105</f>
        <v>0</v>
      </c>
      <c r="BJ105" s="24">
        <f>H105*I105</f>
        <v>0</v>
      </c>
      <c r="BK105" s="24" t="s">
        <v>387</v>
      </c>
      <c r="BL105" s="37" t="s">
        <v>129</v>
      </c>
    </row>
    <row r="106" spans="1:64" ht="12.75">
      <c r="A106" s="4" t="s">
        <v>50</v>
      </c>
      <c r="B106" s="14" t="s">
        <v>133</v>
      </c>
      <c r="C106" s="113" t="s">
        <v>256</v>
      </c>
      <c r="D106" s="114"/>
      <c r="E106" s="114"/>
      <c r="F106" s="114"/>
      <c r="G106" s="14" t="s">
        <v>324</v>
      </c>
      <c r="H106" s="24">
        <v>260</v>
      </c>
      <c r="I106" s="24">
        <v>0</v>
      </c>
      <c r="J106" s="24">
        <f>H106*AO106</f>
        <v>0</v>
      </c>
      <c r="K106" s="24">
        <f>H106*AP106</f>
        <v>0</v>
      </c>
      <c r="L106" s="24">
        <f>H106*I106</f>
        <v>0</v>
      </c>
      <c r="M106" s="24">
        <v>0</v>
      </c>
      <c r="N106" s="46">
        <f>H106*106</f>
        <v>27560</v>
      </c>
      <c r="O106" s="5"/>
      <c r="Z106" s="37">
        <f>IF(AQ106="5",BJ106,0)</f>
        <v>0</v>
      </c>
      <c r="AB106" s="37">
        <f>IF(AQ106="1",BH106,0)</f>
        <v>0</v>
      </c>
      <c r="AC106" s="37">
        <f>IF(AQ106="1",BI106,0)</f>
        <v>0</v>
      </c>
      <c r="AD106" s="37">
        <f>IF(AQ106="7",BH106,0)</f>
        <v>0</v>
      </c>
      <c r="AE106" s="37">
        <f>IF(AQ106="7",BI106,0)</f>
        <v>0</v>
      </c>
      <c r="AF106" s="37">
        <f>IF(AQ106="2",BH106,0)</f>
        <v>0</v>
      </c>
      <c r="AG106" s="37">
        <f>IF(AQ106="2",BI106,0)</f>
        <v>0</v>
      </c>
      <c r="AH106" s="37">
        <f>IF(AQ106="0",BJ106,0)</f>
        <v>0</v>
      </c>
      <c r="AI106" s="35"/>
      <c r="AJ106" s="24">
        <f>IF(AN106=0,L106,0)</f>
        <v>0</v>
      </c>
      <c r="AK106" s="24">
        <f>IF(AN106=15,L106,0)</f>
        <v>0</v>
      </c>
      <c r="AL106" s="24">
        <f>IF(AN106=21,L106,0)</f>
        <v>0</v>
      </c>
      <c r="AN106" s="37">
        <v>21</v>
      </c>
      <c r="AO106" s="37">
        <f>I106*0</f>
        <v>0</v>
      </c>
      <c r="AP106" s="37">
        <f>I106*(1-0)</f>
        <v>0</v>
      </c>
      <c r="AQ106" s="38" t="s">
        <v>8</v>
      </c>
      <c r="AV106" s="37">
        <f>AW106+AX106</f>
        <v>0</v>
      </c>
      <c r="AW106" s="37">
        <f>H106*AO106</f>
        <v>0</v>
      </c>
      <c r="AX106" s="37">
        <f>H106*AP106</f>
        <v>0</v>
      </c>
      <c r="AY106" s="40" t="s">
        <v>370</v>
      </c>
      <c r="AZ106" s="40" t="s">
        <v>380</v>
      </c>
      <c r="BA106" s="35" t="s">
        <v>382</v>
      </c>
      <c r="BC106" s="37">
        <f>AW106+AX106</f>
        <v>0</v>
      </c>
      <c r="BD106" s="37">
        <f>I106/(100-BE106)*100</f>
        <v>0</v>
      </c>
      <c r="BE106" s="37">
        <v>0</v>
      </c>
      <c r="BF106" s="37">
        <f>N106</f>
        <v>27560</v>
      </c>
      <c r="BH106" s="24">
        <f>H106*AO106</f>
        <v>0</v>
      </c>
      <c r="BI106" s="24">
        <f>H106*AP106</f>
        <v>0</v>
      </c>
      <c r="BJ106" s="24">
        <f>H106*I106</f>
        <v>0</v>
      </c>
      <c r="BK106" s="24" t="s">
        <v>387</v>
      </c>
      <c r="BL106" s="37" t="s">
        <v>129</v>
      </c>
    </row>
    <row r="107" spans="1:64" ht="12.75">
      <c r="A107" s="4" t="s">
        <v>51</v>
      </c>
      <c r="B107" s="14" t="s">
        <v>134</v>
      </c>
      <c r="C107" s="113" t="s">
        <v>257</v>
      </c>
      <c r="D107" s="114"/>
      <c r="E107" s="114"/>
      <c r="F107" s="114"/>
      <c r="G107" s="14" t="s">
        <v>324</v>
      </c>
      <c r="H107" s="24">
        <v>260</v>
      </c>
      <c r="I107" s="24">
        <v>0</v>
      </c>
      <c r="J107" s="24">
        <f>H107*AO107</f>
        <v>0</v>
      </c>
      <c r="K107" s="24">
        <f>H107*AP107</f>
        <v>0</v>
      </c>
      <c r="L107" s="24">
        <f>H107*I107</f>
        <v>0</v>
      </c>
      <c r="M107" s="24">
        <v>0</v>
      </c>
      <c r="N107" s="46">
        <f>H107*107</f>
        <v>27820</v>
      </c>
      <c r="O107" s="5"/>
      <c r="Z107" s="37">
        <f>IF(AQ107="5",BJ107,0)</f>
        <v>0</v>
      </c>
      <c r="AB107" s="37">
        <f>IF(AQ107="1",BH107,0)</f>
        <v>0</v>
      </c>
      <c r="AC107" s="37">
        <f>IF(AQ107="1",BI107,0)</f>
        <v>0</v>
      </c>
      <c r="AD107" s="37">
        <f>IF(AQ107="7",BH107,0)</f>
        <v>0</v>
      </c>
      <c r="AE107" s="37">
        <f>IF(AQ107="7",BI107,0)</f>
        <v>0</v>
      </c>
      <c r="AF107" s="37">
        <f>IF(AQ107="2",BH107,0)</f>
        <v>0</v>
      </c>
      <c r="AG107" s="37">
        <f>IF(AQ107="2",BI107,0)</f>
        <v>0</v>
      </c>
      <c r="AH107" s="37">
        <f>IF(AQ107="0",BJ107,0)</f>
        <v>0</v>
      </c>
      <c r="AI107" s="35"/>
      <c r="AJ107" s="24">
        <f>IF(AN107=0,L107,0)</f>
        <v>0</v>
      </c>
      <c r="AK107" s="24">
        <f>IF(AN107=15,L107,0)</f>
        <v>0</v>
      </c>
      <c r="AL107" s="24">
        <f>IF(AN107=21,L107,0)</f>
        <v>0</v>
      </c>
      <c r="AN107" s="37">
        <v>21</v>
      </c>
      <c r="AO107" s="37">
        <f>I107*0</f>
        <v>0</v>
      </c>
      <c r="AP107" s="37">
        <f>I107*(1-0)</f>
        <v>0</v>
      </c>
      <c r="AQ107" s="38" t="s">
        <v>8</v>
      </c>
      <c r="AV107" s="37">
        <f>AW107+AX107</f>
        <v>0</v>
      </c>
      <c r="AW107" s="37">
        <f>H107*AO107</f>
        <v>0</v>
      </c>
      <c r="AX107" s="37">
        <f>H107*AP107</f>
        <v>0</v>
      </c>
      <c r="AY107" s="40" t="s">
        <v>370</v>
      </c>
      <c r="AZ107" s="40" t="s">
        <v>380</v>
      </c>
      <c r="BA107" s="35" t="s">
        <v>382</v>
      </c>
      <c r="BC107" s="37">
        <f>AW107+AX107</f>
        <v>0</v>
      </c>
      <c r="BD107" s="37">
        <f>I107/(100-BE107)*100</f>
        <v>0</v>
      </c>
      <c r="BE107" s="37">
        <v>0</v>
      </c>
      <c r="BF107" s="37">
        <f>N107</f>
        <v>27820</v>
      </c>
      <c r="BH107" s="24">
        <f>H107*AO107</f>
        <v>0</v>
      </c>
      <c r="BI107" s="24">
        <f>H107*AP107</f>
        <v>0</v>
      </c>
      <c r="BJ107" s="24">
        <f>H107*I107</f>
        <v>0</v>
      </c>
      <c r="BK107" s="24" t="s">
        <v>387</v>
      </c>
      <c r="BL107" s="37" t="s">
        <v>129</v>
      </c>
    </row>
    <row r="108" spans="1:64" ht="12.75">
      <c r="A108" s="4" t="s">
        <v>52</v>
      </c>
      <c r="B108" s="14" t="s">
        <v>135</v>
      </c>
      <c r="C108" s="113" t="s">
        <v>258</v>
      </c>
      <c r="D108" s="114"/>
      <c r="E108" s="114"/>
      <c r="F108" s="114"/>
      <c r="G108" s="14" t="s">
        <v>326</v>
      </c>
      <c r="H108" s="24">
        <v>1</v>
      </c>
      <c r="I108" s="24">
        <v>0</v>
      </c>
      <c r="J108" s="24">
        <f>H108*AO108</f>
        <v>0</v>
      </c>
      <c r="K108" s="24">
        <f>H108*AP108</f>
        <v>0</v>
      </c>
      <c r="L108" s="24">
        <f>H108*I108</f>
        <v>0</v>
      </c>
      <c r="M108" s="24">
        <v>0</v>
      </c>
      <c r="N108" s="46">
        <f>H108*108</f>
        <v>108</v>
      </c>
      <c r="O108" s="5"/>
      <c r="Z108" s="37">
        <f>IF(AQ108="5",BJ108,0)</f>
        <v>0</v>
      </c>
      <c r="AB108" s="37">
        <f>IF(AQ108="1",BH108,0)</f>
        <v>0</v>
      </c>
      <c r="AC108" s="37">
        <f>IF(AQ108="1",BI108,0)</f>
        <v>0</v>
      </c>
      <c r="AD108" s="37">
        <f>IF(AQ108="7",BH108,0)</f>
        <v>0</v>
      </c>
      <c r="AE108" s="37">
        <f>IF(AQ108="7",BI108,0)</f>
        <v>0</v>
      </c>
      <c r="AF108" s="37">
        <f>IF(AQ108="2",BH108,0)</f>
        <v>0</v>
      </c>
      <c r="AG108" s="37">
        <f>IF(AQ108="2",BI108,0)</f>
        <v>0</v>
      </c>
      <c r="AH108" s="37">
        <f>IF(AQ108="0",BJ108,0)</f>
        <v>0</v>
      </c>
      <c r="AI108" s="35"/>
      <c r="AJ108" s="24">
        <f>IF(AN108=0,L108,0)</f>
        <v>0</v>
      </c>
      <c r="AK108" s="24">
        <f>IF(AN108=15,L108,0)</f>
        <v>0</v>
      </c>
      <c r="AL108" s="24">
        <f>IF(AN108=21,L108,0)</f>
        <v>0</v>
      </c>
      <c r="AN108" s="37">
        <v>21</v>
      </c>
      <c r="AO108" s="37">
        <f>I108*0</f>
        <v>0</v>
      </c>
      <c r="AP108" s="37">
        <f>I108*(1-0)</f>
        <v>0</v>
      </c>
      <c r="AQ108" s="38" t="s">
        <v>7</v>
      </c>
      <c r="AV108" s="37">
        <f>AW108+AX108</f>
        <v>0</v>
      </c>
      <c r="AW108" s="37">
        <f>H108*AO108</f>
        <v>0</v>
      </c>
      <c r="AX108" s="37">
        <f>H108*AP108</f>
        <v>0</v>
      </c>
      <c r="AY108" s="40" t="s">
        <v>370</v>
      </c>
      <c r="AZ108" s="40" t="s">
        <v>380</v>
      </c>
      <c r="BA108" s="35" t="s">
        <v>382</v>
      </c>
      <c r="BC108" s="37">
        <f>AW108+AX108</f>
        <v>0</v>
      </c>
      <c r="BD108" s="37">
        <f>I108/(100-BE108)*100</f>
        <v>0</v>
      </c>
      <c r="BE108" s="37">
        <v>0</v>
      </c>
      <c r="BF108" s="37">
        <f>N108</f>
        <v>108</v>
      </c>
      <c r="BH108" s="24">
        <f>H108*AO108</f>
        <v>0</v>
      </c>
      <c r="BI108" s="24">
        <f>H108*AP108</f>
        <v>0</v>
      </c>
      <c r="BJ108" s="24">
        <f>H108*I108</f>
        <v>0</v>
      </c>
      <c r="BK108" s="24" t="s">
        <v>387</v>
      </c>
      <c r="BL108" s="37" t="s">
        <v>129</v>
      </c>
    </row>
    <row r="109" spans="1:15" ht="12.75">
      <c r="A109" s="5"/>
      <c r="C109" s="18" t="s">
        <v>7</v>
      </c>
      <c r="F109" s="20" t="s">
        <v>313</v>
      </c>
      <c r="H109" s="25">
        <v>1</v>
      </c>
      <c r="N109" s="36"/>
      <c r="O109" s="5"/>
    </row>
    <row r="110" spans="1:47" ht="12.75">
      <c r="A110" s="6"/>
      <c r="B110" s="15" t="s">
        <v>136</v>
      </c>
      <c r="C110" s="111" t="s">
        <v>259</v>
      </c>
      <c r="D110" s="112"/>
      <c r="E110" s="112"/>
      <c r="F110" s="112"/>
      <c r="G110" s="22" t="s">
        <v>6</v>
      </c>
      <c r="H110" s="22" t="s">
        <v>6</v>
      </c>
      <c r="I110" s="22" t="s">
        <v>6</v>
      </c>
      <c r="J110" s="43">
        <f>SUM(J111:J116)</f>
        <v>0</v>
      </c>
      <c r="K110" s="43">
        <f>SUM(K111:K116)</f>
        <v>0</v>
      </c>
      <c r="L110" s="43">
        <f>SUM(L111:L116)</f>
        <v>0</v>
      </c>
      <c r="M110" s="35"/>
      <c r="N110" s="47">
        <f>SUM(N111:N116)</f>
        <v>1134</v>
      </c>
      <c r="O110" s="5"/>
      <c r="AI110" s="35"/>
      <c r="AS110" s="43">
        <f>SUM(AJ111:AJ116)</f>
        <v>0</v>
      </c>
      <c r="AT110" s="43">
        <f>SUM(AK111:AK116)</f>
        <v>0</v>
      </c>
      <c r="AU110" s="43">
        <f>SUM(AL111:AL116)</f>
        <v>0</v>
      </c>
    </row>
    <row r="111" spans="1:64" ht="12.75">
      <c r="A111" s="4" t="s">
        <v>53</v>
      </c>
      <c r="B111" s="14" t="s">
        <v>137</v>
      </c>
      <c r="C111" s="113" t="s">
        <v>260</v>
      </c>
      <c r="D111" s="114"/>
      <c r="E111" s="114"/>
      <c r="F111" s="114"/>
      <c r="G111" s="14" t="s">
        <v>326</v>
      </c>
      <c r="H111" s="24">
        <v>1</v>
      </c>
      <c r="I111" s="24">
        <v>0</v>
      </c>
      <c r="J111" s="24">
        <f>H111*AO111</f>
        <v>0</v>
      </c>
      <c r="K111" s="24">
        <f>H111*AP111</f>
        <v>0</v>
      </c>
      <c r="L111" s="24">
        <f>H111*I111</f>
        <v>0</v>
      </c>
      <c r="M111" s="24">
        <v>0</v>
      </c>
      <c r="N111" s="46">
        <f>H111*111</f>
        <v>111</v>
      </c>
      <c r="O111" s="5"/>
      <c r="Z111" s="37">
        <f>IF(AQ111="5",BJ111,0)</f>
        <v>0</v>
      </c>
      <c r="AB111" s="37">
        <f>IF(AQ111="1",BH111,0)</f>
        <v>0</v>
      </c>
      <c r="AC111" s="37">
        <f>IF(AQ111="1",BI111,0)</f>
        <v>0</v>
      </c>
      <c r="AD111" s="37">
        <f>IF(AQ111="7",BH111,0)</f>
        <v>0</v>
      </c>
      <c r="AE111" s="37">
        <f>IF(AQ111="7",BI111,0)</f>
        <v>0</v>
      </c>
      <c r="AF111" s="37">
        <f>IF(AQ111="2",BH111,0)</f>
        <v>0</v>
      </c>
      <c r="AG111" s="37">
        <f>IF(AQ111="2",BI111,0)</f>
        <v>0</v>
      </c>
      <c r="AH111" s="37">
        <f>IF(AQ111="0",BJ111,0)</f>
        <v>0</v>
      </c>
      <c r="AI111" s="35"/>
      <c r="AJ111" s="24">
        <f>IF(AN111=0,L111,0)</f>
        <v>0</v>
      </c>
      <c r="AK111" s="24">
        <f>IF(AN111=15,L111,0)</f>
        <v>0</v>
      </c>
      <c r="AL111" s="24">
        <f>IF(AN111=21,L111,0)</f>
        <v>0</v>
      </c>
      <c r="AN111" s="37">
        <v>21</v>
      </c>
      <c r="AO111" s="37">
        <f>I111*0.186543711879175</f>
        <v>0</v>
      </c>
      <c r="AP111" s="37">
        <f>I111*(1-0.186543711879175)</f>
        <v>0</v>
      </c>
      <c r="AQ111" s="38" t="s">
        <v>8</v>
      </c>
      <c r="AV111" s="37">
        <f>AW111+AX111</f>
        <v>0</v>
      </c>
      <c r="AW111" s="37">
        <f>H111*AO111</f>
        <v>0</v>
      </c>
      <c r="AX111" s="37">
        <f>H111*AP111</f>
        <v>0</v>
      </c>
      <c r="AY111" s="40" t="s">
        <v>371</v>
      </c>
      <c r="AZ111" s="40" t="s">
        <v>380</v>
      </c>
      <c r="BA111" s="35" t="s">
        <v>382</v>
      </c>
      <c r="BC111" s="37">
        <f>AW111+AX111</f>
        <v>0</v>
      </c>
      <c r="BD111" s="37">
        <f>I111/(100-BE111)*100</f>
        <v>0</v>
      </c>
      <c r="BE111" s="37">
        <v>0</v>
      </c>
      <c r="BF111" s="37">
        <f>N111</f>
        <v>111</v>
      </c>
      <c r="BH111" s="24">
        <f>H111*AO111</f>
        <v>0</v>
      </c>
      <c r="BI111" s="24">
        <f>H111*AP111</f>
        <v>0</v>
      </c>
      <c r="BJ111" s="24">
        <f>H111*I111</f>
        <v>0</v>
      </c>
      <c r="BK111" s="24" t="s">
        <v>387</v>
      </c>
      <c r="BL111" s="37" t="s">
        <v>136</v>
      </c>
    </row>
    <row r="112" spans="1:15" ht="12.75">
      <c r="A112" s="5"/>
      <c r="C112" s="18" t="s">
        <v>7</v>
      </c>
      <c r="F112" s="20" t="s">
        <v>314</v>
      </c>
      <c r="H112" s="25">
        <v>1</v>
      </c>
      <c r="N112" s="36"/>
      <c r="O112" s="5"/>
    </row>
    <row r="113" spans="1:64" ht="12.75">
      <c r="A113" s="4" t="s">
        <v>54</v>
      </c>
      <c r="B113" s="14" t="s">
        <v>138</v>
      </c>
      <c r="C113" s="113" t="s">
        <v>261</v>
      </c>
      <c r="D113" s="114"/>
      <c r="E113" s="114"/>
      <c r="F113" s="114"/>
      <c r="G113" s="14" t="s">
        <v>324</v>
      </c>
      <c r="H113" s="24">
        <v>6</v>
      </c>
      <c r="I113" s="24">
        <v>0</v>
      </c>
      <c r="J113" s="24">
        <f>H113*AO113</f>
        <v>0</v>
      </c>
      <c r="K113" s="24">
        <f>H113*AP113</f>
        <v>0</v>
      </c>
      <c r="L113" s="24">
        <f>H113*I113</f>
        <v>0</v>
      </c>
      <c r="M113" s="24">
        <v>0.005</v>
      </c>
      <c r="N113" s="46">
        <f>H113*113</f>
        <v>678</v>
      </c>
      <c r="O113" s="5"/>
      <c r="Z113" s="37">
        <f>IF(AQ113="5",BJ113,0)</f>
        <v>0</v>
      </c>
      <c r="AB113" s="37">
        <f>IF(AQ113="1",BH113,0)</f>
        <v>0</v>
      </c>
      <c r="AC113" s="37">
        <f>IF(AQ113="1",BI113,0)</f>
        <v>0</v>
      </c>
      <c r="AD113" s="37">
        <f>IF(AQ113="7",BH113,0)</f>
        <v>0</v>
      </c>
      <c r="AE113" s="37">
        <f>IF(AQ113="7",BI113,0)</f>
        <v>0</v>
      </c>
      <c r="AF113" s="37">
        <f>IF(AQ113="2",BH113,0)</f>
        <v>0</v>
      </c>
      <c r="AG113" s="37">
        <f>IF(AQ113="2",BI113,0)</f>
        <v>0</v>
      </c>
      <c r="AH113" s="37">
        <f>IF(AQ113="0",BJ113,0)</f>
        <v>0</v>
      </c>
      <c r="AI113" s="35"/>
      <c r="AJ113" s="24">
        <f>IF(AN113=0,L113,0)</f>
        <v>0</v>
      </c>
      <c r="AK113" s="24">
        <f>IF(AN113=15,L113,0)</f>
        <v>0</v>
      </c>
      <c r="AL113" s="24">
        <f>IF(AN113=21,L113,0)</f>
        <v>0</v>
      </c>
      <c r="AN113" s="37">
        <v>21</v>
      </c>
      <c r="AO113" s="37">
        <f>I113*0.396610169491525</f>
        <v>0</v>
      </c>
      <c r="AP113" s="37">
        <f>I113*(1-0.396610169491525)</f>
        <v>0</v>
      </c>
      <c r="AQ113" s="38" t="s">
        <v>8</v>
      </c>
      <c r="AV113" s="37">
        <f>AW113+AX113</f>
        <v>0</v>
      </c>
      <c r="AW113" s="37">
        <f>H113*AO113</f>
        <v>0</v>
      </c>
      <c r="AX113" s="37">
        <f>H113*AP113</f>
        <v>0</v>
      </c>
      <c r="AY113" s="40" t="s">
        <v>371</v>
      </c>
      <c r="AZ113" s="40" t="s">
        <v>380</v>
      </c>
      <c r="BA113" s="35" t="s">
        <v>382</v>
      </c>
      <c r="BC113" s="37">
        <f>AW113+AX113</f>
        <v>0</v>
      </c>
      <c r="BD113" s="37">
        <f>I113/(100-BE113)*100</f>
        <v>0</v>
      </c>
      <c r="BE113" s="37">
        <v>0</v>
      </c>
      <c r="BF113" s="37">
        <f>N113</f>
        <v>678</v>
      </c>
      <c r="BH113" s="24">
        <f>H113*AO113</f>
        <v>0</v>
      </c>
      <c r="BI113" s="24">
        <f>H113*AP113</f>
        <v>0</v>
      </c>
      <c r="BJ113" s="24">
        <f>H113*I113</f>
        <v>0</v>
      </c>
      <c r="BK113" s="24" t="s">
        <v>387</v>
      </c>
      <c r="BL113" s="37" t="s">
        <v>136</v>
      </c>
    </row>
    <row r="114" spans="1:64" ht="12.75">
      <c r="A114" s="4" t="s">
        <v>55</v>
      </c>
      <c r="B114" s="14" t="s">
        <v>139</v>
      </c>
      <c r="C114" s="113" t="s">
        <v>262</v>
      </c>
      <c r="D114" s="114"/>
      <c r="E114" s="114"/>
      <c r="F114" s="114"/>
      <c r="G114" s="14" t="s">
        <v>328</v>
      </c>
      <c r="H114" s="24">
        <v>1</v>
      </c>
      <c r="I114" s="24">
        <v>0</v>
      </c>
      <c r="J114" s="24">
        <f>H114*AO114</f>
        <v>0</v>
      </c>
      <c r="K114" s="24">
        <f>H114*AP114</f>
        <v>0</v>
      </c>
      <c r="L114" s="24">
        <f>H114*I114</f>
        <v>0</v>
      </c>
      <c r="M114" s="24">
        <v>0</v>
      </c>
      <c r="N114" s="46">
        <f>H114*114</f>
        <v>114</v>
      </c>
      <c r="O114" s="5"/>
      <c r="Z114" s="37">
        <f>IF(AQ114="5",BJ114,0)</f>
        <v>0</v>
      </c>
      <c r="AB114" s="37">
        <f>IF(AQ114="1",BH114,0)</f>
        <v>0</v>
      </c>
      <c r="AC114" s="37">
        <f>IF(AQ114="1",BI114,0)</f>
        <v>0</v>
      </c>
      <c r="AD114" s="37">
        <f>IF(AQ114="7",BH114,0)</f>
        <v>0</v>
      </c>
      <c r="AE114" s="37">
        <f>IF(AQ114="7",BI114,0)</f>
        <v>0</v>
      </c>
      <c r="AF114" s="37">
        <f>IF(AQ114="2",BH114,0)</f>
        <v>0</v>
      </c>
      <c r="AG114" s="37">
        <f>IF(AQ114="2",BI114,0)</f>
        <v>0</v>
      </c>
      <c r="AH114" s="37">
        <f>IF(AQ114="0",BJ114,0)</f>
        <v>0</v>
      </c>
      <c r="AI114" s="35"/>
      <c r="AJ114" s="24">
        <f>IF(AN114=0,L114,0)</f>
        <v>0</v>
      </c>
      <c r="AK114" s="24">
        <f>IF(AN114=15,L114,0)</f>
        <v>0</v>
      </c>
      <c r="AL114" s="24">
        <f>IF(AN114=21,L114,0)</f>
        <v>0</v>
      </c>
      <c r="AN114" s="37">
        <v>21</v>
      </c>
      <c r="AO114" s="37">
        <f>I114*0.91106433364031</f>
        <v>0</v>
      </c>
      <c r="AP114" s="37">
        <f>I114*(1-0.91106433364031)</f>
        <v>0</v>
      </c>
      <c r="AQ114" s="38" t="s">
        <v>8</v>
      </c>
      <c r="AV114" s="37">
        <f>AW114+AX114</f>
        <v>0</v>
      </c>
      <c r="AW114" s="37">
        <f>H114*AO114</f>
        <v>0</v>
      </c>
      <c r="AX114" s="37">
        <f>H114*AP114</f>
        <v>0</v>
      </c>
      <c r="AY114" s="40" t="s">
        <v>371</v>
      </c>
      <c r="AZ114" s="40" t="s">
        <v>380</v>
      </c>
      <c r="BA114" s="35" t="s">
        <v>382</v>
      </c>
      <c r="BC114" s="37">
        <f>AW114+AX114</f>
        <v>0</v>
      </c>
      <c r="BD114" s="37">
        <f>I114/(100-BE114)*100</f>
        <v>0</v>
      </c>
      <c r="BE114" s="37">
        <v>0</v>
      </c>
      <c r="BF114" s="37">
        <f>N114</f>
        <v>114</v>
      </c>
      <c r="BH114" s="24">
        <f>H114*AO114</f>
        <v>0</v>
      </c>
      <c r="BI114" s="24">
        <f>H114*AP114</f>
        <v>0</v>
      </c>
      <c r="BJ114" s="24">
        <f>H114*I114</f>
        <v>0</v>
      </c>
      <c r="BK114" s="24" t="s">
        <v>387</v>
      </c>
      <c r="BL114" s="37" t="s">
        <v>136</v>
      </c>
    </row>
    <row r="115" spans="1:64" ht="12.75">
      <c r="A115" s="4" t="s">
        <v>56</v>
      </c>
      <c r="B115" s="14" t="s">
        <v>139</v>
      </c>
      <c r="C115" s="113" t="s">
        <v>263</v>
      </c>
      <c r="D115" s="114"/>
      <c r="E115" s="114"/>
      <c r="F115" s="114"/>
      <c r="G115" s="14" t="s">
        <v>328</v>
      </c>
      <c r="H115" s="24">
        <v>1</v>
      </c>
      <c r="I115" s="24">
        <v>0</v>
      </c>
      <c r="J115" s="24">
        <f>H115*AO115</f>
        <v>0</v>
      </c>
      <c r="K115" s="24">
        <f>H115*AP115</f>
        <v>0</v>
      </c>
      <c r="L115" s="24">
        <f>H115*I115</f>
        <v>0</v>
      </c>
      <c r="M115" s="24">
        <v>0</v>
      </c>
      <c r="N115" s="46">
        <f>H115*115</f>
        <v>115</v>
      </c>
      <c r="O115" s="5"/>
      <c r="Z115" s="37">
        <f>IF(AQ115="5",BJ115,0)</f>
        <v>0</v>
      </c>
      <c r="AB115" s="37">
        <f>IF(AQ115="1",BH115,0)</f>
        <v>0</v>
      </c>
      <c r="AC115" s="37">
        <f>IF(AQ115="1",BI115,0)</f>
        <v>0</v>
      </c>
      <c r="AD115" s="37">
        <f>IF(AQ115="7",BH115,0)</f>
        <v>0</v>
      </c>
      <c r="AE115" s="37">
        <f>IF(AQ115="7",BI115,0)</f>
        <v>0</v>
      </c>
      <c r="AF115" s="37">
        <f>IF(AQ115="2",BH115,0)</f>
        <v>0</v>
      </c>
      <c r="AG115" s="37">
        <f>IF(AQ115="2",BI115,0)</f>
        <v>0</v>
      </c>
      <c r="AH115" s="37">
        <f>IF(AQ115="0",BJ115,0)</f>
        <v>0</v>
      </c>
      <c r="AI115" s="35"/>
      <c r="AJ115" s="24">
        <f>IF(AN115=0,L115,0)</f>
        <v>0</v>
      </c>
      <c r="AK115" s="24">
        <f>IF(AN115=15,L115,0)</f>
        <v>0</v>
      </c>
      <c r="AL115" s="24">
        <f>IF(AN115=21,L115,0)</f>
        <v>0</v>
      </c>
      <c r="AN115" s="37">
        <v>21</v>
      </c>
      <c r="AO115" s="37">
        <f>I115*0.718744089275582</f>
        <v>0</v>
      </c>
      <c r="AP115" s="37">
        <f>I115*(1-0.718744089275582)</f>
        <v>0</v>
      </c>
      <c r="AQ115" s="38" t="s">
        <v>8</v>
      </c>
      <c r="AV115" s="37">
        <f>AW115+AX115</f>
        <v>0</v>
      </c>
      <c r="AW115" s="37">
        <f>H115*AO115</f>
        <v>0</v>
      </c>
      <c r="AX115" s="37">
        <f>H115*AP115</f>
        <v>0</v>
      </c>
      <c r="AY115" s="40" t="s">
        <v>371</v>
      </c>
      <c r="AZ115" s="40" t="s">
        <v>380</v>
      </c>
      <c r="BA115" s="35" t="s">
        <v>382</v>
      </c>
      <c r="BC115" s="37">
        <f>AW115+AX115</f>
        <v>0</v>
      </c>
      <c r="BD115" s="37">
        <f>I115/(100-BE115)*100</f>
        <v>0</v>
      </c>
      <c r="BE115" s="37">
        <v>0</v>
      </c>
      <c r="BF115" s="37">
        <f>N115</f>
        <v>115</v>
      </c>
      <c r="BH115" s="24">
        <f>H115*AO115</f>
        <v>0</v>
      </c>
      <c r="BI115" s="24">
        <f>H115*AP115</f>
        <v>0</v>
      </c>
      <c r="BJ115" s="24">
        <f>H115*I115</f>
        <v>0</v>
      </c>
      <c r="BK115" s="24" t="s">
        <v>387</v>
      </c>
      <c r="BL115" s="37" t="s">
        <v>136</v>
      </c>
    </row>
    <row r="116" spans="1:64" ht="12.75">
      <c r="A116" s="4" t="s">
        <v>57</v>
      </c>
      <c r="B116" s="14" t="s">
        <v>139</v>
      </c>
      <c r="C116" s="113" t="s">
        <v>264</v>
      </c>
      <c r="D116" s="114"/>
      <c r="E116" s="114"/>
      <c r="F116" s="114"/>
      <c r="G116" s="14" t="s">
        <v>328</v>
      </c>
      <c r="H116" s="24">
        <v>1</v>
      </c>
      <c r="I116" s="24">
        <v>0</v>
      </c>
      <c r="J116" s="24">
        <f>H116*AO116</f>
        <v>0</v>
      </c>
      <c r="K116" s="24">
        <f>H116*AP116</f>
        <v>0</v>
      </c>
      <c r="L116" s="24">
        <f>H116*I116</f>
        <v>0</v>
      </c>
      <c r="M116" s="24">
        <v>0</v>
      </c>
      <c r="N116" s="46">
        <f>H116*116</f>
        <v>116</v>
      </c>
      <c r="O116" s="5"/>
      <c r="Z116" s="37">
        <f>IF(AQ116="5",BJ116,0)</f>
        <v>0</v>
      </c>
      <c r="AB116" s="37">
        <f>IF(AQ116="1",BH116,0)</f>
        <v>0</v>
      </c>
      <c r="AC116" s="37">
        <f>IF(AQ116="1",BI116,0)</f>
        <v>0</v>
      </c>
      <c r="AD116" s="37">
        <f>IF(AQ116="7",BH116,0)</f>
        <v>0</v>
      </c>
      <c r="AE116" s="37">
        <f>IF(AQ116="7",BI116,0)</f>
        <v>0</v>
      </c>
      <c r="AF116" s="37">
        <f>IF(AQ116="2",BH116,0)</f>
        <v>0</v>
      </c>
      <c r="AG116" s="37">
        <f>IF(AQ116="2",BI116,0)</f>
        <v>0</v>
      </c>
      <c r="AH116" s="37">
        <f>IF(AQ116="0",BJ116,0)</f>
        <v>0</v>
      </c>
      <c r="AI116" s="35"/>
      <c r="AJ116" s="24">
        <f>IF(AN116=0,L116,0)</f>
        <v>0</v>
      </c>
      <c r="AK116" s="24">
        <f>IF(AN116=15,L116,0)</f>
        <v>0</v>
      </c>
      <c r="AL116" s="24">
        <f>IF(AN116=21,L116,0)</f>
        <v>0</v>
      </c>
      <c r="AN116" s="37">
        <v>21</v>
      </c>
      <c r="AO116" s="37">
        <f>I116*0.718744089275582</f>
        <v>0</v>
      </c>
      <c r="AP116" s="37">
        <f>I116*(1-0.718744089275582)</f>
        <v>0</v>
      </c>
      <c r="AQ116" s="38" t="s">
        <v>8</v>
      </c>
      <c r="AV116" s="37">
        <f>AW116+AX116</f>
        <v>0</v>
      </c>
      <c r="AW116" s="37">
        <f>H116*AO116</f>
        <v>0</v>
      </c>
      <c r="AX116" s="37">
        <f>H116*AP116</f>
        <v>0</v>
      </c>
      <c r="AY116" s="40" t="s">
        <v>371</v>
      </c>
      <c r="AZ116" s="40" t="s">
        <v>380</v>
      </c>
      <c r="BA116" s="35" t="s">
        <v>382</v>
      </c>
      <c r="BC116" s="37">
        <f>AW116+AX116</f>
        <v>0</v>
      </c>
      <c r="BD116" s="37">
        <f>I116/(100-BE116)*100</f>
        <v>0</v>
      </c>
      <c r="BE116" s="37">
        <v>0</v>
      </c>
      <c r="BF116" s="37">
        <f>N116</f>
        <v>116</v>
      </c>
      <c r="BH116" s="24">
        <f>H116*AO116</f>
        <v>0</v>
      </c>
      <c r="BI116" s="24">
        <f>H116*AP116</f>
        <v>0</v>
      </c>
      <c r="BJ116" s="24">
        <f>H116*I116</f>
        <v>0</v>
      </c>
      <c r="BK116" s="24" t="s">
        <v>387</v>
      </c>
      <c r="BL116" s="37" t="s">
        <v>136</v>
      </c>
    </row>
    <row r="117" spans="1:47" ht="12.75">
      <c r="A117" s="6"/>
      <c r="B117" s="15" t="s">
        <v>140</v>
      </c>
      <c r="C117" s="111" t="s">
        <v>265</v>
      </c>
      <c r="D117" s="112"/>
      <c r="E117" s="112"/>
      <c r="F117" s="112"/>
      <c r="G117" s="22" t="s">
        <v>6</v>
      </c>
      <c r="H117" s="22" t="s">
        <v>6</v>
      </c>
      <c r="I117" s="22" t="s">
        <v>6</v>
      </c>
      <c r="J117" s="43">
        <f>SUM(J118:J119)</f>
        <v>0</v>
      </c>
      <c r="K117" s="43">
        <f>SUM(K118:K119)</f>
        <v>0</v>
      </c>
      <c r="L117" s="43">
        <f>SUM(L118:L119)</f>
        <v>0</v>
      </c>
      <c r="M117" s="35"/>
      <c r="N117" s="47">
        <f>SUM(N118:N119)</f>
        <v>475</v>
      </c>
      <c r="O117" s="5"/>
      <c r="AI117" s="35"/>
      <c r="AS117" s="43">
        <f>SUM(AJ118:AJ119)</f>
        <v>0</v>
      </c>
      <c r="AT117" s="43">
        <f>SUM(AK118:AK119)</f>
        <v>0</v>
      </c>
      <c r="AU117" s="43">
        <f>SUM(AL118:AL119)</f>
        <v>0</v>
      </c>
    </row>
    <row r="118" spans="1:64" ht="12.75">
      <c r="A118" s="4" t="s">
        <v>58</v>
      </c>
      <c r="B118" s="14" t="s">
        <v>141</v>
      </c>
      <c r="C118" s="113" t="s">
        <v>266</v>
      </c>
      <c r="D118" s="114"/>
      <c r="E118" s="114"/>
      <c r="F118" s="114"/>
      <c r="G118" s="14" t="s">
        <v>322</v>
      </c>
      <c r="H118" s="24">
        <v>1</v>
      </c>
      <c r="I118" s="24">
        <v>0</v>
      </c>
      <c r="J118" s="24">
        <f>H118*AO118</f>
        <v>0</v>
      </c>
      <c r="K118" s="24">
        <f>H118*AP118</f>
        <v>0</v>
      </c>
      <c r="L118" s="24">
        <f>H118*I118</f>
        <v>0</v>
      </c>
      <c r="M118" s="24">
        <v>0</v>
      </c>
      <c r="N118" s="46">
        <f>H118*118</f>
        <v>118</v>
      </c>
      <c r="O118" s="5"/>
      <c r="Z118" s="37">
        <f>IF(AQ118="5",BJ118,0)</f>
        <v>0</v>
      </c>
      <c r="AB118" s="37">
        <f>IF(AQ118="1",BH118,0)</f>
        <v>0</v>
      </c>
      <c r="AC118" s="37">
        <f>IF(AQ118="1",BI118,0)</f>
        <v>0</v>
      </c>
      <c r="AD118" s="37">
        <f>IF(AQ118="7",BH118,0)</f>
        <v>0</v>
      </c>
      <c r="AE118" s="37">
        <f>IF(AQ118="7",BI118,0)</f>
        <v>0</v>
      </c>
      <c r="AF118" s="37">
        <f>IF(AQ118="2",BH118,0)</f>
        <v>0</v>
      </c>
      <c r="AG118" s="37">
        <f>IF(AQ118="2",BI118,0)</f>
        <v>0</v>
      </c>
      <c r="AH118" s="37">
        <f>IF(AQ118="0",BJ118,0)</f>
        <v>0</v>
      </c>
      <c r="AI118" s="35"/>
      <c r="AJ118" s="24">
        <f>IF(AN118=0,L118,0)</f>
        <v>0</v>
      </c>
      <c r="AK118" s="24">
        <f>IF(AN118=15,L118,0)</f>
        <v>0</v>
      </c>
      <c r="AL118" s="24">
        <f>IF(AN118=21,L118,0)</f>
        <v>0</v>
      </c>
      <c r="AN118" s="37">
        <v>21</v>
      </c>
      <c r="AO118" s="37">
        <f>I118*0</f>
        <v>0</v>
      </c>
      <c r="AP118" s="37">
        <f>I118*(1-0)</f>
        <v>0</v>
      </c>
      <c r="AQ118" s="38" t="s">
        <v>11</v>
      </c>
      <c r="AV118" s="37">
        <f>AW118+AX118</f>
        <v>0</v>
      </c>
      <c r="AW118" s="37">
        <f>H118*AO118</f>
        <v>0</v>
      </c>
      <c r="AX118" s="37">
        <f>H118*AP118</f>
        <v>0</v>
      </c>
      <c r="AY118" s="40" t="s">
        <v>372</v>
      </c>
      <c r="AZ118" s="40" t="s">
        <v>380</v>
      </c>
      <c r="BA118" s="35" t="s">
        <v>382</v>
      </c>
      <c r="BC118" s="37">
        <f>AW118+AX118</f>
        <v>0</v>
      </c>
      <c r="BD118" s="37">
        <f>I118/(100-BE118)*100</f>
        <v>0</v>
      </c>
      <c r="BE118" s="37">
        <v>0</v>
      </c>
      <c r="BF118" s="37">
        <f>N118</f>
        <v>118</v>
      </c>
      <c r="BH118" s="24">
        <f>H118*AO118</f>
        <v>0</v>
      </c>
      <c r="BI118" s="24">
        <f>H118*AP118</f>
        <v>0</v>
      </c>
      <c r="BJ118" s="24">
        <f>H118*I118</f>
        <v>0</v>
      </c>
      <c r="BK118" s="24" t="s">
        <v>387</v>
      </c>
      <c r="BL118" s="37" t="s">
        <v>140</v>
      </c>
    </row>
    <row r="119" spans="1:64" ht="12.75">
      <c r="A119" s="4" t="s">
        <v>59</v>
      </c>
      <c r="B119" s="14" t="s">
        <v>142</v>
      </c>
      <c r="C119" s="113" t="s">
        <v>267</v>
      </c>
      <c r="D119" s="114"/>
      <c r="E119" s="114"/>
      <c r="F119" s="114"/>
      <c r="G119" s="14" t="s">
        <v>322</v>
      </c>
      <c r="H119" s="24">
        <v>3</v>
      </c>
      <c r="I119" s="24">
        <v>0</v>
      </c>
      <c r="J119" s="24">
        <f>H119*AO119</f>
        <v>0</v>
      </c>
      <c r="K119" s="24">
        <f>H119*AP119</f>
        <v>0</v>
      </c>
      <c r="L119" s="24">
        <f>H119*I119</f>
        <v>0</v>
      </c>
      <c r="M119" s="24">
        <v>0</v>
      </c>
      <c r="N119" s="46">
        <f>H119*119</f>
        <v>357</v>
      </c>
      <c r="O119" s="5"/>
      <c r="Z119" s="37">
        <f>IF(AQ119="5",BJ119,0)</f>
        <v>0</v>
      </c>
      <c r="AB119" s="37">
        <f>IF(AQ119="1",BH119,0)</f>
        <v>0</v>
      </c>
      <c r="AC119" s="37">
        <f>IF(AQ119="1",BI119,0)</f>
        <v>0</v>
      </c>
      <c r="AD119" s="37">
        <f>IF(AQ119="7",BH119,0)</f>
        <v>0</v>
      </c>
      <c r="AE119" s="37">
        <f>IF(AQ119="7",BI119,0)</f>
        <v>0</v>
      </c>
      <c r="AF119" s="37">
        <f>IF(AQ119="2",BH119,0)</f>
        <v>0</v>
      </c>
      <c r="AG119" s="37">
        <f>IF(AQ119="2",BI119,0)</f>
        <v>0</v>
      </c>
      <c r="AH119" s="37">
        <f>IF(AQ119="0",BJ119,0)</f>
        <v>0</v>
      </c>
      <c r="AI119" s="35"/>
      <c r="AJ119" s="24">
        <f>IF(AN119=0,L119,0)</f>
        <v>0</v>
      </c>
      <c r="AK119" s="24">
        <f>IF(AN119=15,L119,0)</f>
        <v>0</v>
      </c>
      <c r="AL119" s="24">
        <f>IF(AN119=21,L119,0)</f>
        <v>0</v>
      </c>
      <c r="AN119" s="37">
        <v>21</v>
      </c>
      <c r="AO119" s="37">
        <f>I119*0</f>
        <v>0</v>
      </c>
      <c r="AP119" s="37">
        <f>I119*(1-0)</f>
        <v>0</v>
      </c>
      <c r="AQ119" s="38" t="s">
        <v>11</v>
      </c>
      <c r="AV119" s="37">
        <f>AW119+AX119</f>
        <v>0</v>
      </c>
      <c r="AW119" s="37">
        <f>H119*AO119</f>
        <v>0</v>
      </c>
      <c r="AX119" s="37">
        <f>H119*AP119</f>
        <v>0</v>
      </c>
      <c r="AY119" s="40" t="s">
        <v>372</v>
      </c>
      <c r="AZ119" s="40" t="s">
        <v>380</v>
      </c>
      <c r="BA119" s="35" t="s">
        <v>382</v>
      </c>
      <c r="BC119" s="37">
        <f>AW119+AX119</f>
        <v>0</v>
      </c>
      <c r="BD119" s="37">
        <f>I119/(100-BE119)*100</f>
        <v>0</v>
      </c>
      <c r="BE119" s="37">
        <v>0</v>
      </c>
      <c r="BF119" s="37">
        <f>N119</f>
        <v>357</v>
      </c>
      <c r="BH119" s="24">
        <f>H119*AO119</f>
        <v>0</v>
      </c>
      <c r="BI119" s="24">
        <f>H119*AP119</f>
        <v>0</v>
      </c>
      <c r="BJ119" s="24">
        <f>H119*I119</f>
        <v>0</v>
      </c>
      <c r="BK119" s="24" t="s">
        <v>387</v>
      </c>
      <c r="BL119" s="37" t="s">
        <v>140</v>
      </c>
    </row>
    <row r="120" spans="1:47" ht="12.75">
      <c r="A120" s="6"/>
      <c r="B120" s="15"/>
      <c r="C120" s="111" t="s">
        <v>268</v>
      </c>
      <c r="D120" s="112"/>
      <c r="E120" s="112"/>
      <c r="F120" s="112"/>
      <c r="G120" s="22" t="s">
        <v>6</v>
      </c>
      <c r="H120" s="22" t="s">
        <v>6</v>
      </c>
      <c r="I120" s="22" t="s">
        <v>6</v>
      </c>
      <c r="J120" s="43">
        <f>SUM(J121:J137)</f>
        <v>0</v>
      </c>
      <c r="K120" s="43">
        <f>SUM(K121:K137)</f>
        <v>0</v>
      </c>
      <c r="L120" s="43">
        <f>SUM(L121:L137)</f>
        <v>0</v>
      </c>
      <c r="M120" s="35"/>
      <c r="N120" s="47">
        <f>SUM(N121:N137)</f>
        <v>23969</v>
      </c>
      <c r="O120" s="5"/>
      <c r="AI120" s="35"/>
      <c r="AS120" s="43">
        <f>SUM(AJ121:AJ137)</f>
        <v>0</v>
      </c>
      <c r="AT120" s="43">
        <f>SUM(AK121:AK137)</f>
        <v>0</v>
      </c>
      <c r="AU120" s="43">
        <f>SUM(AL121:AL137)</f>
        <v>0</v>
      </c>
    </row>
    <row r="121" spans="1:64" ht="12.75">
      <c r="A121" s="7" t="s">
        <v>60</v>
      </c>
      <c r="B121" s="16" t="s">
        <v>143</v>
      </c>
      <c r="C121" s="103" t="s">
        <v>269</v>
      </c>
      <c r="D121" s="104"/>
      <c r="E121" s="104"/>
      <c r="F121" s="104"/>
      <c r="G121" s="16" t="s">
        <v>324</v>
      </c>
      <c r="H121" s="26">
        <v>3</v>
      </c>
      <c r="I121" s="26">
        <v>0</v>
      </c>
      <c r="J121" s="26">
        <f aca="true" t="shared" si="0" ref="J121:J137">H121*AO121</f>
        <v>0</v>
      </c>
      <c r="K121" s="26">
        <f aca="true" t="shared" si="1" ref="K121:K137">H121*AP121</f>
        <v>0</v>
      </c>
      <c r="L121" s="26">
        <f aca="true" t="shared" si="2" ref="L121:L137">H121*I121</f>
        <v>0</v>
      </c>
      <c r="M121" s="26">
        <v>0</v>
      </c>
      <c r="N121" s="48">
        <f>H121*121</f>
        <v>363</v>
      </c>
      <c r="O121" s="5"/>
      <c r="Z121" s="37">
        <f aca="true" t="shared" si="3" ref="Z121:Z137">IF(AQ121="5",BJ121,0)</f>
        <v>0</v>
      </c>
      <c r="AB121" s="37">
        <f aca="true" t="shared" si="4" ref="AB121:AB137">IF(AQ121="1",BH121,0)</f>
        <v>0</v>
      </c>
      <c r="AC121" s="37">
        <f aca="true" t="shared" si="5" ref="AC121:AC137">IF(AQ121="1",BI121,0)</f>
        <v>0</v>
      </c>
      <c r="AD121" s="37">
        <f aca="true" t="shared" si="6" ref="AD121:AD137">IF(AQ121="7",BH121,0)</f>
        <v>0</v>
      </c>
      <c r="AE121" s="37">
        <f aca="true" t="shared" si="7" ref="AE121:AE137">IF(AQ121="7",BI121,0)</f>
        <v>0</v>
      </c>
      <c r="AF121" s="37">
        <f aca="true" t="shared" si="8" ref="AF121:AF137">IF(AQ121="2",BH121,0)</f>
        <v>0</v>
      </c>
      <c r="AG121" s="37">
        <f aca="true" t="shared" si="9" ref="AG121:AG137">IF(AQ121="2",BI121,0)</f>
        <v>0</v>
      </c>
      <c r="AH121" s="37">
        <f aca="true" t="shared" si="10" ref="AH121:AH137">IF(AQ121="0",BJ121,0)</f>
        <v>0</v>
      </c>
      <c r="AI121" s="35"/>
      <c r="AJ121" s="26">
        <f aca="true" t="shared" si="11" ref="AJ121:AJ137">IF(AN121=0,L121,0)</f>
        <v>0</v>
      </c>
      <c r="AK121" s="26">
        <f aca="true" t="shared" si="12" ref="AK121:AK137">IF(AN121=15,L121,0)</f>
        <v>0</v>
      </c>
      <c r="AL121" s="26">
        <f aca="true" t="shared" si="13" ref="AL121:AL137">IF(AN121=21,L121,0)</f>
        <v>0</v>
      </c>
      <c r="AN121" s="37">
        <v>21</v>
      </c>
      <c r="AO121" s="37">
        <f aca="true" t="shared" si="14" ref="AO121:AO137">I121*1</f>
        <v>0</v>
      </c>
      <c r="AP121" s="37">
        <f aca="true" t="shared" si="15" ref="AP121:AP137">I121*(1-1)</f>
        <v>0</v>
      </c>
      <c r="AQ121" s="39" t="s">
        <v>348</v>
      </c>
      <c r="AV121" s="37">
        <f aca="true" t="shared" si="16" ref="AV121:AV137">AW121+AX121</f>
        <v>0</v>
      </c>
      <c r="AW121" s="37">
        <f aca="true" t="shared" si="17" ref="AW121:AW137">H121*AO121</f>
        <v>0</v>
      </c>
      <c r="AX121" s="37">
        <f aca="true" t="shared" si="18" ref="AX121:AX137">H121*AP121</f>
        <v>0</v>
      </c>
      <c r="AY121" s="40" t="s">
        <v>373</v>
      </c>
      <c r="AZ121" s="40" t="s">
        <v>381</v>
      </c>
      <c r="BA121" s="35" t="s">
        <v>382</v>
      </c>
      <c r="BC121" s="37">
        <f aca="true" t="shared" si="19" ref="BC121:BC137">AW121+AX121</f>
        <v>0</v>
      </c>
      <c r="BD121" s="37">
        <f aca="true" t="shared" si="20" ref="BD121:BD137">I121/(100-BE121)*100</f>
        <v>0</v>
      </c>
      <c r="BE121" s="37">
        <v>0</v>
      </c>
      <c r="BF121" s="37">
        <f aca="true" t="shared" si="21" ref="BF121:BF137">N121</f>
        <v>363</v>
      </c>
      <c r="BH121" s="26">
        <f aca="true" t="shared" si="22" ref="BH121:BH137">H121*AO121</f>
        <v>0</v>
      </c>
      <c r="BI121" s="26">
        <f aca="true" t="shared" si="23" ref="BI121:BI137">H121*AP121</f>
        <v>0</v>
      </c>
      <c r="BJ121" s="26">
        <f aca="true" t="shared" si="24" ref="BJ121:BJ137">H121*I121</f>
        <v>0</v>
      </c>
      <c r="BK121" s="26" t="s">
        <v>388</v>
      </c>
      <c r="BL121" s="37"/>
    </row>
    <row r="122" spans="1:64" ht="12.75">
      <c r="A122" s="7" t="s">
        <v>61</v>
      </c>
      <c r="B122" s="16" t="s">
        <v>144</v>
      </c>
      <c r="C122" s="103" t="s">
        <v>270</v>
      </c>
      <c r="D122" s="104"/>
      <c r="E122" s="104"/>
      <c r="F122" s="104"/>
      <c r="G122" s="16" t="s">
        <v>321</v>
      </c>
      <c r="H122" s="26">
        <v>1</v>
      </c>
      <c r="I122" s="26">
        <v>0</v>
      </c>
      <c r="J122" s="26">
        <f t="shared" si="0"/>
        <v>0</v>
      </c>
      <c r="K122" s="26">
        <f t="shared" si="1"/>
        <v>0</v>
      </c>
      <c r="L122" s="26">
        <f t="shared" si="2"/>
        <v>0</v>
      </c>
      <c r="M122" s="26">
        <v>0.0002</v>
      </c>
      <c r="N122" s="48">
        <f>H122*122</f>
        <v>122</v>
      </c>
      <c r="O122" s="5"/>
      <c r="Z122" s="37">
        <f t="shared" si="3"/>
        <v>0</v>
      </c>
      <c r="AB122" s="37">
        <f t="shared" si="4"/>
        <v>0</v>
      </c>
      <c r="AC122" s="37">
        <f t="shared" si="5"/>
        <v>0</v>
      </c>
      <c r="AD122" s="37">
        <f t="shared" si="6"/>
        <v>0</v>
      </c>
      <c r="AE122" s="37">
        <f t="shared" si="7"/>
        <v>0</v>
      </c>
      <c r="AF122" s="37">
        <f t="shared" si="8"/>
        <v>0</v>
      </c>
      <c r="AG122" s="37">
        <f t="shared" si="9"/>
        <v>0</v>
      </c>
      <c r="AH122" s="37">
        <f t="shared" si="10"/>
        <v>0</v>
      </c>
      <c r="AI122" s="35"/>
      <c r="AJ122" s="26">
        <f t="shared" si="11"/>
        <v>0</v>
      </c>
      <c r="AK122" s="26">
        <f t="shared" si="12"/>
        <v>0</v>
      </c>
      <c r="AL122" s="26">
        <f t="shared" si="13"/>
        <v>0</v>
      </c>
      <c r="AN122" s="37">
        <v>21</v>
      </c>
      <c r="AO122" s="37">
        <f t="shared" si="14"/>
        <v>0</v>
      </c>
      <c r="AP122" s="37">
        <f t="shared" si="15"/>
        <v>0</v>
      </c>
      <c r="AQ122" s="39" t="s">
        <v>348</v>
      </c>
      <c r="AV122" s="37">
        <f t="shared" si="16"/>
        <v>0</v>
      </c>
      <c r="AW122" s="37">
        <f t="shared" si="17"/>
        <v>0</v>
      </c>
      <c r="AX122" s="37">
        <f t="shared" si="18"/>
        <v>0</v>
      </c>
      <c r="AY122" s="40" t="s">
        <v>373</v>
      </c>
      <c r="AZ122" s="40" t="s">
        <v>381</v>
      </c>
      <c r="BA122" s="35" t="s">
        <v>382</v>
      </c>
      <c r="BC122" s="37">
        <f t="shared" si="19"/>
        <v>0</v>
      </c>
      <c r="BD122" s="37">
        <f t="shared" si="20"/>
        <v>0</v>
      </c>
      <c r="BE122" s="37">
        <v>0</v>
      </c>
      <c r="BF122" s="37">
        <f t="shared" si="21"/>
        <v>122</v>
      </c>
      <c r="BH122" s="26">
        <f t="shared" si="22"/>
        <v>0</v>
      </c>
      <c r="BI122" s="26">
        <f t="shared" si="23"/>
        <v>0</v>
      </c>
      <c r="BJ122" s="26">
        <f t="shared" si="24"/>
        <v>0</v>
      </c>
      <c r="BK122" s="26" t="s">
        <v>388</v>
      </c>
      <c r="BL122" s="37"/>
    </row>
    <row r="123" spans="1:64" ht="12.75">
      <c r="A123" s="7" t="s">
        <v>62</v>
      </c>
      <c r="B123" s="16" t="s">
        <v>145</v>
      </c>
      <c r="C123" s="103" t="s">
        <v>271</v>
      </c>
      <c r="D123" s="104"/>
      <c r="E123" s="104"/>
      <c r="F123" s="104"/>
      <c r="G123" s="16" t="s">
        <v>321</v>
      </c>
      <c r="H123" s="26">
        <v>2</v>
      </c>
      <c r="I123" s="26">
        <v>0</v>
      </c>
      <c r="J123" s="26">
        <f t="shared" si="0"/>
        <v>0</v>
      </c>
      <c r="K123" s="26">
        <f t="shared" si="1"/>
        <v>0</v>
      </c>
      <c r="L123" s="26">
        <f t="shared" si="2"/>
        <v>0</v>
      </c>
      <c r="M123" s="26">
        <v>0.027</v>
      </c>
      <c r="N123" s="48">
        <f>H123*123</f>
        <v>246</v>
      </c>
      <c r="O123" s="5"/>
      <c r="Z123" s="37">
        <f t="shared" si="3"/>
        <v>0</v>
      </c>
      <c r="AB123" s="37">
        <f t="shared" si="4"/>
        <v>0</v>
      </c>
      <c r="AC123" s="37">
        <f t="shared" si="5"/>
        <v>0</v>
      </c>
      <c r="AD123" s="37">
        <f t="shared" si="6"/>
        <v>0</v>
      </c>
      <c r="AE123" s="37">
        <f t="shared" si="7"/>
        <v>0</v>
      </c>
      <c r="AF123" s="37">
        <f t="shared" si="8"/>
        <v>0</v>
      </c>
      <c r="AG123" s="37">
        <f t="shared" si="9"/>
        <v>0</v>
      </c>
      <c r="AH123" s="37">
        <f t="shared" si="10"/>
        <v>0</v>
      </c>
      <c r="AI123" s="35"/>
      <c r="AJ123" s="26">
        <f t="shared" si="11"/>
        <v>0</v>
      </c>
      <c r="AK123" s="26">
        <f t="shared" si="12"/>
        <v>0</v>
      </c>
      <c r="AL123" s="26">
        <f t="shared" si="13"/>
        <v>0</v>
      </c>
      <c r="AN123" s="37">
        <v>21</v>
      </c>
      <c r="AO123" s="37">
        <f t="shared" si="14"/>
        <v>0</v>
      </c>
      <c r="AP123" s="37">
        <f t="shared" si="15"/>
        <v>0</v>
      </c>
      <c r="AQ123" s="39" t="s">
        <v>348</v>
      </c>
      <c r="AV123" s="37">
        <f t="shared" si="16"/>
        <v>0</v>
      </c>
      <c r="AW123" s="37">
        <f t="shared" si="17"/>
        <v>0</v>
      </c>
      <c r="AX123" s="37">
        <f t="shared" si="18"/>
        <v>0</v>
      </c>
      <c r="AY123" s="40" t="s">
        <v>373</v>
      </c>
      <c r="AZ123" s="40" t="s">
        <v>381</v>
      </c>
      <c r="BA123" s="35" t="s">
        <v>382</v>
      </c>
      <c r="BC123" s="37">
        <f t="shared" si="19"/>
        <v>0</v>
      </c>
      <c r="BD123" s="37">
        <f t="shared" si="20"/>
        <v>0</v>
      </c>
      <c r="BE123" s="37">
        <v>0</v>
      </c>
      <c r="BF123" s="37">
        <f t="shared" si="21"/>
        <v>246</v>
      </c>
      <c r="BH123" s="26">
        <f t="shared" si="22"/>
        <v>0</v>
      </c>
      <c r="BI123" s="26">
        <f t="shared" si="23"/>
        <v>0</v>
      </c>
      <c r="BJ123" s="26">
        <f t="shared" si="24"/>
        <v>0</v>
      </c>
      <c r="BK123" s="26" t="s">
        <v>388</v>
      </c>
      <c r="BL123" s="37"/>
    </row>
    <row r="124" spans="1:64" ht="12.75">
      <c r="A124" s="7" t="s">
        <v>63</v>
      </c>
      <c r="B124" s="16" t="s">
        <v>146</v>
      </c>
      <c r="C124" s="103" t="s">
        <v>272</v>
      </c>
      <c r="D124" s="104"/>
      <c r="E124" s="104"/>
      <c r="F124" s="104"/>
      <c r="G124" s="16" t="s">
        <v>321</v>
      </c>
      <c r="H124" s="26">
        <v>2</v>
      </c>
      <c r="I124" s="26">
        <v>0</v>
      </c>
      <c r="J124" s="26">
        <f t="shared" si="0"/>
        <v>0</v>
      </c>
      <c r="K124" s="26">
        <f t="shared" si="1"/>
        <v>0</v>
      </c>
      <c r="L124" s="26">
        <f t="shared" si="2"/>
        <v>0</v>
      </c>
      <c r="M124" s="26">
        <v>0.027</v>
      </c>
      <c r="N124" s="48">
        <f>H124*124</f>
        <v>248</v>
      </c>
      <c r="O124" s="5"/>
      <c r="Z124" s="37">
        <f t="shared" si="3"/>
        <v>0</v>
      </c>
      <c r="AB124" s="37">
        <f t="shared" si="4"/>
        <v>0</v>
      </c>
      <c r="AC124" s="37">
        <f t="shared" si="5"/>
        <v>0</v>
      </c>
      <c r="AD124" s="37">
        <f t="shared" si="6"/>
        <v>0</v>
      </c>
      <c r="AE124" s="37">
        <f t="shared" si="7"/>
        <v>0</v>
      </c>
      <c r="AF124" s="37">
        <f t="shared" si="8"/>
        <v>0</v>
      </c>
      <c r="AG124" s="37">
        <f t="shared" si="9"/>
        <v>0</v>
      </c>
      <c r="AH124" s="37">
        <f t="shared" si="10"/>
        <v>0</v>
      </c>
      <c r="AI124" s="35"/>
      <c r="AJ124" s="26">
        <f t="shared" si="11"/>
        <v>0</v>
      </c>
      <c r="AK124" s="26">
        <f t="shared" si="12"/>
        <v>0</v>
      </c>
      <c r="AL124" s="26">
        <f t="shared" si="13"/>
        <v>0</v>
      </c>
      <c r="AN124" s="37">
        <v>21</v>
      </c>
      <c r="AO124" s="37">
        <f t="shared" si="14"/>
        <v>0</v>
      </c>
      <c r="AP124" s="37">
        <f t="shared" si="15"/>
        <v>0</v>
      </c>
      <c r="AQ124" s="39" t="s">
        <v>348</v>
      </c>
      <c r="AV124" s="37">
        <f t="shared" si="16"/>
        <v>0</v>
      </c>
      <c r="AW124" s="37">
        <f t="shared" si="17"/>
        <v>0</v>
      </c>
      <c r="AX124" s="37">
        <f t="shared" si="18"/>
        <v>0</v>
      </c>
      <c r="AY124" s="40" t="s">
        <v>373</v>
      </c>
      <c r="AZ124" s="40" t="s">
        <v>381</v>
      </c>
      <c r="BA124" s="35" t="s">
        <v>382</v>
      </c>
      <c r="BC124" s="37">
        <f t="shared" si="19"/>
        <v>0</v>
      </c>
      <c r="BD124" s="37">
        <f t="shared" si="20"/>
        <v>0</v>
      </c>
      <c r="BE124" s="37">
        <v>0</v>
      </c>
      <c r="BF124" s="37">
        <f t="shared" si="21"/>
        <v>248</v>
      </c>
      <c r="BH124" s="26">
        <f t="shared" si="22"/>
        <v>0</v>
      </c>
      <c r="BI124" s="26">
        <f t="shared" si="23"/>
        <v>0</v>
      </c>
      <c r="BJ124" s="26">
        <f t="shared" si="24"/>
        <v>0</v>
      </c>
      <c r="BK124" s="26" t="s">
        <v>388</v>
      </c>
      <c r="BL124" s="37"/>
    </row>
    <row r="125" spans="1:64" ht="12.75">
      <c r="A125" s="7" t="s">
        <v>64</v>
      </c>
      <c r="B125" s="16" t="s">
        <v>147</v>
      </c>
      <c r="C125" s="103" t="s">
        <v>273</v>
      </c>
      <c r="D125" s="104"/>
      <c r="E125" s="104"/>
      <c r="F125" s="104"/>
      <c r="G125" s="16" t="s">
        <v>321</v>
      </c>
      <c r="H125" s="26">
        <v>6</v>
      </c>
      <c r="I125" s="26">
        <v>0</v>
      </c>
      <c r="J125" s="26">
        <f t="shared" si="0"/>
        <v>0</v>
      </c>
      <c r="K125" s="26">
        <f t="shared" si="1"/>
        <v>0</v>
      </c>
      <c r="L125" s="26">
        <f t="shared" si="2"/>
        <v>0</v>
      </c>
      <c r="M125" s="26">
        <v>0.001</v>
      </c>
      <c r="N125" s="48">
        <f>H125*125</f>
        <v>750</v>
      </c>
      <c r="O125" s="5"/>
      <c r="Z125" s="37">
        <f t="shared" si="3"/>
        <v>0</v>
      </c>
      <c r="AB125" s="37">
        <f t="shared" si="4"/>
        <v>0</v>
      </c>
      <c r="AC125" s="37">
        <f t="shared" si="5"/>
        <v>0</v>
      </c>
      <c r="AD125" s="37">
        <f t="shared" si="6"/>
        <v>0</v>
      </c>
      <c r="AE125" s="37">
        <f t="shared" si="7"/>
        <v>0</v>
      </c>
      <c r="AF125" s="37">
        <f t="shared" si="8"/>
        <v>0</v>
      </c>
      <c r="AG125" s="37">
        <f t="shared" si="9"/>
        <v>0</v>
      </c>
      <c r="AH125" s="37">
        <f t="shared" si="10"/>
        <v>0</v>
      </c>
      <c r="AI125" s="35"/>
      <c r="AJ125" s="26">
        <f t="shared" si="11"/>
        <v>0</v>
      </c>
      <c r="AK125" s="26">
        <f t="shared" si="12"/>
        <v>0</v>
      </c>
      <c r="AL125" s="26">
        <f t="shared" si="13"/>
        <v>0</v>
      </c>
      <c r="AN125" s="37">
        <v>21</v>
      </c>
      <c r="AO125" s="37">
        <f t="shared" si="14"/>
        <v>0</v>
      </c>
      <c r="AP125" s="37">
        <f t="shared" si="15"/>
        <v>0</v>
      </c>
      <c r="AQ125" s="39" t="s">
        <v>348</v>
      </c>
      <c r="AV125" s="37">
        <f t="shared" si="16"/>
        <v>0</v>
      </c>
      <c r="AW125" s="37">
        <f t="shared" si="17"/>
        <v>0</v>
      </c>
      <c r="AX125" s="37">
        <f t="shared" si="18"/>
        <v>0</v>
      </c>
      <c r="AY125" s="40" t="s">
        <v>373</v>
      </c>
      <c r="AZ125" s="40" t="s">
        <v>381</v>
      </c>
      <c r="BA125" s="35" t="s">
        <v>382</v>
      </c>
      <c r="BC125" s="37">
        <f t="shared" si="19"/>
        <v>0</v>
      </c>
      <c r="BD125" s="37">
        <f t="shared" si="20"/>
        <v>0</v>
      </c>
      <c r="BE125" s="37">
        <v>0</v>
      </c>
      <c r="BF125" s="37">
        <f t="shared" si="21"/>
        <v>750</v>
      </c>
      <c r="BH125" s="26">
        <f t="shared" si="22"/>
        <v>0</v>
      </c>
      <c r="BI125" s="26">
        <f t="shared" si="23"/>
        <v>0</v>
      </c>
      <c r="BJ125" s="26">
        <f t="shared" si="24"/>
        <v>0</v>
      </c>
      <c r="BK125" s="26" t="s">
        <v>388</v>
      </c>
      <c r="BL125" s="37"/>
    </row>
    <row r="126" spans="1:64" ht="12.75">
      <c r="A126" s="7" t="s">
        <v>65</v>
      </c>
      <c r="B126" s="16" t="s">
        <v>148</v>
      </c>
      <c r="C126" s="103" t="s">
        <v>274</v>
      </c>
      <c r="D126" s="104"/>
      <c r="E126" s="104"/>
      <c r="F126" s="104"/>
      <c r="G126" s="16" t="s">
        <v>321</v>
      </c>
      <c r="H126" s="26">
        <v>2</v>
      </c>
      <c r="I126" s="26">
        <v>0</v>
      </c>
      <c r="J126" s="26">
        <f t="shared" si="0"/>
        <v>0</v>
      </c>
      <c r="K126" s="26">
        <f t="shared" si="1"/>
        <v>0</v>
      </c>
      <c r="L126" s="26">
        <f t="shared" si="2"/>
        <v>0</v>
      </c>
      <c r="M126" s="26">
        <v>0.001</v>
      </c>
      <c r="N126" s="48">
        <f>H126*126</f>
        <v>252</v>
      </c>
      <c r="O126" s="5"/>
      <c r="Z126" s="37">
        <f t="shared" si="3"/>
        <v>0</v>
      </c>
      <c r="AB126" s="37">
        <f t="shared" si="4"/>
        <v>0</v>
      </c>
      <c r="AC126" s="37">
        <f t="shared" si="5"/>
        <v>0</v>
      </c>
      <c r="AD126" s="37">
        <f t="shared" si="6"/>
        <v>0</v>
      </c>
      <c r="AE126" s="37">
        <f t="shared" si="7"/>
        <v>0</v>
      </c>
      <c r="AF126" s="37">
        <f t="shared" si="8"/>
        <v>0</v>
      </c>
      <c r="AG126" s="37">
        <f t="shared" si="9"/>
        <v>0</v>
      </c>
      <c r="AH126" s="37">
        <f t="shared" si="10"/>
        <v>0</v>
      </c>
      <c r="AI126" s="35"/>
      <c r="AJ126" s="26">
        <f t="shared" si="11"/>
        <v>0</v>
      </c>
      <c r="AK126" s="26">
        <f t="shared" si="12"/>
        <v>0</v>
      </c>
      <c r="AL126" s="26">
        <f t="shared" si="13"/>
        <v>0</v>
      </c>
      <c r="AN126" s="37">
        <v>21</v>
      </c>
      <c r="AO126" s="37">
        <f t="shared" si="14"/>
        <v>0</v>
      </c>
      <c r="AP126" s="37">
        <f t="shared" si="15"/>
        <v>0</v>
      </c>
      <c r="AQ126" s="39" t="s">
        <v>348</v>
      </c>
      <c r="AV126" s="37">
        <f t="shared" si="16"/>
        <v>0</v>
      </c>
      <c r="AW126" s="37">
        <f t="shared" si="17"/>
        <v>0</v>
      </c>
      <c r="AX126" s="37">
        <f t="shared" si="18"/>
        <v>0</v>
      </c>
      <c r="AY126" s="40" t="s">
        <v>373</v>
      </c>
      <c r="AZ126" s="40" t="s">
        <v>381</v>
      </c>
      <c r="BA126" s="35" t="s">
        <v>382</v>
      </c>
      <c r="BC126" s="37">
        <f t="shared" si="19"/>
        <v>0</v>
      </c>
      <c r="BD126" s="37">
        <f t="shared" si="20"/>
        <v>0</v>
      </c>
      <c r="BE126" s="37">
        <v>0</v>
      </c>
      <c r="BF126" s="37">
        <f t="shared" si="21"/>
        <v>252</v>
      </c>
      <c r="BH126" s="26">
        <f t="shared" si="22"/>
        <v>0</v>
      </c>
      <c r="BI126" s="26">
        <f t="shared" si="23"/>
        <v>0</v>
      </c>
      <c r="BJ126" s="26">
        <f t="shared" si="24"/>
        <v>0</v>
      </c>
      <c r="BK126" s="26" t="s">
        <v>388</v>
      </c>
      <c r="BL126" s="37"/>
    </row>
    <row r="127" spans="1:64" ht="12.75">
      <c r="A127" s="7" t="s">
        <v>66</v>
      </c>
      <c r="B127" s="16" t="s">
        <v>149</v>
      </c>
      <c r="C127" s="103" t="s">
        <v>275</v>
      </c>
      <c r="D127" s="104"/>
      <c r="E127" s="104"/>
      <c r="F127" s="104"/>
      <c r="G127" s="16" t="s">
        <v>321</v>
      </c>
      <c r="H127" s="26">
        <v>40</v>
      </c>
      <c r="I127" s="26">
        <v>0</v>
      </c>
      <c r="J127" s="26">
        <f t="shared" si="0"/>
        <v>0</v>
      </c>
      <c r="K127" s="26">
        <f t="shared" si="1"/>
        <v>0</v>
      </c>
      <c r="L127" s="26">
        <f t="shared" si="2"/>
        <v>0</v>
      </c>
      <c r="M127" s="26">
        <v>0.001</v>
      </c>
      <c r="N127" s="48">
        <f>H127*127</f>
        <v>5080</v>
      </c>
      <c r="O127" s="5"/>
      <c r="Z127" s="37">
        <f t="shared" si="3"/>
        <v>0</v>
      </c>
      <c r="AB127" s="37">
        <f t="shared" si="4"/>
        <v>0</v>
      </c>
      <c r="AC127" s="37">
        <f t="shared" si="5"/>
        <v>0</v>
      </c>
      <c r="AD127" s="37">
        <f t="shared" si="6"/>
        <v>0</v>
      </c>
      <c r="AE127" s="37">
        <f t="shared" si="7"/>
        <v>0</v>
      </c>
      <c r="AF127" s="37">
        <f t="shared" si="8"/>
        <v>0</v>
      </c>
      <c r="AG127" s="37">
        <f t="shared" si="9"/>
        <v>0</v>
      </c>
      <c r="AH127" s="37">
        <f t="shared" si="10"/>
        <v>0</v>
      </c>
      <c r="AI127" s="35"/>
      <c r="AJ127" s="26">
        <f t="shared" si="11"/>
        <v>0</v>
      </c>
      <c r="AK127" s="26">
        <f t="shared" si="12"/>
        <v>0</v>
      </c>
      <c r="AL127" s="26">
        <f t="shared" si="13"/>
        <v>0</v>
      </c>
      <c r="AN127" s="37">
        <v>21</v>
      </c>
      <c r="AO127" s="37">
        <f t="shared" si="14"/>
        <v>0</v>
      </c>
      <c r="AP127" s="37">
        <f t="shared" si="15"/>
        <v>0</v>
      </c>
      <c r="AQ127" s="39" t="s">
        <v>348</v>
      </c>
      <c r="AV127" s="37">
        <f t="shared" si="16"/>
        <v>0</v>
      </c>
      <c r="AW127" s="37">
        <f t="shared" si="17"/>
        <v>0</v>
      </c>
      <c r="AX127" s="37">
        <f t="shared" si="18"/>
        <v>0</v>
      </c>
      <c r="AY127" s="40" t="s">
        <v>373</v>
      </c>
      <c r="AZ127" s="40" t="s">
        <v>381</v>
      </c>
      <c r="BA127" s="35" t="s">
        <v>382</v>
      </c>
      <c r="BC127" s="37">
        <f t="shared" si="19"/>
        <v>0</v>
      </c>
      <c r="BD127" s="37">
        <f t="shared" si="20"/>
        <v>0</v>
      </c>
      <c r="BE127" s="37">
        <v>0</v>
      </c>
      <c r="BF127" s="37">
        <f t="shared" si="21"/>
        <v>5080</v>
      </c>
      <c r="BH127" s="26">
        <f t="shared" si="22"/>
        <v>0</v>
      </c>
      <c r="BI127" s="26">
        <f t="shared" si="23"/>
        <v>0</v>
      </c>
      <c r="BJ127" s="26">
        <f t="shared" si="24"/>
        <v>0</v>
      </c>
      <c r="BK127" s="26" t="s">
        <v>388</v>
      </c>
      <c r="BL127" s="37"/>
    </row>
    <row r="128" spans="1:64" ht="12.75">
      <c r="A128" s="7" t="s">
        <v>67</v>
      </c>
      <c r="B128" s="16" t="s">
        <v>150</v>
      </c>
      <c r="C128" s="103" t="s">
        <v>276</v>
      </c>
      <c r="D128" s="104"/>
      <c r="E128" s="104"/>
      <c r="F128" s="104"/>
      <c r="G128" s="16" t="s">
        <v>321</v>
      </c>
      <c r="H128" s="26">
        <v>6</v>
      </c>
      <c r="I128" s="26">
        <v>0</v>
      </c>
      <c r="J128" s="26">
        <f t="shared" si="0"/>
        <v>0</v>
      </c>
      <c r="K128" s="26">
        <f t="shared" si="1"/>
        <v>0</v>
      </c>
      <c r="L128" s="26">
        <f t="shared" si="2"/>
        <v>0</v>
      </c>
      <c r="M128" s="26">
        <v>0.005</v>
      </c>
      <c r="N128" s="48">
        <f>H128*128</f>
        <v>768</v>
      </c>
      <c r="O128" s="5"/>
      <c r="Z128" s="37">
        <f t="shared" si="3"/>
        <v>0</v>
      </c>
      <c r="AB128" s="37">
        <f t="shared" si="4"/>
        <v>0</v>
      </c>
      <c r="AC128" s="37">
        <f t="shared" si="5"/>
        <v>0</v>
      </c>
      <c r="AD128" s="37">
        <f t="shared" si="6"/>
        <v>0</v>
      </c>
      <c r="AE128" s="37">
        <f t="shared" si="7"/>
        <v>0</v>
      </c>
      <c r="AF128" s="37">
        <f t="shared" si="8"/>
        <v>0</v>
      </c>
      <c r="AG128" s="37">
        <f t="shared" si="9"/>
        <v>0</v>
      </c>
      <c r="AH128" s="37">
        <f t="shared" si="10"/>
        <v>0</v>
      </c>
      <c r="AI128" s="35"/>
      <c r="AJ128" s="26">
        <f t="shared" si="11"/>
        <v>0</v>
      </c>
      <c r="AK128" s="26">
        <f t="shared" si="12"/>
        <v>0</v>
      </c>
      <c r="AL128" s="26">
        <f t="shared" si="13"/>
        <v>0</v>
      </c>
      <c r="AN128" s="37">
        <v>21</v>
      </c>
      <c r="AO128" s="37">
        <f t="shared" si="14"/>
        <v>0</v>
      </c>
      <c r="AP128" s="37">
        <f t="shared" si="15"/>
        <v>0</v>
      </c>
      <c r="AQ128" s="39" t="s">
        <v>348</v>
      </c>
      <c r="AV128" s="37">
        <f t="shared" si="16"/>
        <v>0</v>
      </c>
      <c r="AW128" s="37">
        <f t="shared" si="17"/>
        <v>0</v>
      </c>
      <c r="AX128" s="37">
        <f t="shared" si="18"/>
        <v>0</v>
      </c>
      <c r="AY128" s="40" t="s">
        <v>373</v>
      </c>
      <c r="AZ128" s="40" t="s">
        <v>381</v>
      </c>
      <c r="BA128" s="35" t="s">
        <v>382</v>
      </c>
      <c r="BC128" s="37">
        <f t="shared" si="19"/>
        <v>0</v>
      </c>
      <c r="BD128" s="37">
        <f t="shared" si="20"/>
        <v>0</v>
      </c>
      <c r="BE128" s="37">
        <v>0</v>
      </c>
      <c r="BF128" s="37">
        <f t="shared" si="21"/>
        <v>768</v>
      </c>
      <c r="BH128" s="26">
        <f t="shared" si="22"/>
        <v>0</v>
      </c>
      <c r="BI128" s="26">
        <f t="shared" si="23"/>
        <v>0</v>
      </c>
      <c r="BJ128" s="26">
        <f t="shared" si="24"/>
        <v>0</v>
      </c>
      <c r="BK128" s="26" t="s">
        <v>388</v>
      </c>
      <c r="BL128" s="37"/>
    </row>
    <row r="129" spans="1:64" ht="12.75">
      <c r="A129" s="7" t="s">
        <v>68</v>
      </c>
      <c r="B129" s="16" t="s">
        <v>151</v>
      </c>
      <c r="C129" s="103" t="s">
        <v>277</v>
      </c>
      <c r="D129" s="104"/>
      <c r="E129" s="104"/>
      <c r="F129" s="104"/>
      <c r="G129" s="16" t="s">
        <v>321</v>
      </c>
      <c r="H129" s="26">
        <v>18</v>
      </c>
      <c r="I129" s="26">
        <v>0</v>
      </c>
      <c r="J129" s="26">
        <f t="shared" si="0"/>
        <v>0</v>
      </c>
      <c r="K129" s="26">
        <f t="shared" si="1"/>
        <v>0</v>
      </c>
      <c r="L129" s="26">
        <f t="shared" si="2"/>
        <v>0</v>
      </c>
      <c r="M129" s="26">
        <v>0.108</v>
      </c>
      <c r="N129" s="48">
        <f>H129*129</f>
        <v>2322</v>
      </c>
      <c r="O129" s="5"/>
      <c r="Z129" s="37">
        <f t="shared" si="3"/>
        <v>0</v>
      </c>
      <c r="AB129" s="37">
        <f t="shared" si="4"/>
        <v>0</v>
      </c>
      <c r="AC129" s="37">
        <f t="shared" si="5"/>
        <v>0</v>
      </c>
      <c r="AD129" s="37">
        <f t="shared" si="6"/>
        <v>0</v>
      </c>
      <c r="AE129" s="37">
        <f t="shared" si="7"/>
        <v>0</v>
      </c>
      <c r="AF129" s="37">
        <f t="shared" si="8"/>
        <v>0</v>
      </c>
      <c r="AG129" s="37">
        <f t="shared" si="9"/>
        <v>0</v>
      </c>
      <c r="AH129" s="37">
        <f t="shared" si="10"/>
        <v>0</v>
      </c>
      <c r="AI129" s="35"/>
      <c r="AJ129" s="26">
        <f t="shared" si="11"/>
        <v>0</v>
      </c>
      <c r="AK129" s="26">
        <f t="shared" si="12"/>
        <v>0</v>
      </c>
      <c r="AL129" s="26">
        <f t="shared" si="13"/>
        <v>0</v>
      </c>
      <c r="AN129" s="37">
        <v>21</v>
      </c>
      <c r="AO129" s="37">
        <f t="shared" si="14"/>
        <v>0</v>
      </c>
      <c r="AP129" s="37">
        <f t="shared" si="15"/>
        <v>0</v>
      </c>
      <c r="AQ129" s="39" t="s">
        <v>348</v>
      </c>
      <c r="AV129" s="37">
        <f t="shared" si="16"/>
        <v>0</v>
      </c>
      <c r="AW129" s="37">
        <f t="shared" si="17"/>
        <v>0</v>
      </c>
      <c r="AX129" s="37">
        <f t="shared" si="18"/>
        <v>0</v>
      </c>
      <c r="AY129" s="40" t="s">
        <v>373</v>
      </c>
      <c r="AZ129" s="40" t="s">
        <v>381</v>
      </c>
      <c r="BA129" s="35" t="s">
        <v>382</v>
      </c>
      <c r="BC129" s="37">
        <f t="shared" si="19"/>
        <v>0</v>
      </c>
      <c r="BD129" s="37">
        <f t="shared" si="20"/>
        <v>0</v>
      </c>
      <c r="BE129" s="37">
        <v>0</v>
      </c>
      <c r="BF129" s="37">
        <f t="shared" si="21"/>
        <v>2322</v>
      </c>
      <c r="BH129" s="26">
        <f t="shared" si="22"/>
        <v>0</v>
      </c>
      <c r="BI129" s="26">
        <f t="shared" si="23"/>
        <v>0</v>
      </c>
      <c r="BJ129" s="26">
        <f t="shared" si="24"/>
        <v>0</v>
      </c>
      <c r="BK129" s="26" t="s">
        <v>388</v>
      </c>
      <c r="BL129" s="37"/>
    </row>
    <row r="130" spans="1:64" ht="12.75">
      <c r="A130" s="7" t="s">
        <v>69</v>
      </c>
      <c r="B130" s="16" t="s">
        <v>152</v>
      </c>
      <c r="C130" s="103" t="s">
        <v>278</v>
      </c>
      <c r="D130" s="104"/>
      <c r="E130" s="104"/>
      <c r="F130" s="104"/>
      <c r="G130" s="16" t="s">
        <v>321</v>
      </c>
      <c r="H130" s="26">
        <v>2</v>
      </c>
      <c r="I130" s="26">
        <v>0</v>
      </c>
      <c r="J130" s="26">
        <f t="shared" si="0"/>
        <v>0</v>
      </c>
      <c r="K130" s="26">
        <f t="shared" si="1"/>
        <v>0</v>
      </c>
      <c r="L130" s="26">
        <f t="shared" si="2"/>
        <v>0</v>
      </c>
      <c r="M130" s="26">
        <v>0.054</v>
      </c>
      <c r="N130" s="48">
        <f>H130*130</f>
        <v>260</v>
      </c>
      <c r="O130" s="5"/>
      <c r="Z130" s="37">
        <f t="shared" si="3"/>
        <v>0</v>
      </c>
      <c r="AB130" s="37">
        <f t="shared" si="4"/>
        <v>0</v>
      </c>
      <c r="AC130" s="37">
        <f t="shared" si="5"/>
        <v>0</v>
      </c>
      <c r="AD130" s="37">
        <f t="shared" si="6"/>
        <v>0</v>
      </c>
      <c r="AE130" s="37">
        <f t="shared" si="7"/>
        <v>0</v>
      </c>
      <c r="AF130" s="37">
        <f t="shared" si="8"/>
        <v>0</v>
      </c>
      <c r="AG130" s="37">
        <f t="shared" si="9"/>
        <v>0</v>
      </c>
      <c r="AH130" s="37">
        <f t="shared" si="10"/>
        <v>0</v>
      </c>
      <c r="AI130" s="35"/>
      <c r="AJ130" s="26">
        <f t="shared" si="11"/>
        <v>0</v>
      </c>
      <c r="AK130" s="26">
        <f t="shared" si="12"/>
        <v>0</v>
      </c>
      <c r="AL130" s="26">
        <f t="shared" si="13"/>
        <v>0</v>
      </c>
      <c r="AN130" s="37">
        <v>21</v>
      </c>
      <c r="AO130" s="37">
        <f t="shared" si="14"/>
        <v>0</v>
      </c>
      <c r="AP130" s="37">
        <f t="shared" si="15"/>
        <v>0</v>
      </c>
      <c r="AQ130" s="39" t="s">
        <v>348</v>
      </c>
      <c r="AV130" s="37">
        <f t="shared" si="16"/>
        <v>0</v>
      </c>
      <c r="AW130" s="37">
        <f t="shared" si="17"/>
        <v>0</v>
      </c>
      <c r="AX130" s="37">
        <f t="shared" si="18"/>
        <v>0</v>
      </c>
      <c r="AY130" s="40" t="s">
        <v>373</v>
      </c>
      <c r="AZ130" s="40" t="s">
        <v>381</v>
      </c>
      <c r="BA130" s="35" t="s">
        <v>382</v>
      </c>
      <c r="BC130" s="37">
        <f t="shared" si="19"/>
        <v>0</v>
      </c>
      <c r="BD130" s="37">
        <f t="shared" si="20"/>
        <v>0</v>
      </c>
      <c r="BE130" s="37">
        <v>0</v>
      </c>
      <c r="BF130" s="37">
        <f t="shared" si="21"/>
        <v>260</v>
      </c>
      <c r="BH130" s="26">
        <f t="shared" si="22"/>
        <v>0</v>
      </c>
      <c r="BI130" s="26">
        <f t="shared" si="23"/>
        <v>0</v>
      </c>
      <c r="BJ130" s="26">
        <f t="shared" si="24"/>
        <v>0</v>
      </c>
      <c r="BK130" s="26" t="s">
        <v>388</v>
      </c>
      <c r="BL130" s="37"/>
    </row>
    <row r="131" spans="1:64" ht="12.75">
      <c r="A131" s="7" t="s">
        <v>70</v>
      </c>
      <c r="B131" s="16" t="s">
        <v>153</v>
      </c>
      <c r="C131" s="103" t="s">
        <v>279</v>
      </c>
      <c r="D131" s="104"/>
      <c r="E131" s="104"/>
      <c r="F131" s="104"/>
      <c r="G131" s="16" t="s">
        <v>321</v>
      </c>
      <c r="H131" s="26">
        <v>2</v>
      </c>
      <c r="I131" s="26">
        <v>0</v>
      </c>
      <c r="J131" s="26">
        <f t="shared" si="0"/>
        <v>0</v>
      </c>
      <c r="K131" s="26">
        <f t="shared" si="1"/>
        <v>0</v>
      </c>
      <c r="L131" s="26">
        <f t="shared" si="2"/>
        <v>0</v>
      </c>
      <c r="M131" s="26">
        <v>0.035</v>
      </c>
      <c r="N131" s="48">
        <f>H131*131</f>
        <v>262</v>
      </c>
      <c r="O131" s="5"/>
      <c r="Z131" s="37">
        <f t="shared" si="3"/>
        <v>0</v>
      </c>
      <c r="AB131" s="37">
        <f t="shared" si="4"/>
        <v>0</v>
      </c>
      <c r="AC131" s="37">
        <f t="shared" si="5"/>
        <v>0</v>
      </c>
      <c r="AD131" s="37">
        <f t="shared" si="6"/>
        <v>0</v>
      </c>
      <c r="AE131" s="37">
        <f t="shared" si="7"/>
        <v>0</v>
      </c>
      <c r="AF131" s="37">
        <f t="shared" si="8"/>
        <v>0</v>
      </c>
      <c r="AG131" s="37">
        <f t="shared" si="9"/>
        <v>0</v>
      </c>
      <c r="AH131" s="37">
        <f t="shared" si="10"/>
        <v>0</v>
      </c>
      <c r="AI131" s="35"/>
      <c r="AJ131" s="26">
        <f t="shared" si="11"/>
        <v>0</v>
      </c>
      <c r="AK131" s="26">
        <f t="shared" si="12"/>
        <v>0</v>
      </c>
      <c r="AL131" s="26">
        <f t="shared" si="13"/>
        <v>0</v>
      </c>
      <c r="AN131" s="37">
        <v>21</v>
      </c>
      <c r="AO131" s="37">
        <f t="shared" si="14"/>
        <v>0</v>
      </c>
      <c r="AP131" s="37">
        <f t="shared" si="15"/>
        <v>0</v>
      </c>
      <c r="AQ131" s="39" t="s">
        <v>348</v>
      </c>
      <c r="AV131" s="37">
        <f t="shared" si="16"/>
        <v>0</v>
      </c>
      <c r="AW131" s="37">
        <f t="shared" si="17"/>
        <v>0</v>
      </c>
      <c r="AX131" s="37">
        <f t="shared" si="18"/>
        <v>0</v>
      </c>
      <c r="AY131" s="40" t="s">
        <v>373</v>
      </c>
      <c r="AZ131" s="40" t="s">
        <v>381</v>
      </c>
      <c r="BA131" s="35" t="s">
        <v>382</v>
      </c>
      <c r="BC131" s="37">
        <f t="shared" si="19"/>
        <v>0</v>
      </c>
      <c r="BD131" s="37">
        <f t="shared" si="20"/>
        <v>0</v>
      </c>
      <c r="BE131" s="37">
        <v>0</v>
      </c>
      <c r="BF131" s="37">
        <f t="shared" si="21"/>
        <v>262</v>
      </c>
      <c r="BH131" s="26">
        <f t="shared" si="22"/>
        <v>0</v>
      </c>
      <c r="BI131" s="26">
        <f t="shared" si="23"/>
        <v>0</v>
      </c>
      <c r="BJ131" s="26">
        <f t="shared" si="24"/>
        <v>0</v>
      </c>
      <c r="BK131" s="26" t="s">
        <v>388</v>
      </c>
      <c r="BL131" s="37"/>
    </row>
    <row r="132" spans="1:64" ht="12.75">
      <c r="A132" s="7" t="s">
        <v>71</v>
      </c>
      <c r="B132" s="16" t="s">
        <v>154</v>
      </c>
      <c r="C132" s="103" t="s">
        <v>280</v>
      </c>
      <c r="D132" s="104"/>
      <c r="E132" s="104"/>
      <c r="F132" s="104"/>
      <c r="G132" s="16" t="s">
        <v>321</v>
      </c>
      <c r="H132" s="26">
        <v>2</v>
      </c>
      <c r="I132" s="26">
        <v>0</v>
      </c>
      <c r="J132" s="26">
        <f t="shared" si="0"/>
        <v>0</v>
      </c>
      <c r="K132" s="26">
        <f t="shared" si="1"/>
        <v>0</v>
      </c>
      <c r="L132" s="26">
        <f t="shared" si="2"/>
        <v>0</v>
      </c>
      <c r="M132" s="26">
        <v>0.001</v>
      </c>
      <c r="N132" s="48">
        <f>H132*132</f>
        <v>264</v>
      </c>
      <c r="O132" s="5"/>
      <c r="Z132" s="37">
        <f t="shared" si="3"/>
        <v>0</v>
      </c>
      <c r="AB132" s="37">
        <f t="shared" si="4"/>
        <v>0</v>
      </c>
      <c r="AC132" s="37">
        <f t="shared" si="5"/>
        <v>0</v>
      </c>
      <c r="AD132" s="37">
        <f t="shared" si="6"/>
        <v>0</v>
      </c>
      <c r="AE132" s="37">
        <f t="shared" si="7"/>
        <v>0</v>
      </c>
      <c r="AF132" s="37">
        <f t="shared" si="8"/>
        <v>0</v>
      </c>
      <c r="AG132" s="37">
        <f t="shared" si="9"/>
        <v>0</v>
      </c>
      <c r="AH132" s="37">
        <f t="shared" si="10"/>
        <v>0</v>
      </c>
      <c r="AI132" s="35"/>
      <c r="AJ132" s="26">
        <f t="shared" si="11"/>
        <v>0</v>
      </c>
      <c r="AK132" s="26">
        <f t="shared" si="12"/>
        <v>0</v>
      </c>
      <c r="AL132" s="26">
        <f t="shared" si="13"/>
        <v>0</v>
      </c>
      <c r="AN132" s="37">
        <v>21</v>
      </c>
      <c r="AO132" s="37">
        <f t="shared" si="14"/>
        <v>0</v>
      </c>
      <c r="AP132" s="37">
        <f t="shared" si="15"/>
        <v>0</v>
      </c>
      <c r="AQ132" s="39" t="s">
        <v>348</v>
      </c>
      <c r="AV132" s="37">
        <f t="shared" si="16"/>
        <v>0</v>
      </c>
      <c r="AW132" s="37">
        <f t="shared" si="17"/>
        <v>0</v>
      </c>
      <c r="AX132" s="37">
        <f t="shared" si="18"/>
        <v>0</v>
      </c>
      <c r="AY132" s="40" t="s">
        <v>373</v>
      </c>
      <c r="AZ132" s="40" t="s">
        <v>381</v>
      </c>
      <c r="BA132" s="35" t="s">
        <v>382</v>
      </c>
      <c r="BC132" s="37">
        <f t="shared" si="19"/>
        <v>0</v>
      </c>
      <c r="BD132" s="37">
        <f t="shared" si="20"/>
        <v>0</v>
      </c>
      <c r="BE132" s="37">
        <v>0</v>
      </c>
      <c r="BF132" s="37">
        <f t="shared" si="21"/>
        <v>264</v>
      </c>
      <c r="BH132" s="26">
        <f t="shared" si="22"/>
        <v>0</v>
      </c>
      <c r="BI132" s="26">
        <f t="shared" si="23"/>
        <v>0</v>
      </c>
      <c r="BJ132" s="26">
        <f t="shared" si="24"/>
        <v>0</v>
      </c>
      <c r="BK132" s="26" t="s">
        <v>388</v>
      </c>
      <c r="BL132" s="37"/>
    </row>
    <row r="133" spans="1:64" ht="12.75">
      <c r="A133" s="7" t="s">
        <v>72</v>
      </c>
      <c r="B133" s="16" t="s">
        <v>155</v>
      </c>
      <c r="C133" s="103" t="s">
        <v>281</v>
      </c>
      <c r="D133" s="104"/>
      <c r="E133" s="104"/>
      <c r="F133" s="104"/>
      <c r="G133" s="16" t="s">
        <v>321</v>
      </c>
      <c r="H133" s="26">
        <v>8</v>
      </c>
      <c r="I133" s="26">
        <v>0</v>
      </c>
      <c r="J133" s="26">
        <f t="shared" si="0"/>
        <v>0</v>
      </c>
      <c r="K133" s="26">
        <f t="shared" si="1"/>
        <v>0</v>
      </c>
      <c r="L133" s="26">
        <f t="shared" si="2"/>
        <v>0</v>
      </c>
      <c r="M133" s="26">
        <v>0.023</v>
      </c>
      <c r="N133" s="48">
        <f>H133*133</f>
        <v>1064</v>
      </c>
      <c r="O133" s="5"/>
      <c r="Z133" s="37">
        <f t="shared" si="3"/>
        <v>0</v>
      </c>
      <c r="AB133" s="37">
        <f t="shared" si="4"/>
        <v>0</v>
      </c>
      <c r="AC133" s="37">
        <f t="shared" si="5"/>
        <v>0</v>
      </c>
      <c r="AD133" s="37">
        <f t="shared" si="6"/>
        <v>0</v>
      </c>
      <c r="AE133" s="37">
        <f t="shared" si="7"/>
        <v>0</v>
      </c>
      <c r="AF133" s="37">
        <f t="shared" si="8"/>
        <v>0</v>
      </c>
      <c r="AG133" s="37">
        <f t="shared" si="9"/>
        <v>0</v>
      </c>
      <c r="AH133" s="37">
        <f t="shared" si="10"/>
        <v>0</v>
      </c>
      <c r="AI133" s="35"/>
      <c r="AJ133" s="26">
        <f t="shared" si="11"/>
        <v>0</v>
      </c>
      <c r="AK133" s="26">
        <f t="shared" si="12"/>
        <v>0</v>
      </c>
      <c r="AL133" s="26">
        <f t="shared" si="13"/>
        <v>0</v>
      </c>
      <c r="AN133" s="37">
        <v>21</v>
      </c>
      <c r="AO133" s="37">
        <f t="shared" si="14"/>
        <v>0</v>
      </c>
      <c r="AP133" s="37">
        <f t="shared" si="15"/>
        <v>0</v>
      </c>
      <c r="AQ133" s="39" t="s">
        <v>348</v>
      </c>
      <c r="AV133" s="37">
        <f t="shared" si="16"/>
        <v>0</v>
      </c>
      <c r="AW133" s="37">
        <f t="shared" si="17"/>
        <v>0</v>
      </c>
      <c r="AX133" s="37">
        <f t="shared" si="18"/>
        <v>0</v>
      </c>
      <c r="AY133" s="40" t="s">
        <v>373</v>
      </c>
      <c r="AZ133" s="40" t="s">
        <v>381</v>
      </c>
      <c r="BA133" s="35" t="s">
        <v>382</v>
      </c>
      <c r="BC133" s="37">
        <f t="shared" si="19"/>
        <v>0</v>
      </c>
      <c r="BD133" s="37">
        <f t="shared" si="20"/>
        <v>0</v>
      </c>
      <c r="BE133" s="37">
        <v>0</v>
      </c>
      <c r="BF133" s="37">
        <f t="shared" si="21"/>
        <v>1064</v>
      </c>
      <c r="BH133" s="26">
        <f t="shared" si="22"/>
        <v>0</v>
      </c>
      <c r="BI133" s="26">
        <f t="shared" si="23"/>
        <v>0</v>
      </c>
      <c r="BJ133" s="26">
        <f t="shared" si="24"/>
        <v>0</v>
      </c>
      <c r="BK133" s="26" t="s">
        <v>388</v>
      </c>
      <c r="BL133" s="37"/>
    </row>
    <row r="134" spans="1:64" ht="12.75">
      <c r="A134" s="7" t="s">
        <v>73</v>
      </c>
      <c r="B134" s="16" t="s">
        <v>156</v>
      </c>
      <c r="C134" s="103" t="s">
        <v>282</v>
      </c>
      <c r="D134" s="104"/>
      <c r="E134" s="104"/>
      <c r="F134" s="104"/>
      <c r="G134" s="16" t="s">
        <v>321</v>
      </c>
      <c r="H134" s="26">
        <v>4</v>
      </c>
      <c r="I134" s="26">
        <v>0</v>
      </c>
      <c r="J134" s="26">
        <f t="shared" si="0"/>
        <v>0</v>
      </c>
      <c r="K134" s="26">
        <f t="shared" si="1"/>
        <v>0</v>
      </c>
      <c r="L134" s="26">
        <f t="shared" si="2"/>
        <v>0</v>
      </c>
      <c r="M134" s="26">
        <v>0.027</v>
      </c>
      <c r="N134" s="48">
        <f>H134*134</f>
        <v>536</v>
      </c>
      <c r="O134" s="5"/>
      <c r="Z134" s="37">
        <f t="shared" si="3"/>
        <v>0</v>
      </c>
      <c r="AB134" s="37">
        <f t="shared" si="4"/>
        <v>0</v>
      </c>
      <c r="AC134" s="37">
        <f t="shared" si="5"/>
        <v>0</v>
      </c>
      <c r="AD134" s="37">
        <f t="shared" si="6"/>
        <v>0</v>
      </c>
      <c r="AE134" s="37">
        <f t="shared" si="7"/>
        <v>0</v>
      </c>
      <c r="AF134" s="37">
        <f t="shared" si="8"/>
        <v>0</v>
      </c>
      <c r="AG134" s="37">
        <f t="shared" si="9"/>
        <v>0</v>
      </c>
      <c r="AH134" s="37">
        <f t="shared" si="10"/>
        <v>0</v>
      </c>
      <c r="AI134" s="35"/>
      <c r="AJ134" s="26">
        <f t="shared" si="11"/>
        <v>0</v>
      </c>
      <c r="AK134" s="26">
        <f t="shared" si="12"/>
        <v>0</v>
      </c>
      <c r="AL134" s="26">
        <f t="shared" si="13"/>
        <v>0</v>
      </c>
      <c r="AN134" s="37">
        <v>21</v>
      </c>
      <c r="AO134" s="37">
        <f t="shared" si="14"/>
        <v>0</v>
      </c>
      <c r="AP134" s="37">
        <f t="shared" si="15"/>
        <v>0</v>
      </c>
      <c r="AQ134" s="39" t="s">
        <v>348</v>
      </c>
      <c r="AV134" s="37">
        <f t="shared" si="16"/>
        <v>0</v>
      </c>
      <c r="AW134" s="37">
        <f t="shared" si="17"/>
        <v>0</v>
      </c>
      <c r="AX134" s="37">
        <f t="shared" si="18"/>
        <v>0</v>
      </c>
      <c r="AY134" s="40" t="s">
        <v>373</v>
      </c>
      <c r="AZ134" s="40" t="s">
        <v>381</v>
      </c>
      <c r="BA134" s="35" t="s">
        <v>382</v>
      </c>
      <c r="BC134" s="37">
        <f t="shared" si="19"/>
        <v>0</v>
      </c>
      <c r="BD134" s="37">
        <f t="shared" si="20"/>
        <v>0</v>
      </c>
      <c r="BE134" s="37">
        <v>0</v>
      </c>
      <c r="BF134" s="37">
        <f t="shared" si="21"/>
        <v>536</v>
      </c>
      <c r="BH134" s="26">
        <f t="shared" si="22"/>
        <v>0</v>
      </c>
      <c r="BI134" s="26">
        <f t="shared" si="23"/>
        <v>0</v>
      </c>
      <c r="BJ134" s="26">
        <f t="shared" si="24"/>
        <v>0</v>
      </c>
      <c r="BK134" s="26" t="s">
        <v>388</v>
      </c>
      <c r="BL134" s="37"/>
    </row>
    <row r="135" spans="1:64" ht="12.75">
      <c r="A135" s="7" t="s">
        <v>74</v>
      </c>
      <c r="B135" s="16" t="s">
        <v>157</v>
      </c>
      <c r="C135" s="103" t="s">
        <v>283</v>
      </c>
      <c r="D135" s="104"/>
      <c r="E135" s="104"/>
      <c r="F135" s="104"/>
      <c r="G135" s="16" t="s">
        <v>321</v>
      </c>
      <c r="H135" s="26">
        <v>2</v>
      </c>
      <c r="I135" s="26">
        <v>0</v>
      </c>
      <c r="J135" s="26">
        <f t="shared" si="0"/>
        <v>0</v>
      </c>
      <c r="K135" s="26">
        <f t="shared" si="1"/>
        <v>0</v>
      </c>
      <c r="L135" s="26">
        <f t="shared" si="2"/>
        <v>0</v>
      </c>
      <c r="M135" s="26">
        <v>0.001</v>
      </c>
      <c r="N135" s="48">
        <f>H135*135</f>
        <v>270</v>
      </c>
      <c r="O135" s="5"/>
      <c r="Z135" s="37">
        <f t="shared" si="3"/>
        <v>0</v>
      </c>
      <c r="AB135" s="37">
        <f t="shared" si="4"/>
        <v>0</v>
      </c>
      <c r="AC135" s="37">
        <f t="shared" si="5"/>
        <v>0</v>
      </c>
      <c r="AD135" s="37">
        <f t="shared" si="6"/>
        <v>0</v>
      </c>
      <c r="AE135" s="37">
        <f t="shared" si="7"/>
        <v>0</v>
      </c>
      <c r="AF135" s="37">
        <f t="shared" si="8"/>
        <v>0</v>
      </c>
      <c r="AG135" s="37">
        <f t="shared" si="9"/>
        <v>0</v>
      </c>
      <c r="AH135" s="37">
        <f t="shared" si="10"/>
        <v>0</v>
      </c>
      <c r="AI135" s="35"/>
      <c r="AJ135" s="26">
        <f t="shared" si="11"/>
        <v>0</v>
      </c>
      <c r="AK135" s="26">
        <f t="shared" si="12"/>
        <v>0</v>
      </c>
      <c r="AL135" s="26">
        <f t="shared" si="13"/>
        <v>0</v>
      </c>
      <c r="AN135" s="37">
        <v>21</v>
      </c>
      <c r="AO135" s="37">
        <f t="shared" si="14"/>
        <v>0</v>
      </c>
      <c r="AP135" s="37">
        <f t="shared" si="15"/>
        <v>0</v>
      </c>
      <c r="AQ135" s="39" t="s">
        <v>348</v>
      </c>
      <c r="AV135" s="37">
        <f t="shared" si="16"/>
        <v>0</v>
      </c>
      <c r="AW135" s="37">
        <f t="shared" si="17"/>
        <v>0</v>
      </c>
      <c r="AX135" s="37">
        <f t="shared" si="18"/>
        <v>0</v>
      </c>
      <c r="AY135" s="40" t="s">
        <v>373</v>
      </c>
      <c r="AZ135" s="40" t="s">
        <v>381</v>
      </c>
      <c r="BA135" s="35" t="s">
        <v>382</v>
      </c>
      <c r="BC135" s="37">
        <f t="shared" si="19"/>
        <v>0</v>
      </c>
      <c r="BD135" s="37">
        <f t="shared" si="20"/>
        <v>0</v>
      </c>
      <c r="BE135" s="37">
        <v>0</v>
      </c>
      <c r="BF135" s="37">
        <f t="shared" si="21"/>
        <v>270</v>
      </c>
      <c r="BH135" s="26">
        <f t="shared" si="22"/>
        <v>0</v>
      </c>
      <c r="BI135" s="26">
        <f t="shared" si="23"/>
        <v>0</v>
      </c>
      <c r="BJ135" s="26">
        <f t="shared" si="24"/>
        <v>0</v>
      </c>
      <c r="BK135" s="26" t="s">
        <v>388</v>
      </c>
      <c r="BL135" s="37"/>
    </row>
    <row r="136" spans="1:64" ht="12.75">
      <c r="A136" s="7" t="s">
        <v>75</v>
      </c>
      <c r="B136" s="16" t="s">
        <v>158</v>
      </c>
      <c r="C136" s="103" t="s">
        <v>284</v>
      </c>
      <c r="D136" s="104"/>
      <c r="E136" s="104"/>
      <c r="F136" s="104"/>
      <c r="G136" s="16" t="s">
        <v>321</v>
      </c>
      <c r="H136" s="26">
        <v>72</v>
      </c>
      <c r="I136" s="26">
        <v>0</v>
      </c>
      <c r="J136" s="26">
        <f t="shared" si="0"/>
        <v>0</v>
      </c>
      <c r="K136" s="26">
        <f t="shared" si="1"/>
        <v>0</v>
      </c>
      <c r="L136" s="26">
        <f t="shared" si="2"/>
        <v>0</v>
      </c>
      <c r="M136" s="26">
        <v>0.003</v>
      </c>
      <c r="N136" s="48">
        <f>H136*136</f>
        <v>9792</v>
      </c>
      <c r="O136" s="5"/>
      <c r="Z136" s="37">
        <f t="shared" si="3"/>
        <v>0</v>
      </c>
      <c r="AB136" s="37">
        <f t="shared" si="4"/>
        <v>0</v>
      </c>
      <c r="AC136" s="37">
        <f t="shared" si="5"/>
        <v>0</v>
      </c>
      <c r="AD136" s="37">
        <f t="shared" si="6"/>
        <v>0</v>
      </c>
      <c r="AE136" s="37">
        <f t="shared" si="7"/>
        <v>0</v>
      </c>
      <c r="AF136" s="37">
        <f t="shared" si="8"/>
        <v>0</v>
      </c>
      <c r="AG136" s="37">
        <f t="shared" si="9"/>
        <v>0</v>
      </c>
      <c r="AH136" s="37">
        <f t="shared" si="10"/>
        <v>0</v>
      </c>
      <c r="AI136" s="35"/>
      <c r="AJ136" s="26">
        <f t="shared" si="11"/>
        <v>0</v>
      </c>
      <c r="AK136" s="26">
        <f t="shared" si="12"/>
        <v>0</v>
      </c>
      <c r="AL136" s="26">
        <f t="shared" si="13"/>
        <v>0</v>
      </c>
      <c r="AN136" s="37">
        <v>21</v>
      </c>
      <c r="AO136" s="37">
        <f t="shared" si="14"/>
        <v>0</v>
      </c>
      <c r="AP136" s="37">
        <f t="shared" si="15"/>
        <v>0</v>
      </c>
      <c r="AQ136" s="39" t="s">
        <v>348</v>
      </c>
      <c r="AV136" s="37">
        <f t="shared" si="16"/>
        <v>0</v>
      </c>
      <c r="AW136" s="37">
        <f t="shared" si="17"/>
        <v>0</v>
      </c>
      <c r="AX136" s="37">
        <f t="shared" si="18"/>
        <v>0</v>
      </c>
      <c r="AY136" s="40" t="s">
        <v>373</v>
      </c>
      <c r="AZ136" s="40" t="s">
        <v>381</v>
      </c>
      <c r="BA136" s="35" t="s">
        <v>382</v>
      </c>
      <c r="BC136" s="37">
        <f t="shared" si="19"/>
        <v>0</v>
      </c>
      <c r="BD136" s="37">
        <f t="shared" si="20"/>
        <v>0</v>
      </c>
      <c r="BE136" s="37">
        <v>0</v>
      </c>
      <c r="BF136" s="37">
        <f t="shared" si="21"/>
        <v>9792</v>
      </c>
      <c r="BH136" s="26">
        <f t="shared" si="22"/>
        <v>0</v>
      </c>
      <c r="BI136" s="26">
        <f t="shared" si="23"/>
        <v>0</v>
      </c>
      <c r="BJ136" s="26">
        <f t="shared" si="24"/>
        <v>0</v>
      </c>
      <c r="BK136" s="26" t="s">
        <v>388</v>
      </c>
      <c r="BL136" s="37"/>
    </row>
    <row r="137" spans="1:64" ht="12.75">
      <c r="A137" s="8" t="s">
        <v>76</v>
      </c>
      <c r="B137" s="17" t="s">
        <v>159</v>
      </c>
      <c r="C137" s="105" t="s">
        <v>285</v>
      </c>
      <c r="D137" s="106"/>
      <c r="E137" s="106"/>
      <c r="F137" s="106"/>
      <c r="G137" s="17" t="s">
        <v>324</v>
      </c>
      <c r="H137" s="27">
        <v>10</v>
      </c>
      <c r="I137" s="27">
        <v>0</v>
      </c>
      <c r="J137" s="27">
        <f t="shared" si="0"/>
        <v>0</v>
      </c>
      <c r="K137" s="27">
        <f t="shared" si="1"/>
        <v>0</v>
      </c>
      <c r="L137" s="27">
        <f t="shared" si="2"/>
        <v>0</v>
      </c>
      <c r="M137" s="27">
        <v>0.0001</v>
      </c>
      <c r="N137" s="49">
        <f>H137*137</f>
        <v>1370</v>
      </c>
      <c r="O137" s="5"/>
      <c r="Z137" s="37">
        <f t="shared" si="3"/>
        <v>0</v>
      </c>
      <c r="AB137" s="37">
        <f t="shared" si="4"/>
        <v>0</v>
      </c>
      <c r="AC137" s="37">
        <f t="shared" si="5"/>
        <v>0</v>
      </c>
      <c r="AD137" s="37">
        <f t="shared" si="6"/>
        <v>0</v>
      </c>
      <c r="AE137" s="37">
        <f t="shared" si="7"/>
        <v>0</v>
      </c>
      <c r="AF137" s="37">
        <f t="shared" si="8"/>
        <v>0</v>
      </c>
      <c r="AG137" s="37">
        <f t="shared" si="9"/>
        <v>0</v>
      </c>
      <c r="AH137" s="37">
        <f t="shared" si="10"/>
        <v>0</v>
      </c>
      <c r="AI137" s="35"/>
      <c r="AJ137" s="26">
        <f t="shared" si="11"/>
        <v>0</v>
      </c>
      <c r="AK137" s="26">
        <f t="shared" si="12"/>
        <v>0</v>
      </c>
      <c r="AL137" s="26">
        <f t="shared" si="13"/>
        <v>0</v>
      </c>
      <c r="AN137" s="37">
        <v>21</v>
      </c>
      <c r="AO137" s="37">
        <f t="shared" si="14"/>
        <v>0</v>
      </c>
      <c r="AP137" s="37">
        <f t="shared" si="15"/>
        <v>0</v>
      </c>
      <c r="AQ137" s="39" t="s">
        <v>348</v>
      </c>
      <c r="AV137" s="37">
        <f t="shared" si="16"/>
        <v>0</v>
      </c>
      <c r="AW137" s="37">
        <f t="shared" si="17"/>
        <v>0</v>
      </c>
      <c r="AX137" s="37">
        <f t="shared" si="18"/>
        <v>0</v>
      </c>
      <c r="AY137" s="40" t="s">
        <v>373</v>
      </c>
      <c r="AZ137" s="40" t="s">
        <v>381</v>
      </c>
      <c r="BA137" s="35" t="s">
        <v>382</v>
      </c>
      <c r="BC137" s="37">
        <f t="shared" si="19"/>
        <v>0</v>
      </c>
      <c r="BD137" s="37">
        <f t="shared" si="20"/>
        <v>0</v>
      </c>
      <c r="BE137" s="37">
        <v>0</v>
      </c>
      <c r="BF137" s="37">
        <f t="shared" si="21"/>
        <v>1370</v>
      </c>
      <c r="BH137" s="26">
        <f t="shared" si="22"/>
        <v>0</v>
      </c>
      <c r="BI137" s="26">
        <f t="shared" si="23"/>
        <v>0</v>
      </c>
      <c r="BJ137" s="26">
        <f t="shared" si="24"/>
        <v>0</v>
      </c>
      <c r="BK137" s="26" t="s">
        <v>388</v>
      </c>
      <c r="BL137" s="37"/>
    </row>
    <row r="138" spans="1:14" ht="12.75">
      <c r="A138" s="9"/>
      <c r="B138" s="9"/>
      <c r="C138" s="9"/>
      <c r="D138" s="9"/>
      <c r="E138" s="9"/>
      <c r="F138" s="9"/>
      <c r="G138" s="9"/>
      <c r="H138" s="9"/>
      <c r="I138" s="9"/>
      <c r="J138" s="107" t="s">
        <v>334</v>
      </c>
      <c r="K138" s="108"/>
      <c r="L138" s="44">
        <f>ROUND(L12+L16+L19+L24+L28+L32+L43+L49+L61+L63+L66+L68+L70+L74+L79+L81+L84+L87+L89+L92+L95+L100+L110+L117+L120,0)</f>
        <v>0</v>
      </c>
      <c r="M138" s="9"/>
      <c r="N138" s="9"/>
    </row>
    <row r="139" ht="11.25" customHeight="1">
      <c r="A139" s="10" t="s">
        <v>77</v>
      </c>
    </row>
    <row r="140" spans="1:14" ht="12.75">
      <c r="A140" s="109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</row>
  </sheetData>
  <mergeCells count="126">
    <mergeCell ref="A1:N1"/>
    <mergeCell ref="A2:B3"/>
    <mergeCell ref="C2:C3"/>
    <mergeCell ref="D2:D3"/>
    <mergeCell ref="E2:E3"/>
    <mergeCell ref="F2:F3"/>
    <mergeCell ref="G2:N3"/>
    <mergeCell ref="A6:B7"/>
    <mergeCell ref="C6:C7"/>
    <mergeCell ref="D6:D7"/>
    <mergeCell ref="E6:E7"/>
    <mergeCell ref="F6:F7"/>
    <mergeCell ref="G6:N7"/>
    <mergeCell ref="A4:B5"/>
    <mergeCell ref="C4:C5"/>
    <mergeCell ref="D4:D5"/>
    <mergeCell ref="E4:E5"/>
    <mergeCell ref="F4:F5"/>
    <mergeCell ref="G4:N5"/>
    <mergeCell ref="C10:F10"/>
    <mergeCell ref="J10:L10"/>
    <mergeCell ref="M10:N10"/>
    <mergeCell ref="C11:F11"/>
    <mergeCell ref="C12:F12"/>
    <mergeCell ref="C13:F13"/>
    <mergeCell ref="A8:B9"/>
    <mergeCell ref="C8:C9"/>
    <mergeCell ref="D8:D9"/>
    <mergeCell ref="E8:E9"/>
    <mergeCell ref="F8:F9"/>
    <mergeCell ref="G8:N9"/>
    <mergeCell ref="C24:F24"/>
    <mergeCell ref="C25:F25"/>
    <mergeCell ref="C27:F27"/>
    <mergeCell ref="C28:F28"/>
    <mergeCell ref="C29:F29"/>
    <mergeCell ref="C31:F31"/>
    <mergeCell ref="C15:F15"/>
    <mergeCell ref="C16:F16"/>
    <mergeCell ref="C17:F17"/>
    <mergeCell ref="C19:F19"/>
    <mergeCell ref="C20:F20"/>
    <mergeCell ref="C22:F22"/>
    <mergeCell ref="C44:F44"/>
    <mergeCell ref="C46:F46"/>
    <mergeCell ref="C48:F48"/>
    <mergeCell ref="C49:F49"/>
    <mergeCell ref="C50:F50"/>
    <mergeCell ref="C52:F52"/>
    <mergeCell ref="C32:F32"/>
    <mergeCell ref="C33:F33"/>
    <mergeCell ref="C36:F36"/>
    <mergeCell ref="C38:F38"/>
    <mergeCell ref="C41:F41"/>
    <mergeCell ref="C43:F43"/>
    <mergeCell ref="C63:F63"/>
    <mergeCell ref="C64:F64"/>
    <mergeCell ref="C66:F66"/>
    <mergeCell ref="C67:F67"/>
    <mergeCell ref="C68:F68"/>
    <mergeCell ref="C69:F69"/>
    <mergeCell ref="C54:F54"/>
    <mergeCell ref="C56:F56"/>
    <mergeCell ref="C58:F58"/>
    <mergeCell ref="C59:F59"/>
    <mergeCell ref="C61:F61"/>
    <mergeCell ref="C62:F62"/>
    <mergeCell ref="C80:F80"/>
    <mergeCell ref="C81:F81"/>
    <mergeCell ref="C82:F82"/>
    <mergeCell ref="C84:F84"/>
    <mergeCell ref="C85:F85"/>
    <mergeCell ref="C87:F87"/>
    <mergeCell ref="C70:F70"/>
    <mergeCell ref="C71:F71"/>
    <mergeCell ref="C74:F74"/>
    <mergeCell ref="C75:F75"/>
    <mergeCell ref="C77:F77"/>
    <mergeCell ref="C79:F79"/>
    <mergeCell ref="C95:F95"/>
    <mergeCell ref="C96:F96"/>
    <mergeCell ref="C97:F97"/>
    <mergeCell ref="C98:F98"/>
    <mergeCell ref="C99:F99"/>
    <mergeCell ref="C100:F100"/>
    <mergeCell ref="C88:F88"/>
    <mergeCell ref="C89:F89"/>
    <mergeCell ref="C90:F90"/>
    <mergeCell ref="C92:F92"/>
    <mergeCell ref="C93:F93"/>
    <mergeCell ref="C94:F94"/>
    <mergeCell ref="C110:F110"/>
    <mergeCell ref="C111:F111"/>
    <mergeCell ref="C113:F113"/>
    <mergeCell ref="C114:F114"/>
    <mergeCell ref="C115:F115"/>
    <mergeCell ref="C116:F116"/>
    <mergeCell ref="C101:F101"/>
    <mergeCell ref="C103:F103"/>
    <mergeCell ref="C105:F105"/>
    <mergeCell ref="C106:F106"/>
    <mergeCell ref="C107:F107"/>
    <mergeCell ref="C108:F108"/>
    <mergeCell ref="C123:F123"/>
    <mergeCell ref="C124:F124"/>
    <mergeCell ref="C125:F125"/>
    <mergeCell ref="C126:F126"/>
    <mergeCell ref="C127:F127"/>
    <mergeCell ref="C128:F128"/>
    <mergeCell ref="C117:F117"/>
    <mergeCell ref="C118:F118"/>
    <mergeCell ref="C119:F119"/>
    <mergeCell ref="C120:F120"/>
    <mergeCell ref="C121:F121"/>
    <mergeCell ref="C122:F122"/>
    <mergeCell ref="C135:F135"/>
    <mergeCell ref="C136:F136"/>
    <mergeCell ref="C137:F137"/>
    <mergeCell ref="J138:K138"/>
    <mergeCell ref="A140:N140"/>
    <mergeCell ref="C129:F129"/>
    <mergeCell ref="C130:F130"/>
    <mergeCell ref="C131:F131"/>
    <mergeCell ref="C132:F132"/>
    <mergeCell ref="C133:F133"/>
    <mergeCell ref="C134:F134"/>
  </mergeCells>
  <printOptions/>
  <pageMargins left="0.394" right="0.394" top="0.591" bottom="0.591" header="0.5" footer="0.5"/>
  <pageSetup fitToHeight="0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 topLeftCell="A1">
      <pane ySplit="10" topLeftCell="A11" activePane="bottomLeft" state="frozen"/>
      <selection pane="bottomLeft" activeCell="E6" sqref="E6:E7"/>
    </sheetView>
  </sheetViews>
  <sheetFormatPr defaultColWidth="11.57421875" defaultRowHeight="12.75"/>
  <cols>
    <col min="1" max="2" width="7.140625" style="0" customWidth="1"/>
    <col min="3" max="3" width="57.28125" style="0" customWidth="1"/>
    <col min="4" max="4" width="22.140625" style="0" customWidth="1"/>
    <col min="5" max="5" width="21.00390625" style="0" customWidth="1"/>
    <col min="6" max="6" width="20.8515625" style="0" customWidth="1"/>
    <col min="7" max="7" width="37.28125" style="0" customWidth="1"/>
    <col min="8" max="9" width="11.57421875" style="0" hidden="1" customWidth="1"/>
  </cols>
  <sheetData>
    <row r="1" spans="1:7" ht="73.15" customHeight="1">
      <c r="A1" s="134" t="s">
        <v>390</v>
      </c>
      <c r="B1" s="135"/>
      <c r="C1" s="135"/>
      <c r="D1" s="135"/>
      <c r="E1" s="135"/>
      <c r="F1" s="135"/>
      <c r="G1" s="135"/>
    </row>
    <row r="2" spans="1:8" ht="12.75">
      <c r="A2" s="136" t="s">
        <v>1</v>
      </c>
      <c r="B2" s="137"/>
      <c r="C2" s="138" t="str">
        <f>'Stavební rozpočet'!C2</f>
        <v>Napojení Aquacentra Bohumín na CZT - přípojka HV</v>
      </c>
      <c r="D2" s="140" t="s">
        <v>286</v>
      </c>
      <c r="E2" s="140" t="s">
        <v>290</v>
      </c>
      <c r="F2" s="141" t="s">
        <v>292</v>
      </c>
      <c r="G2" s="144" t="str">
        <f>'Stavební rozpočet'!G2</f>
        <v> </v>
      </c>
      <c r="H2" s="5"/>
    </row>
    <row r="3" spans="1:8" ht="12.75">
      <c r="A3" s="133"/>
      <c r="B3" s="110"/>
      <c r="C3" s="139"/>
      <c r="D3" s="110"/>
      <c r="E3" s="110"/>
      <c r="F3" s="110"/>
      <c r="G3" s="131"/>
      <c r="H3" s="5"/>
    </row>
    <row r="4" spans="1:8" ht="12.75">
      <c r="A4" s="127" t="s">
        <v>2</v>
      </c>
      <c r="B4" s="110"/>
      <c r="C4" s="109" t="str">
        <f>'Stavební rozpočet'!C4</f>
        <v>Občanská vybavenost</v>
      </c>
      <c r="D4" s="130" t="s">
        <v>287</v>
      </c>
      <c r="E4" s="130" t="s">
        <v>6</v>
      </c>
      <c r="F4" s="109" t="s">
        <v>293</v>
      </c>
      <c r="G4" s="143" t="str">
        <f>'Stavební rozpočet'!G4</f>
        <v>Ing. Stanislav Wilczek</v>
      </c>
      <c r="H4" s="5"/>
    </row>
    <row r="5" spans="1:8" ht="12.75">
      <c r="A5" s="133"/>
      <c r="B5" s="110"/>
      <c r="C5" s="110"/>
      <c r="D5" s="110"/>
      <c r="E5" s="110"/>
      <c r="F5" s="110"/>
      <c r="G5" s="131"/>
      <c r="H5" s="5"/>
    </row>
    <row r="6" spans="1:8" ht="12.75">
      <c r="A6" s="127" t="s">
        <v>3</v>
      </c>
      <c r="B6" s="110"/>
      <c r="C6" s="109" t="str">
        <f>'Stavební rozpočet'!C6</f>
        <v>Koperníkova 1216, 735 81 Nový Bohumín</v>
      </c>
      <c r="D6" s="130" t="s">
        <v>288</v>
      </c>
      <c r="E6" s="130"/>
      <c r="F6" s="109" t="s">
        <v>294</v>
      </c>
      <c r="G6" s="143" t="str">
        <f>'Stavební rozpočet'!G6</f>
        <v> </v>
      </c>
      <c r="H6" s="5"/>
    </row>
    <row r="7" spans="1:8" ht="12.75">
      <c r="A7" s="133"/>
      <c r="B7" s="110"/>
      <c r="C7" s="110"/>
      <c r="D7" s="110"/>
      <c r="E7" s="110"/>
      <c r="F7" s="110"/>
      <c r="G7" s="131"/>
      <c r="H7" s="5"/>
    </row>
    <row r="8" spans="1:8" ht="12.75">
      <c r="A8" s="127" t="s">
        <v>295</v>
      </c>
      <c r="B8" s="110"/>
      <c r="C8" s="109" t="str">
        <f>'Stavební rozpočet'!G8</f>
        <v>Ing. Stanislav Wilczek</v>
      </c>
      <c r="D8" s="130" t="s">
        <v>289</v>
      </c>
      <c r="E8" s="130" t="s">
        <v>291</v>
      </c>
      <c r="F8" s="130" t="s">
        <v>289</v>
      </c>
      <c r="G8" s="143" t="str">
        <f>'Stavební rozpočet'!E8</f>
        <v>28.02.2023</v>
      </c>
      <c r="H8" s="5"/>
    </row>
    <row r="9" spans="1:8" ht="12.75">
      <c r="A9" s="128"/>
      <c r="B9" s="129"/>
      <c r="C9" s="129"/>
      <c r="D9" s="129"/>
      <c r="E9" s="129"/>
      <c r="F9" s="129"/>
      <c r="G9" s="132"/>
      <c r="H9" s="5"/>
    </row>
    <row r="10" spans="1:8" ht="12.75">
      <c r="A10" s="50" t="s">
        <v>391</v>
      </c>
      <c r="B10" s="54" t="s">
        <v>78</v>
      </c>
      <c r="C10" s="57" t="s">
        <v>163</v>
      </c>
      <c r="D10" s="58" t="s">
        <v>392</v>
      </c>
      <c r="E10" s="58" t="s">
        <v>393</v>
      </c>
      <c r="F10" s="58" t="s">
        <v>394</v>
      </c>
      <c r="G10" s="59" t="s">
        <v>395</v>
      </c>
      <c r="H10" s="60"/>
    </row>
    <row r="11" spans="1:9" ht="12.75">
      <c r="A11" s="51"/>
      <c r="B11" s="55" t="s">
        <v>17</v>
      </c>
      <c r="C11" s="55" t="s">
        <v>165</v>
      </c>
      <c r="D11" s="62">
        <f>'Stavební rozpočet'!J12</f>
        <v>0</v>
      </c>
      <c r="E11" s="62">
        <f>'Stavební rozpočet'!K12</f>
        <v>0</v>
      </c>
      <c r="F11" s="62">
        <f>'Stavební rozpočet'!L12</f>
        <v>0</v>
      </c>
      <c r="G11" s="64">
        <f>'Stavební rozpočet'!N12</f>
        <v>175</v>
      </c>
      <c r="H11" s="61" t="s">
        <v>396</v>
      </c>
      <c r="I11" s="37">
        <f aca="true" t="shared" si="0" ref="I11:I35">IF(H11="F",0,F11)</f>
        <v>0</v>
      </c>
    </row>
    <row r="12" spans="1:9" ht="12.75">
      <c r="A12" s="52"/>
      <c r="B12" s="19" t="s">
        <v>18</v>
      </c>
      <c r="C12" s="19" t="s">
        <v>168</v>
      </c>
      <c r="D12" s="37">
        <f>'Stavební rozpočet'!J16</f>
        <v>0</v>
      </c>
      <c r="E12" s="37">
        <f>'Stavební rozpočet'!K16</f>
        <v>0</v>
      </c>
      <c r="F12" s="37">
        <f>'Stavební rozpočet'!L16</f>
        <v>0</v>
      </c>
      <c r="G12" s="65">
        <f>'Stavební rozpočet'!N16</f>
        <v>15.3</v>
      </c>
      <c r="H12" s="61" t="s">
        <v>396</v>
      </c>
      <c r="I12" s="37">
        <f t="shared" si="0"/>
        <v>0</v>
      </c>
    </row>
    <row r="13" spans="1:9" ht="12.75">
      <c r="A13" s="52"/>
      <c r="B13" s="19" t="s">
        <v>19</v>
      </c>
      <c r="C13" s="19" t="s">
        <v>171</v>
      </c>
      <c r="D13" s="37">
        <f>'Stavební rozpočet'!J19</f>
        <v>0</v>
      </c>
      <c r="E13" s="37">
        <f>'Stavební rozpočet'!K19</f>
        <v>0</v>
      </c>
      <c r="F13" s="37">
        <f>'Stavební rozpočet'!L19</f>
        <v>0</v>
      </c>
      <c r="G13" s="65">
        <f>'Stavební rozpočet'!N19</f>
        <v>873</v>
      </c>
      <c r="H13" s="61" t="s">
        <v>396</v>
      </c>
      <c r="I13" s="37">
        <f t="shared" si="0"/>
        <v>0</v>
      </c>
    </row>
    <row r="14" spans="1:9" ht="12.75">
      <c r="A14" s="52"/>
      <c r="B14" s="19" t="s">
        <v>21</v>
      </c>
      <c r="C14" s="19" t="s">
        <v>176</v>
      </c>
      <c r="D14" s="37">
        <f>'Stavební rozpočet'!J24</f>
        <v>0</v>
      </c>
      <c r="E14" s="37">
        <f>'Stavební rozpočet'!K24</f>
        <v>0</v>
      </c>
      <c r="F14" s="37">
        <f>'Stavební rozpočet'!L24</f>
        <v>0</v>
      </c>
      <c r="G14" s="65">
        <f>'Stavební rozpočet'!N24</f>
        <v>234</v>
      </c>
      <c r="H14" s="61" t="s">
        <v>396</v>
      </c>
      <c r="I14" s="37">
        <f t="shared" si="0"/>
        <v>0</v>
      </c>
    </row>
    <row r="15" spans="1:9" ht="12.75">
      <c r="A15" s="52"/>
      <c r="B15" s="19" t="s">
        <v>22</v>
      </c>
      <c r="C15" s="19" t="s">
        <v>180</v>
      </c>
      <c r="D15" s="37">
        <f>'Stavební rozpočet'!J28</f>
        <v>0</v>
      </c>
      <c r="E15" s="37">
        <f>'Stavební rozpočet'!K28</f>
        <v>0</v>
      </c>
      <c r="F15" s="37">
        <f>'Stavební rozpočet'!L28</f>
        <v>0</v>
      </c>
      <c r="G15" s="65">
        <f>'Stavební rozpočet'!N28</f>
        <v>109.2</v>
      </c>
      <c r="H15" s="61" t="s">
        <v>396</v>
      </c>
      <c r="I15" s="37">
        <f t="shared" si="0"/>
        <v>0</v>
      </c>
    </row>
    <row r="16" spans="1:9" ht="12.75">
      <c r="A16" s="52"/>
      <c r="B16" s="19" t="s">
        <v>23</v>
      </c>
      <c r="C16" s="19" t="s">
        <v>184</v>
      </c>
      <c r="D16" s="37">
        <f>'Stavební rozpočet'!J32</f>
        <v>0</v>
      </c>
      <c r="E16" s="37">
        <f>'Stavební rozpočet'!K32</f>
        <v>0</v>
      </c>
      <c r="F16" s="37">
        <f>'Stavební rozpočet'!L32</f>
        <v>0</v>
      </c>
      <c r="G16" s="65">
        <f>'Stavební rozpočet'!N32</f>
        <v>5660.250000000001</v>
      </c>
      <c r="H16" s="61" t="s">
        <v>396</v>
      </c>
      <c r="I16" s="37">
        <f t="shared" si="0"/>
        <v>0</v>
      </c>
    </row>
    <row r="17" spans="1:9" ht="12.75">
      <c r="A17" s="52"/>
      <c r="B17" s="19" t="s">
        <v>24</v>
      </c>
      <c r="C17" s="19" t="s">
        <v>195</v>
      </c>
      <c r="D17" s="37">
        <f>'Stavební rozpočet'!J43</f>
        <v>0</v>
      </c>
      <c r="E17" s="37">
        <f>'Stavební rozpočet'!K43</f>
        <v>0</v>
      </c>
      <c r="F17" s="37">
        <f>'Stavební rozpočet'!L43</f>
        <v>0</v>
      </c>
      <c r="G17" s="65">
        <f>'Stavební rozpočet'!N43</f>
        <v>1930.3400000000001</v>
      </c>
      <c r="H17" s="61" t="s">
        <v>396</v>
      </c>
      <c r="I17" s="37">
        <f t="shared" si="0"/>
        <v>0</v>
      </c>
    </row>
    <row r="18" spans="1:9" ht="12.75">
      <c r="A18" s="52"/>
      <c r="B18" s="19" t="s">
        <v>39</v>
      </c>
      <c r="C18" s="19" t="s">
        <v>201</v>
      </c>
      <c r="D18" s="37">
        <f>'Stavební rozpočet'!J49</f>
        <v>0</v>
      </c>
      <c r="E18" s="37">
        <f>'Stavební rozpočet'!K49</f>
        <v>0</v>
      </c>
      <c r="F18" s="37">
        <f>'Stavební rozpočet'!L49</f>
        <v>0</v>
      </c>
      <c r="G18" s="65">
        <f>'Stavební rozpočet'!N49</f>
        <v>2016.1999999999998</v>
      </c>
      <c r="H18" s="61" t="s">
        <v>396</v>
      </c>
      <c r="I18" s="37">
        <f t="shared" si="0"/>
        <v>0</v>
      </c>
    </row>
    <row r="19" spans="1:9" ht="12.75">
      <c r="A19" s="52"/>
      <c r="B19" s="19" t="s">
        <v>40</v>
      </c>
      <c r="C19" s="19" t="s">
        <v>212</v>
      </c>
      <c r="D19" s="37">
        <f>'Stavební rozpočet'!J61</f>
        <v>0</v>
      </c>
      <c r="E19" s="37">
        <f>'Stavební rozpočet'!K61</f>
        <v>0</v>
      </c>
      <c r="F19" s="37">
        <f>'Stavební rozpočet'!L61</f>
        <v>0</v>
      </c>
      <c r="G19" s="65">
        <f>'Stavební rozpočet'!N61</f>
        <v>124</v>
      </c>
      <c r="H19" s="61" t="s">
        <v>396</v>
      </c>
      <c r="I19" s="37">
        <f t="shared" si="0"/>
        <v>0</v>
      </c>
    </row>
    <row r="20" spans="1:9" ht="12.75">
      <c r="A20" s="52"/>
      <c r="B20" s="19" t="s">
        <v>102</v>
      </c>
      <c r="C20" s="19" t="s">
        <v>214</v>
      </c>
      <c r="D20" s="37">
        <f>'Stavební rozpočet'!J63</f>
        <v>0</v>
      </c>
      <c r="E20" s="37">
        <f>'Stavební rozpočet'!K63</f>
        <v>0</v>
      </c>
      <c r="F20" s="37">
        <f>'Stavební rozpočet'!L63</f>
        <v>0</v>
      </c>
      <c r="G20" s="65">
        <f>'Stavební rozpočet'!N63</f>
        <v>102.4</v>
      </c>
      <c r="H20" s="61" t="s">
        <v>396</v>
      </c>
      <c r="I20" s="37">
        <f t="shared" si="0"/>
        <v>0</v>
      </c>
    </row>
    <row r="21" spans="1:9" ht="12.75">
      <c r="A21" s="52"/>
      <c r="B21" s="19" t="s">
        <v>67</v>
      </c>
      <c r="C21" s="19" t="s">
        <v>217</v>
      </c>
      <c r="D21" s="37">
        <f>'Stavební rozpočet'!J66</f>
        <v>0</v>
      </c>
      <c r="E21" s="37">
        <f>'Stavební rozpočet'!K66</f>
        <v>0</v>
      </c>
      <c r="F21" s="37">
        <f>'Stavební rozpočet'!L66</f>
        <v>0</v>
      </c>
      <c r="G21" s="65">
        <f>'Stavební rozpočet'!N66</f>
        <v>134</v>
      </c>
      <c r="H21" s="61" t="s">
        <v>396</v>
      </c>
      <c r="I21" s="37">
        <f t="shared" si="0"/>
        <v>0</v>
      </c>
    </row>
    <row r="22" spans="1:9" ht="12.75">
      <c r="A22" s="52"/>
      <c r="B22" s="19" t="s">
        <v>68</v>
      </c>
      <c r="C22" s="19" t="s">
        <v>219</v>
      </c>
      <c r="D22" s="37">
        <f>'Stavební rozpočet'!J68</f>
        <v>0</v>
      </c>
      <c r="E22" s="37">
        <f>'Stavební rozpočet'!K68</f>
        <v>0</v>
      </c>
      <c r="F22" s="37">
        <f>'Stavební rozpočet'!L68</f>
        <v>0</v>
      </c>
      <c r="G22" s="65">
        <f>'Stavební rozpočet'!N68</f>
        <v>138</v>
      </c>
      <c r="H22" s="61" t="s">
        <v>396</v>
      </c>
      <c r="I22" s="37">
        <f t="shared" si="0"/>
        <v>0</v>
      </c>
    </row>
    <row r="23" spans="1:9" ht="12.75">
      <c r="A23" s="52"/>
      <c r="B23" s="19" t="s">
        <v>106</v>
      </c>
      <c r="C23" s="19" t="s">
        <v>221</v>
      </c>
      <c r="D23" s="37">
        <f>'Stavební rozpočet'!J70</f>
        <v>0</v>
      </c>
      <c r="E23" s="37">
        <f>'Stavební rozpočet'!K70</f>
        <v>0</v>
      </c>
      <c r="F23" s="37">
        <f>'Stavební rozpočet'!L70</f>
        <v>0</v>
      </c>
      <c r="G23" s="65">
        <f>'Stavební rozpočet'!N70</f>
        <v>17633.56</v>
      </c>
      <c r="H23" s="61" t="s">
        <v>396</v>
      </c>
      <c r="I23" s="37">
        <f t="shared" si="0"/>
        <v>0</v>
      </c>
    </row>
    <row r="24" spans="1:9" ht="12.75">
      <c r="A24" s="52"/>
      <c r="B24" s="19" t="s">
        <v>108</v>
      </c>
      <c r="C24" s="19" t="s">
        <v>225</v>
      </c>
      <c r="D24" s="37">
        <f>'Stavební rozpočet'!J74</f>
        <v>0</v>
      </c>
      <c r="E24" s="37">
        <f>'Stavební rozpočet'!K74</f>
        <v>0</v>
      </c>
      <c r="F24" s="37">
        <f>'Stavební rozpočet'!L74</f>
        <v>0</v>
      </c>
      <c r="G24" s="65">
        <f>'Stavební rozpočet'!N74</f>
        <v>20724.5</v>
      </c>
      <c r="H24" s="61" t="s">
        <v>396</v>
      </c>
      <c r="I24" s="37">
        <f t="shared" si="0"/>
        <v>0</v>
      </c>
    </row>
    <row r="25" spans="1:9" ht="12.75">
      <c r="A25" s="52"/>
      <c r="B25" s="19" t="s">
        <v>111</v>
      </c>
      <c r="C25" s="19" t="s">
        <v>230</v>
      </c>
      <c r="D25" s="37">
        <f>'Stavební rozpočet'!J79</f>
        <v>0</v>
      </c>
      <c r="E25" s="37">
        <f>'Stavební rozpočet'!K79</f>
        <v>0</v>
      </c>
      <c r="F25" s="37">
        <f>'Stavební rozpočet'!L79</f>
        <v>0</v>
      </c>
      <c r="G25" s="65">
        <f>'Stavební rozpočet'!N79</f>
        <v>2560</v>
      </c>
      <c r="H25" s="61" t="s">
        <v>396</v>
      </c>
      <c r="I25" s="37">
        <f t="shared" si="0"/>
        <v>0</v>
      </c>
    </row>
    <row r="26" spans="1:9" ht="12.75">
      <c r="A26" s="52"/>
      <c r="B26" s="19" t="s">
        <v>113</v>
      </c>
      <c r="C26" s="19" t="s">
        <v>232</v>
      </c>
      <c r="D26" s="37">
        <f>'Stavební rozpočet'!J81</f>
        <v>0</v>
      </c>
      <c r="E26" s="37">
        <f>'Stavební rozpočet'!K81</f>
        <v>0</v>
      </c>
      <c r="F26" s="37">
        <f>'Stavební rozpočet'!L81</f>
        <v>0</v>
      </c>
      <c r="G26" s="65">
        <f>'Stavební rozpočet'!N81</f>
        <v>82</v>
      </c>
      <c r="H26" s="61" t="s">
        <v>396</v>
      </c>
      <c r="I26" s="37">
        <f t="shared" si="0"/>
        <v>0</v>
      </c>
    </row>
    <row r="27" spans="1:9" ht="12.75">
      <c r="A27" s="52"/>
      <c r="B27" s="19" t="s">
        <v>115</v>
      </c>
      <c r="C27" s="19" t="s">
        <v>235</v>
      </c>
      <c r="D27" s="37">
        <f>'Stavební rozpočet'!J84</f>
        <v>0</v>
      </c>
      <c r="E27" s="37">
        <f>'Stavební rozpočet'!K84</f>
        <v>0</v>
      </c>
      <c r="F27" s="37">
        <f>'Stavební rozpočet'!L84</f>
        <v>0</v>
      </c>
      <c r="G27" s="65">
        <f>'Stavební rozpočet'!N84</f>
        <v>568.65</v>
      </c>
      <c r="H27" s="61" t="s">
        <v>396</v>
      </c>
      <c r="I27" s="37">
        <f t="shared" si="0"/>
        <v>0</v>
      </c>
    </row>
    <row r="28" spans="1:9" ht="12.75">
      <c r="A28" s="52"/>
      <c r="B28" s="19" t="s">
        <v>117</v>
      </c>
      <c r="C28" s="19" t="s">
        <v>238</v>
      </c>
      <c r="D28" s="37">
        <f>'Stavební rozpočet'!J87</f>
        <v>0</v>
      </c>
      <c r="E28" s="37">
        <f>'Stavební rozpočet'!K87</f>
        <v>0</v>
      </c>
      <c r="F28" s="37">
        <f>'Stavební rozpočet'!L87</f>
        <v>0</v>
      </c>
      <c r="G28" s="65">
        <f>'Stavební rozpočet'!N87</f>
        <v>264</v>
      </c>
      <c r="H28" s="61" t="s">
        <v>396</v>
      </c>
      <c r="I28" s="37">
        <f t="shared" si="0"/>
        <v>0</v>
      </c>
    </row>
    <row r="29" spans="1:9" ht="12.75">
      <c r="A29" s="52"/>
      <c r="B29" s="19" t="s">
        <v>119</v>
      </c>
      <c r="C29" s="19" t="s">
        <v>240</v>
      </c>
      <c r="D29" s="37">
        <f>'Stavební rozpočet'!J89</f>
        <v>0</v>
      </c>
      <c r="E29" s="37">
        <f>'Stavební rozpočet'!K89</f>
        <v>0</v>
      </c>
      <c r="F29" s="37">
        <f>'Stavební rozpočet'!L89</f>
        <v>0</v>
      </c>
      <c r="G29" s="65">
        <f>'Stavební rozpočet'!N89</f>
        <v>31.499999999999996</v>
      </c>
      <c r="H29" s="61" t="s">
        <v>396</v>
      </c>
      <c r="I29" s="37">
        <f t="shared" si="0"/>
        <v>0</v>
      </c>
    </row>
    <row r="30" spans="1:9" ht="12.75">
      <c r="A30" s="52"/>
      <c r="B30" s="19" t="s">
        <v>121</v>
      </c>
      <c r="C30" s="19" t="s">
        <v>221</v>
      </c>
      <c r="D30" s="37">
        <f>'Stavební rozpočet'!J92</f>
        <v>0</v>
      </c>
      <c r="E30" s="37">
        <f>'Stavební rozpočet'!K92</f>
        <v>0</v>
      </c>
      <c r="F30" s="37">
        <f>'Stavební rozpočet'!L92</f>
        <v>0</v>
      </c>
      <c r="G30" s="65">
        <f>'Stavební rozpočet'!N92</f>
        <v>46.75</v>
      </c>
      <c r="H30" s="61" t="s">
        <v>396</v>
      </c>
      <c r="I30" s="37">
        <f t="shared" si="0"/>
        <v>0</v>
      </c>
    </row>
    <row r="31" spans="1:9" ht="12.75">
      <c r="A31" s="52"/>
      <c r="B31" s="19" t="s">
        <v>124</v>
      </c>
      <c r="C31" s="19" t="s">
        <v>245</v>
      </c>
      <c r="D31" s="37">
        <f>'Stavební rozpočet'!J95</f>
        <v>0</v>
      </c>
      <c r="E31" s="37">
        <f>'Stavební rozpočet'!K95</f>
        <v>0</v>
      </c>
      <c r="F31" s="37">
        <f>'Stavební rozpočet'!L95</f>
        <v>0</v>
      </c>
      <c r="G31" s="65">
        <f>'Stavební rozpočet'!N95</f>
        <v>1432.8</v>
      </c>
      <c r="H31" s="61" t="s">
        <v>396</v>
      </c>
      <c r="I31" s="37">
        <f t="shared" si="0"/>
        <v>0</v>
      </c>
    </row>
    <row r="32" spans="1:9" ht="12.75">
      <c r="A32" s="52"/>
      <c r="B32" s="19" t="s">
        <v>129</v>
      </c>
      <c r="C32" s="19" t="s">
        <v>250</v>
      </c>
      <c r="D32" s="37">
        <f>'Stavební rozpočet'!J100</f>
        <v>0</v>
      </c>
      <c r="E32" s="37">
        <f>'Stavební rozpočet'!K100</f>
        <v>0</v>
      </c>
      <c r="F32" s="37">
        <f>'Stavební rozpočet'!L100</f>
        <v>0</v>
      </c>
      <c r="G32" s="65">
        <f>'Stavební rozpočet'!N100</f>
        <v>87504</v>
      </c>
      <c r="H32" s="61" t="s">
        <v>396</v>
      </c>
      <c r="I32" s="37">
        <f t="shared" si="0"/>
        <v>0</v>
      </c>
    </row>
    <row r="33" spans="1:9" ht="12.75">
      <c r="A33" s="52"/>
      <c r="B33" s="19" t="s">
        <v>136</v>
      </c>
      <c r="C33" s="19" t="s">
        <v>259</v>
      </c>
      <c r="D33" s="37">
        <f>'Stavební rozpočet'!J110</f>
        <v>0</v>
      </c>
      <c r="E33" s="37">
        <f>'Stavební rozpočet'!K110</f>
        <v>0</v>
      </c>
      <c r="F33" s="37">
        <f>'Stavební rozpočet'!L110</f>
        <v>0</v>
      </c>
      <c r="G33" s="65">
        <f>'Stavební rozpočet'!N110</f>
        <v>1134</v>
      </c>
      <c r="H33" s="61" t="s">
        <v>396</v>
      </c>
      <c r="I33" s="37">
        <f t="shared" si="0"/>
        <v>0</v>
      </c>
    </row>
    <row r="34" spans="1:9" ht="12.75">
      <c r="A34" s="52"/>
      <c r="B34" s="19" t="s">
        <v>140</v>
      </c>
      <c r="C34" s="19" t="s">
        <v>265</v>
      </c>
      <c r="D34" s="37">
        <f>'Stavební rozpočet'!J117</f>
        <v>0</v>
      </c>
      <c r="E34" s="37">
        <f>'Stavební rozpočet'!K117</f>
        <v>0</v>
      </c>
      <c r="F34" s="37">
        <f>'Stavební rozpočet'!L117</f>
        <v>0</v>
      </c>
      <c r="G34" s="65">
        <f>'Stavební rozpočet'!N117</f>
        <v>475</v>
      </c>
      <c r="H34" s="61" t="s">
        <v>396</v>
      </c>
      <c r="I34" s="37">
        <f t="shared" si="0"/>
        <v>0</v>
      </c>
    </row>
    <row r="35" spans="1:9" ht="12.75">
      <c r="A35" s="53"/>
      <c r="B35" s="56"/>
      <c r="C35" s="56" t="s">
        <v>268</v>
      </c>
      <c r="D35" s="63">
        <f>'Stavební rozpočet'!J120</f>
        <v>0</v>
      </c>
      <c r="E35" s="63">
        <f>'Stavební rozpočet'!K120</f>
        <v>0</v>
      </c>
      <c r="F35" s="63">
        <f>'Stavební rozpočet'!L120</f>
        <v>0</v>
      </c>
      <c r="G35" s="66">
        <f>'Stavební rozpočet'!N120</f>
        <v>23969</v>
      </c>
      <c r="H35" s="61" t="s">
        <v>396</v>
      </c>
      <c r="I35" s="37">
        <f t="shared" si="0"/>
        <v>0</v>
      </c>
    </row>
    <row r="36" spans="1:7" ht="12.75">
      <c r="A36" s="9"/>
      <c r="B36" s="9"/>
      <c r="C36" s="9"/>
      <c r="D36" s="9"/>
      <c r="E36" s="31" t="s">
        <v>334</v>
      </c>
      <c r="F36" s="44">
        <f>ROUND(SUM(I11:I35),0)</f>
        <v>0</v>
      </c>
      <c r="G36" s="9"/>
    </row>
  </sheetData>
  <mergeCells count="25">
    <mergeCell ref="G4:G5"/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8:G9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</mergeCells>
  <printOptions/>
  <pageMargins left="0.394" right="0.394" top="0.591" bottom="0.591" header="0.5" footer="0.5"/>
  <pageSetup fitToHeight="0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9"/>
  <sheetViews>
    <sheetView workbookViewId="0" topLeftCell="A1">
      <pane ySplit="10" topLeftCell="A11" activePane="bottomLeft" state="frozen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79.28125" style="0" customWidth="1"/>
    <col min="5" max="5" width="58.2812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3.15" customHeight="1">
      <c r="A1" s="134" t="s">
        <v>397</v>
      </c>
      <c r="B1" s="135"/>
      <c r="C1" s="135"/>
      <c r="D1" s="135"/>
      <c r="E1" s="135"/>
      <c r="F1" s="135"/>
      <c r="G1" s="135"/>
      <c r="H1" s="135"/>
    </row>
    <row r="2" spans="1:9" ht="12.75">
      <c r="A2" s="136" t="s">
        <v>1</v>
      </c>
      <c r="B2" s="137"/>
      <c r="C2" s="138" t="str">
        <f>'Stavební rozpočet'!C2</f>
        <v>Napojení Aquacentra Bohumín na CZT - přípojka HV</v>
      </c>
      <c r="D2" s="108"/>
      <c r="E2" s="141" t="s">
        <v>292</v>
      </c>
      <c r="F2" s="141" t="str">
        <f>'Stavební rozpočet'!G2</f>
        <v> </v>
      </c>
      <c r="G2" s="137"/>
      <c r="H2" s="142"/>
      <c r="I2" s="5"/>
    </row>
    <row r="3" spans="1:9" ht="12.75">
      <c r="A3" s="133"/>
      <c r="B3" s="110"/>
      <c r="C3" s="139"/>
      <c r="D3" s="139"/>
      <c r="E3" s="110"/>
      <c r="F3" s="110"/>
      <c r="G3" s="110"/>
      <c r="H3" s="131"/>
      <c r="I3" s="5"/>
    </row>
    <row r="4" spans="1:9" ht="12.75">
      <c r="A4" s="127" t="s">
        <v>2</v>
      </c>
      <c r="B4" s="110"/>
      <c r="C4" s="109" t="str">
        <f>'Stavební rozpočet'!C4</f>
        <v>Občanská vybavenost</v>
      </c>
      <c r="D4" s="110"/>
      <c r="E4" s="109" t="s">
        <v>293</v>
      </c>
      <c r="F4" s="109" t="str">
        <f>'Stavební rozpočet'!G4</f>
        <v>Ing. Stanislav Wilczek</v>
      </c>
      <c r="G4" s="110"/>
      <c r="H4" s="131"/>
      <c r="I4" s="5"/>
    </row>
    <row r="5" spans="1:9" ht="12.75">
      <c r="A5" s="133"/>
      <c r="B5" s="110"/>
      <c r="C5" s="110"/>
      <c r="D5" s="110"/>
      <c r="E5" s="110"/>
      <c r="F5" s="110"/>
      <c r="G5" s="110"/>
      <c r="H5" s="131"/>
      <c r="I5" s="5"/>
    </row>
    <row r="6" spans="1:9" ht="12.75">
      <c r="A6" s="127" t="s">
        <v>3</v>
      </c>
      <c r="B6" s="110"/>
      <c r="C6" s="109" t="str">
        <f>'Stavební rozpočet'!C6</f>
        <v>Koperníkova 1216, 735 81 Nový Bohumín</v>
      </c>
      <c r="D6" s="110"/>
      <c r="E6" s="109" t="s">
        <v>294</v>
      </c>
      <c r="F6" s="109" t="str">
        <f>'Stavební rozpočet'!G6</f>
        <v> </v>
      </c>
      <c r="G6" s="110"/>
      <c r="H6" s="131"/>
      <c r="I6" s="5"/>
    </row>
    <row r="7" spans="1:9" ht="12.75">
      <c r="A7" s="133"/>
      <c r="B7" s="110"/>
      <c r="C7" s="110"/>
      <c r="D7" s="110"/>
      <c r="E7" s="110"/>
      <c r="F7" s="110"/>
      <c r="G7" s="110"/>
      <c r="H7" s="131"/>
      <c r="I7" s="5"/>
    </row>
    <row r="8" spans="1:9" ht="12.75">
      <c r="A8" s="127" t="s">
        <v>295</v>
      </c>
      <c r="B8" s="110"/>
      <c r="C8" s="109" t="str">
        <f>'Stavební rozpočet'!G8</f>
        <v>Ing. Stanislav Wilczek</v>
      </c>
      <c r="D8" s="110"/>
      <c r="E8" s="109" t="s">
        <v>289</v>
      </c>
      <c r="F8" s="109" t="str">
        <f>'Stavební rozpočet'!E8</f>
        <v>28.02.2023</v>
      </c>
      <c r="G8" s="110"/>
      <c r="H8" s="131"/>
      <c r="I8" s="5"/>
    </row>
    <row r="9" spans="1:9" ht="12.75">
      <c r="A9" s="128"/>
      <c r="B9" s="129"/>
      <c r="C9" s="129"/>
      <c r="D9" s="129"/>
      <c r="E9" s="129"/>
      <c r="F9" s="129"/>
      <c r="G9" s="129"/>
      <c r="H9" s="132"/>
      <c r="I9" s="5"/>
    </row>
    <row r="10" spans="1:9" ht="12.75">
      <c r="A10" s="54" t="s">
        <v>5</v>
      </c>
      <c r="B10" s="57" t="s">
        <v>391</v>
      </c>
      <c r="C10" s="57" t="s">
        <v>78</v>
      </c>
      <c r="D10" s="146" t="s">
        <v>163</v>
      </c>
      <c r="E10" s="147"/>
      <c r="F10" s="57" t="s">
        <v>317</v>
      </c>
      <c r="G10" s="70" t="s">
        <v>329</v>
      </c>
      <c r="H10" s="73" t="s">
        <v>398</v>
      </c>
      <c r="I10" s="60"/>
    </row>
    <row r="11" spans="1:9" ht="12.75">
      <c r="A11" s="67"/>
      <c r="B11" s="13"/>
      <c r="C11" s="13" t="s">
        <v>17</v>
      </c>
      <c r="D11" s="125" t="s">
        <v>165</v>
      </c>
      <c r="E11" s="126"/>
      <c r="F11" s="13"/>
      <c r="G11" s="42"/>
      <c r="H11" s="74"/>
      <c r="I11" s="5"/>
    </row>
    <row r="12" spans="1:9" ht="12.75">
      <c r="A12" s="4" t="s">
        <v>7</v>
      </c>
      <c r="B12" s="14"/>
      <c r="C12" s="14" t="s">
        <v>79</v>
      </c>
      <c r="D12" s="113" t="s">
        <v>166</v>
      </c>
      <c r="E12" s="114"/>
      <c r="F12" s="14" t="s">
        <v>318</v>
      </c>
      <c r="G12" s="24">
        <v>10</v>
      </c>
      <c r="H12" s="46">
        <v>0</v>
      </c>
      <c r="I12" s="5"/>
    </row>
    <row r="13" spans="1:9" ht="12.2" customHeight="1">
      <c r="A13" s="4"/>
      <c r="B13" s="14"/>
      <c r="C13" s="14"/>
      <c r="D13" s="69"/>
      <c r="E13" s="145" t="s">
        <v>296</v>
      </c>
      <c r="F13" s="145"/>
      <c r="G13" s="71">
        <v>0</v>
      </c>
      <c r="H13" s="75"/>
      <c r="I13" s="5"/>
    </row>
    <row r="14" spans="1:9" ht="12.75">
      <c r="A14" s="4" t="s">
        <v>8</v>
      </c>
      <c r="B14" s="14"/>
      <c r="C14" s="14" t="s">
        <v>80</v>
      </c>
      <c r="D14" s="113" t="s">
        <v>167</v>
      </c>
      <c r="E14" s="114"/>
      <c r="F14" s="14" t="s">
        <v>319</v>
      </c>
      <c r="G14" s="24">
        <v>3</v>
      </c>
      <c r="H14" s="46">
        <v>0</v>
      </c>
      <c r="I14" s="5"/>
    </row>
    <row r="15" spans="1:9" ht="12.75">
      <c r="A15" s="68"/>
      <c r="B15" s="15"/>
      <c r="C15" s="15" t="s">
        <v>18</v>
      </c>
      <c r="D15" s="111" t="s">
        <v>168</v>
      </c>
      <c r="E15" s="112"/>
      <c r="F15" s="15"/>
      <c r="G15" s="43"/>
      <c r="H15" s="76"/>
      <c r="I15" s="5"/>
    </row>
    <row r="16" spans="1:9" ht="12.75">
      <c r="A16" s="4" t="s">
        <v>9</v>
      </c>
      <c r="B16" s="14"/>
      <c r="C16" s="14" t="s">
        <v>81</v>
      </c>
      <c r="D16" s="113" t="s">
        <v>169</v>
      </c>
      <c r="E16" s="114"/>
      <c r="F16" s="14" t="s">
        <v>320</v>
      </c>
      <c r="G16" s="24">
        <v>0.9</v>
      </c>
      <c r="H16" s="46">
        <v>0</v>
      </c>
      <c r="I16" s="5"/>
    </row>
    <row r="17" spans="1:9" ht="12.2" customHeight="1">
      <c r="A17" s="4"/>
      <c r="B17" s="14"/>
      <c r="C17" s="14"/>
      <c r="D17" s="69" t="s">
        <v>170</v>
      </c>
      <c r="E17" s="145" t="s">
        <v>297</v>
      </c>
      <c r="F17" s="145"/>
      <c r="G17" s="71">
        <v>0.9</v>
      </c>
      <c r="H17" s="75"/>
      <c r="I17" s="5"/>
    </row>
    <row r="18" spans="1:9" ht="12.75">
      <c r="A18" s="68"/>
      <c r="B18" s="15"/>
      <c r="C18" s="15" t="s">
        <v>19</v>
      </c>
      <c r="D18" s="111" t="s">
        <v>171</v>
      </c>
      <c r="E18" s="112"/>
      <c r="F18" s="15"/>
      <c r="G18" s="43"/>
      <c r="H18" s="76"/>
      <c r="I18" s="5"/>
    </row>
    <row r="19" spans="1:9" ht="12.75">
      <c r="A19" s="4" t="s">
        <v>10</v>
      </c>
      <c r="B19" s="14"/>
      <c r="C19" s="14" t="s">
        <v>82</v>
      </c>
      <c r="D19" s="113" t="s">
        <v>172</v>
      </c>
      <c r="E19" s="114"/>
      <c r="F19" s="14" t="s">
        <v>320</v>
      </c>
      <c r="G19" s="24">
        <v>4.05</v>
      </c>
      <c r="H19" s="46">
        <v>0</v>
      </c>
      <c r="I19" s="5"/>
    </row>
    <row r="20" spans="1:9" ht="12.2" customHeight="1">
      <c r="A20" s="4"/>
      <c r="B20" s="14"/>
      <c r="C20" s="14"/>
      <c r="D20" s="69" t="s">
        <v>173</v>
      </c>
      <c r="E20" s="145"/>
      <c r="F20" s="145"/>
      <c r="G20" s="71">
        <v>4.05</v>
      </c>
      <c r="H20" s="75"/>
      <c r="I20" s="5"/>
    </row>
    <row r="21" spans="1:9" ht="12.75">
      <c r="A21" s="4" t="s">
        <v>11</v>
      </c>
      <c r="B21" s="14"/>
      <c r="C21" s="14" t="s">
        <v>83</v>
      </c>
      <c r="D21" s="113" t="s">
        <v>174</v>
      </c>
      <c r="E21" s="114"/>
      <c r="F21" s="14" t="s">
        <v>321</v>
      </c>
      <c r="G21" s="24">
        <v>36</v>
      </c>
      <c r="H21" s="46">
        <v>0</v>
      </c>
      <c r="I21" s="5"/>
    </row>
    <row r="22" spans="1:9" ht="12.2" customHeight="1">
      <c r="A22" s="4"/>
      <c r="B22" s="14"/>
      <c r="C22" s="14"/>
      <c r="D22" s="69" t="s">
        <v>175</v>
      </c>
      <c r="E22" s="145" t="s">
        <v>298</v>
      </c>
      <c r="F22" s="145"/>
      <c r="G22" s="71">
        <v>36</v>
      </c>
      <c r="H22" s="75"/>
      <c r="I22" s="5"/>
    </row>
    <row r="23" spans="1:9" ht="12.75">
      <c r="A23" s="68"/>
      <c r="B23" s="15"/>
      <c r="C23" s="15" t="s">
        <v>21</v>
      </c>
      <c r="D23" s="111" t="s">
        <v>176</v>
      </c>
      <c r="E23" s="112"/>
      <c r="F23" s="15"/>
      <c r="G23" s="43"/>
      <c r="H23" s="76"/>
      <c r="I23" s="5"/>
    </row>
    <row r="24" spans="1:9" ht="12.75">
      <c r="A24" s="4" t="s">
        <v>12</v>
      </c>
      <c r="B24" s="14"/>
      <c r="C24" s="14" t="s">
        <v>84</v>
      </c>
      <c r="D24" s="113" t="s">
        <v>177</v>
      </c>
      <c r="E24" s="114"/>
      <c r="F24" s="14" t="s">
        <v>319</v>
      </c>
      <c r="G24" s="24">
        <v>4.5</v>
      </c>
      <c r="H24" s="46">
        <v>0</v>
      </c>
      <c r="I24" s="5"/>
    </row>
    <row r="25" spans="1:9" ht="12.2" customHeight="1">
      <c r="A25" s="4"/>
      <c r="B25" s="14"/>
      <c r="C25" s="14"/>
      <c r="D25" s="69" t="s">
        <v>178</v>
      </c>
      <c r="E25" s="145" t="s">
        <v>299</v>
      </c>
      <c r="F25" s="145"/>
      <c r="G25" s="71">
        <v>4.5</v>
      </c>
      <c r="H25" s="75"/>
      <c r="I25" s="5"/>
    </row>
    <row r="26" spans="1:9" ht="12.75">
      <c r="A26" s="4" t="s">
        <v>13</v>
      </c>
      <c r="B26" s="14"/>
      <c r="C26" s="14" t="s">
        <v>85</v>
      </c>
      <c r="D26" s="113" t="s">
        <v>179</v>
      </c>
      <c r="E26" s="114"/>
      <c r="F26" s="14" t="s">
        <v>319</v>
      </c>
      <c r="G26" s="24">
        <v>4.5</v>
      </c>
      <c r="H26" s="46">
        <v>0</v>
      </c>
      <c r="I26" s="5"/>
    </row>
    <row r="27" spans="1:9" ht="12.75">
      <c r="A27" s="68"/>
      <c r="B27" s="15"/>
      <c r="C27" s="15" t="s">
        <v>22</v>
      </c>
      <c r="D27" s="111" t="s">
        <v>180</v>
      </c>
      <c r="E27" s="112"/>
      <c r="F27" s="15"/>
      <c r="G27" s="43"/>
      <c r="H27" s="76"/>
      <c r="I27" s="5"/>
    </row>
    <row r="28" spans="1:9" ht="12.75">
      <c r="A28" s="4" t="s">
        <v>14</v>
      </c>
      <c r="B28" s="14"/>
      <c r="C28" s="14" t="s">
        <v>86</v>
      </c>
      <c r="D28" s="113" t="s">
        <v>181</v>
      </c>
      <c r="E28" s="114"/>
      <c r="F28" s="14" t="s">
        <v>320</v>
      </c>
      <c r="G28" s="24">
        <v>1.82</v>
      </c>
      <c r="H28" s="46">
        <v>0</v>
      </c>
      <c r="I28" s="5"/>
    </row>
    <row r="29" spans="1:9" ht="12.2" customHeight="1">
      <c r="A29" s="4"/>
      <c r="B29" s="14"/>
      <c r="C29" s="14"/>
      <c r="D29" s="69" t="s">
        <v>182</v>
      </c>
      <c r="E29" s="145" t="s">
        <v>300</v>
      </c>
      <c r="F29" s="145"/>
      <c r="G29" s="71">
        <v>1.82</v>
      </c>
      <c r="H29" s="75"/>
      <c r="I29" s="5"/>
    </row>
    <row r="30" spans="1:9" ht="12.75">
      <c r="A30" s="4" t="s">
        <v>15</v>
      </c>
      <c r="B30" s="14"/>
      <c r="C30" s="14" t="s">
        <v>87</v>
      </c>
      <c r="D30" s="113" t="s">
        <v>183</v>
      </c>
      <c r="E30" s="114"/>
      <c r="F30" s="14" t="s">
        <v>320</v>
      </c>
      <c r="G30" s="24">
        <v>1.82</v>
      </c>
      <c r="H30" s="46">
        <v>0</v>
      </c>
      <c r="I30" s="5"/>
    </row>
    <row r="31" spans="1:9" ht="12.75">
      <c r="A31" s="68"/>
      <c r="B31" s="15"/>
      <c r="C31" s="15" t="s">
        <v>23</v>
      </c>
      <c r="D31" s="111" t="s">
        <v>184</v>
      </c>
      <c r="E31" s="112"/>
      <c r="F31" s="15"/>
      <c r="G31" s="43"/>
      <c r="H31" s="76"/>
      <c r="I31" s="5"/>
    </row>
    <row r="32" spans="1:9" ht="12.75">
      <c r="A32" s="4" t="s">
        <v>16</v>
      </c>
      <c r="B32" s="14"/>
      <c r="C32" s="14" t="s">
        <v>88</v>
      </c>
      <c r="D32" s="113" t="s">
        <v>185</v>
      </c>
      <c r="E32" s="114"/>
      <c r="F32" s="14" t="s">
        <v>320</v>
      </c>
      <c r="G32" s="24">
        <v>1.95</v>
      </c>
      <c r="H32" s="46">
        <v>0</v>
      </c>
      <c r="I32" s="5"/>
    </row>
    <row r="33" spans="1:9" ht="12.2" customHeight="1">
      <c r="A33" s="4"/>
      <c r="B33" s="14"/>
      <c r="C33" s="14"/>
      <c r="D33" s="69" t="s">
        <v>186</v>
      </c>
      <c r="E33" s="145" t="s">
        <v>301</v>
      </c>
      <c r="F33" s="145"/>
      <c r="G33" s="71">
        <v>1.95</v>
      </c>
      <c r="H33" s="75"/>
      <c r="I33" s="5"/>
    </row>
    <row r="34" spans="1:9" ht="12.2" customHeight="1">
      <c r="A34" s="4"/>
      <c r="B34" s="14"/>
      <c r="C34" s="14"/>
      <c r="D34" s="69" t="s">
        <v>187</v>
      </c>
      <c r="E34" s="145"/>
      <c r="F34" s="145"/>
      <c r="G34" s="71">
        <v>0</v>
      </c>
      <c r="H34" s="75"/>
      <c r="I34" s="5"/>
    </row>
    <row r="35" spans="1:9" ht="12.75">
      <c r="A35" s="4" t="s">
        <v>17</v>
      </c>
      <c r="B35" s="14"/>
      <c r="C35" s="14" t="s">
        <v>89</v>
      </c>
      <c r="D35" s="113" t="s">
        <v>188</v>
      </c>
      <c r="E35" s="114"/>
      <c r="F35" s="14" t="s">
        <v>322</v>
      </c>
      <c r="G35" s="24">
        <v>3.16</v>
      </c>
      <c r="H35" s="46">
        <v>0</v>
      </c>
      <c r="I35" s="5"/>
    </row>
    <row r="36" spans="1:9" ht="12.2" customHeight="1">
      <c r="A36" s="4"/>
      <c r="B36" s="14"/>
      <c r="C36" s="14"/>
      <c r="D36" s="69" t="s">
        <v>189</v>
      </c>
      <c r="E36" s="145" t="s">
        <v>302</v>
      </c>
      <c r="F36" s="145"/>
      <c r="G36" s="71">
        <v>3.16</v>
      </c>
      <c r="H36" s="75"/>
      <c r="I36" s="5"/>
    </row>
    <row r="37" spans="1:9" ht="12.75">
      <c r="A37" s="4" t="s">
        <v>18</v>
      </c>
      <c r="B37" s="14"/>
      <c r="C37" s="14" t="s">
        <v>90</v>
      </c>
      <c r="D37" s="113" t="s">
        <v>190</v>
      </c>
      <c r="E37" s="114"/>
      <c r="F37" s="14" t="s">
        <v>320</v>
      </c>
      <c r="G37" s="24">
        <v>1.22</v>
      </c>
      <c r="H37" s="46">
        <v>0</v>
      </c>
      <c r="I37" s="5"/>
    </row>
    <row r="38" spans="1:9" ht="12.2" customHeight="1">
      <c r="A38" s="4"/>
      <c r="B38" s="14"/>
      <c r="C38" s="14"/>
      <c r="D38" s="69" t="s">
        <v>191</v>
      </c>
      <c r="E38" s="145" t="s">
        <v>303</v>
      </c>
      <c r="F38" s="145"/>
      <c r="G38" s="71">
        <v>1.22</v>
      </c>
      <c r="H38" s="75"/>
      <c r="I38" s="5"/>
    </row>
    <row r="39" spans="1:9" ht="12.2" customHeight="1">
      <c r="A39" s="4"/>
      <c r="B39" s="14"/>
      <c r="C39" s="14"/>
      <c r="D39" s="69" t="s">
        <v>192</v>
      </c>
      <c r="E39" s="145"/>
      <c r="F39" s="145"/>
      <c r="G39" s="71">
        <v>0</v>
      </c>
      <c r="H39" s="75"/>
      <c r="I39" s="5"/>
    </row>
    <row r="40" spans="1:9" ht="12.75">
      <c r="A40" s="7" t="s">
        <v>19</v>
      </c>
      <c r="B40" s="16"/>
      <c r="C40" s="16" t="s">
        <v>91</v>
      </c>
      <c r="D40" s="103" t="s">
        <v>193</v>
      </c>
      <c r="E40" s="104"/>
      <c r="F40" s="16" t="s">
        <v>322</v>
      </c>
      <c r="G40" s="26">
        <v>132.58</v>
      </c>
      <c r="H40" s="48">
        <v>0</v>
      </c>
      <c r="I40" s="5"/>
    </row>
    <row r="41" spans="1:9" ht="12.2" customHeight="1">
      <c r="A41" s="7"/>
      <c r="B41" s="16"/>
      <c r="C41" s="16"/>
      <c r="D41" s="69" t="s">
        <v>194</v>
      </c>
      <c r="E41" s="145" t="s">
        <v>304</v>
      </c>
      <c r="F41" s="145"/>
      <c r="G41" s="72">
        <v>132.58</v>
      </c>
      <c r="H41" s="77"/>
      <c r="I41" s="5"/>
    </row>
    <row r="42" spans="1:9" ht="12.75">
      <c r="A42" s="68"/>
      <c r="B42" s="15"/>
      <c r="C42" s="15" t="s">
        <v>24</v>
      </c>
      <c r="D42" s="111" t="s">
        <v>195</v>
      </c>
      <c r="E42" s="112"/>
      <c r="F42" s="15"/>
      <c r="G42" s="43"/>
      <c r="H42" s="76"/>
      <c r="I42" s="5"/>
    </row>
    <row r="43" spans="1:9" ht="12.75">
      <c r="A43" s="4" t="s">
        <v>20</v>
      </c>
      <c r="B43" s="14"/>
      <c r="C43" s="14" t="s">
        <v>92</v>
      </c>
      <c r="D43" s="113" t="s">
        <v>196</v>
      </c>
      <c r="E43" s="114"/>
      <c r="F43" s="14" t="s">
        <v>319</v>
      </c>
      <c r="G43" s="24">
        <v>0.61</v>
      </c>
      <c r="H43" s="46">
        <v>0</v>
      </c>
      <c r="I43" s="5"/>
    </row>
    <row r="44" spans="1:9" ht="12.2" customHeight="1">
      <c r="A44" s="4"/>
      <c r="B44" s="14"/>
      <c r="C44" s="14"/>
      <c r="D44" s="69" t="s">
        <v>197</v>
      </c>
      <c r="E44" s="145"/>
      <c r="F44" s="145"/>
      <c r="G44" s="71">
        <v>0.61</v>
      </c>
      <c r="H44" s="75"/>
      <c r="I44" s="5"/>
    </row>
    <row r="45" spans="1:9" ht="12.75">
      <c r="A45" s="4" t="s">
        <v>21</v>
      </c>
      <c r="B45" s="14"/>
      <c r="C45" s="14" t="s">
        <v>93</v>
      </c>
      <c r="D45" s="113" t="s">
        <v>198</v>
      </c>
      <c r="E45" s="114"/>
      <c r="F45" s="14" t="s">
        <v>319</v>
      </c>
      <c r="G45" s="24">
        <v>20.25</v>
      </c>
      <c r="H45" s="46">
        <v>0</v>
      </c>
      <c r="I45" s="5"/>
    </row>
    <row r="46" spans="1:9" ht="12.2" customHeight="1">
      <c r="A46" s="4"/>
      <c r="B46" s="14"/>
      <c r="C46" s="14"/>
      <c r="D46" s="69" t="s">
        <v>199</v>
      </c>
      <c r="E46" s="145" t="s">
        <v>305</v>
      </c>
      <c r="F46" s="145"/>
      <c r="G46" s="71">
        <v>20.25</v>
      </c>
      <c r="H46" s="75"/>
      <c r="I46" s="5"/>
    </row>
    <row r="47" spans="1:9" ht="12.75">
      <c r="A47" s="4" t="s">
        <v>22</v>
      </c>
      <c r="B47" s="14"/>
      <c r="C47" s="14" t="s">
        <v>94</v>
      </c>
      <c r="D47" s="113" t="s">
        <v>200</v>
      </c>
      <c r="E47" s="114"/>
      <c r="F47" s="14" t="s">
        <v>319</v>
      </c>
      <c r="G47" s="24">
        <v>20.25</v>
      </c>
      <c r="H47" s="46">
        <v>0</v>
      </c>
      <c r="I47" s="5"/>
    </row>
    <row r="48" spans="1:9" ht="12.75">
      <c r="A48" s="68"/>
      <c r="B48" s="15"/>
      <c r="C48" s="15" t="s">
        <v>39</v>
      </c>
      <c r="D48" s="111" t="s">
        <v>201</v>
      </c>
      <c r="E48" s="112"/>
      <c r="F48" s="15"/>
      <c r="G48" s="43"/>
      <c r="H48" s="76"/>
      <c r="I48" s="5"/>
    </row>
    <row r="49" spans="1:9" ht="12.75">
      <c r="A49" s="4" t="s">
        <v>23</v>
      </c>
      <c r="B49" s="14"/>
      <c r="C49" s="14" t="s">
        <v>95</v>
      </c>
      <c r="D49" s="113" t="s">
        <v>202</v>
      </c>
      <c r="E49" s="114"/>
      <c r="F49" s="14" t="s">
        <v>321</v>
      </c>
      <c r="G49" s="24">
        <v>36</v>
      </c>
      <c r="H49" s="46">
        <v>0</v>
      </c>
      <c r="I49" s="5"/>
    </row>
    <row r="50" spans="1:9" ht="12.2" customHeight="1">
      <c r="A50" s="4"/>
      <c r="B50" s="14"/>
      <c r="C50" s="14"/>
      <c r="D50" s="69" t="s">
        <v>175</v>
      </c>
      <c r="E50" s="145" t="s">
        <v>306</v>
      </c>
      <c r="F50" s="145"/>
      <c r="G50" s="71">
        <v>36</v>
      </c>
      <c r="H50" s="75"/>
      <c r="I50" s="5"/>
    </row>
    <row r="51" spans="1:9" ht="12.75">
      <c r="A51" s="7" t="s">
        <v>24</v>
      </c>
      <c r="B51" s="16"/>
      <c r="C51" s="16" t="s">
        <v>96</v>
      </c>
      <c r="D51" s="103" t="s">
        <v>203</v>
      </c>
      <c r="E51" s="104"/>
      <c r="F51" s="16" t="s">
        <v>322</v>
      </c>
      <c r="G51" s="26">
        <v>0.3</v>
      </c>
      <c r="H51" s="48">
        <v>0</v>
      </c>
      <c r="I51" s="5"/>
    </row>
    <row r="52" spans="1:9" ht="12.2" customHeight="1">
      <c r="A52" s="7"/>
      <c r="B52" s="16"/>
      <c r="C52" s="16"/>
      <c r="D52" s="69" t="s">
        <v>204</v>
      </c>
      <c r="E52" s="145"/>
      <c r="F52" s="145"/>
      <c r="G52" s="72">
        <v>0.3</v>
      </c>
      <c r="H52" s="77"/>
      <c r="I52" s="5"/>
    </row>
    <row r="53" spans="1:9" ht="12.75">
      <c r="A53" s="7" t="s">
        <v>25</v>
      </c>
      <c r="B53" s="16"/>
      <c r="C53" s="16" t="s">
        <v>97</v>
      </c>
      <c r="D53" s="103" t="s">
        <v>205</v>
      </c>
      <c r="E53" s="104"/>
      <c r="F53" s="16" t="s">
        <v>322</v>
      </c>
      <c r="G53" s="26">
        <v>0.05</v>
      </c>
      <c r="H53" s="48">
        <v>0</v>
      </c>
      <c r="I53" s="5"/>
    </row>
    <row r="54" spans="1:9" ht="12.2" customHeight="1">
      <c r="A54" s="7"/>
      <c r="B54" s="16"/>
      <c r="C54" s="16"/>
      <c r="D54" s="69" t="s">
        <v>206</v>
      </c>
      <c r="E54" s="145"/>
      <c r="F54" s="145"/>
      <c r="G54" s="72">
        <v>0.05</v>
      </c>
      <c r="H54" s="77"/>
      <c r="I54" s="5"/>
    </row>
    <row r="55" spans="1:9" ht="12.75">
      <c r="A55" s="4" t="s">
        <v>26</v>
      </c>
      <c r="B55" s="14"/>
      <c r="C55" s="14" t="s">
        <v>98</v>
      </c>
      <c r="D55" s="113" t="s">
        <v>207</v>
      </c>
      <c r="E55" s="114"/>
      <c r="F55" s="14" t="s">
        <v>319</v>
      </c>
      <c r="G55" s="24">
        <v>0.38</v>
      </c>
      <c r="H55" s="46">
        <v>0</v>
      </c>
      <c r="I55" s="5"/>
    </row>
    <row r="56" spans="1:9" ht="12.2" customHeight="1">
      <c r="A56" s="4"/>
      <c r="B56" s="14"/>
      <c r="C56" s="14"/>
      <c r="D56" s="69" t="s">
        <v>208</v>
      </c>
      <c r="E56" s="145"/>
      <c r="F56" s="145"/>
      <c r="G56" s="71">
        <v>0.38</v>
      </c>
      <c r="H56" s="75"/>
      <c r="I56" s="5"/>
    </row>
    <row r="57" spans="1:9" ht="12.75">
      <c r="A57" s="4" t="s">
        <v>27</v>
      </c>
      <c r="B57" s="14"/>
      <c r="C57" s="14" t="s">
        <v>99</v>
      </c>
      <c r="D57" s="113" t="s">
        <v>209</v>
      </c>
      <c r="E57" s="114"/>
      <c r="F57" s="14" t="s">
        <v>319</v>
      </c>
      <c r="G57" s="24">
        <v>0.38</v>
      </c>
      <c r="H57" s="46">
        <v>0</v>
      </c>
      <c r="I57" s="5"/>
    </row>
    <row r="58" spans="1:9" ht="12.75">
      <c r="A58" s="4" t="s">
        <v>28</v>
      </c>
      <c r="B58" s="14"/>
      <c r="C58" s="14" t="s">
        <v>100</v>
      </c>
      <c r="D58" s="113" t="s">
        <v>210</v>
      </c>
      <c r="E58" s="114"/>
      <c r="F58" s="14" t="s">
        <v>320</v>
      </c>
      <c r="G58" s="24">
        <v>2.62</v>
      </c>
      <c r="H58" s="46">
        <v>0</v>
      </c>
      <c r="I58" s="5"/>
    </row>
    <row r="59" spans="1:9" ht="12.2" customHeight="1">
      <c r="A59" s="4"/>
      <c r="B59" s="14"/>
      <c r="C59" s="14"/>
      <c r="D59" s="69" t="s">
        <v>211</v>
      </c>
      <c r="E59" s="145" t="s">
        <v>307</v>
      </c>
      <c r="F59" s="145"/>
      <c r="G59" s="71">
        <v>2.62</v>
      </c>
      <c r="H59" s="75"/>
      <c r="I59" s="5"/>
    </row>
    <row r="60" spans="1:9" ht="12.75">
      <c r="A60" s="68"/>
      <c r="B60" s="15"/>
      <c r="C60" s="15" t="s">
        <v>40</v>
      </c>
      <c r="D60" s="111" t="s">
        <v>212</v>
      </c>
      <c r="E60" s="112"/>
      <c r="F60" s="15"/>
      <c r="G60" s="43"/>
      <c r="H60" s="76"/>
      <c r="I60" s="5"/>
    </row>
    <row r="61" spans="1:9" ht="12.75">
      <c r="A61" s="4" t="s">
        <v>29</v>
      </c>
      <c r="B61" s="14"/>
      <c r="C61" s="14" t="s">
        <v>101</v>
      </c>
      <c r="D61" s="113" t="s">
        <v>213</v>
      </c>
      <c r="E61" s="114"/>
      <c r="F61" s="14" t="s">
        <v>321</v>
      </c>
      <c r="G61" s="24">
        <v>2</v>
      </c>
      <c r="H61" s="46">
        <v>0</v>
      </c>
      <c r="I61" s="5"/>
    </row>
    <row r="62" spans="1:9" ht="12.75">
      <c r="A62" s="68"/>
      <c r="B62" s="15"/>
      <c r="C62" s="15" t="s">
        <v>102</v>
      </c>
      <c r="D62" s="111" t="s">
        <v>214</v>
      </c>
      <c r="E62" s="112"/>
      <c r="F62" s="15"/>
      <c r="G62" s="43"/>
      <c r="H62" s="76"/>
      <c r="I62" s="5"/>
    </row>
    <row r="63" spans="1:9" ht="12.75">
      <c r="A63" s="4" t="s">
        <v>30</v>
      </c>
      <c r="B63" s="14"/>
      <c r="C63" s="14" t="s">
        <v>103</v>
      </c>
      <c r="D63" s="113" t="s">
        <v>215</v>
      </c>
      <c r="E63" s="114"/>
      <c r="F63" s="14" t="s">
        <v>320</v>
      </c>
      <c r="G63" s="24">
        <v>1.6</v>
      </c>
      <c r="H63" s="46">
        <v>0</v>
      </c>
      <c r="I63" s="5"/>
    </row>
    <row r="64" spans="1:9" ht="12.2" customHeight="1">
      <c r="A64" s="4"/>
      <c r="B64" s="14"/>
      <c r="C64" s="14"/>
      <c r="D64" s="69" t="s">
        <v>216</v>
      </c>
      <c r="E64" s="145" t="s">
        <v>308</v>
      </c>
      <c r="F64" s="145"/>
      <c r="G64" s="71">
        <v>1.6</v>
      </c>
      <c r="H64" s="75"/>
      <c r="I64" s="5"/>
    </row>
    <row r="65" spans="1:9" ht="12.75">
      <c r="A65" s="68"/>
      <c r="B65" s="15"/>
      <c r="C65" s="15" t="s">
        <v>67</v>
      </c>
      <c r="D65" s="111" t="s">
        <v>217</v>
      </c>
      <c r="E65" s="112"/>
      <c r="F65" s="15"/>
      <c r="G65" s="43"/>
      <c r="H65" s="76"/>
      <c r="I65" s="5"/>
    </row>
    <row r="66" spans="1:9" ht="12.75">
      <c r="A66" s="4" t="s">
        <v>31</v>
      </c>
      <c r="B66" s="14"/>
      <c r="C66" s="14" t="s">
        <v>104</v>
      </c>
      <c r="D66" s="113" t="s">
        <v>218</v>
      </c>
      <c r="E66" s="114"/>
      <c r="F66" s="14" t="s">
        <v>321</v>
      </c>
      <c r="G66" s="24">
        <v>2</v>
      </c>
      <c r="H66" s="46">
        <v>0</v>
      </c>
      <c r="I66" s="5"/>
    </row>
    <row r="67" spans="1:9" ht="12.75">
      <c r="A67" s="68"/>
      <c r="B67" s="15"/>
      <c r="C67" s="15" t="s">
        <v>68</v>
      </c>
      <c r="D67" s="111" t="s">
        <v>219</v>
      </c>
      <c r="E67" s="112"/>
      <c r="F67" s="15"/>
      <c r="G67" s="43"/>
      <c r="H67" s="76"/>
      <c r="I67" s="5"/>
    </row>
    <row r="68" spans="1:9" ht="12.75">
      <c r="A68" s="4" t="s">
        <v>32</v>
      </c>
      <c r="B68" s="14"/>
      <c r="C68" s="14" t="s">
        <v>105</v>
      </c>
      <c r="D68" s="113" t="s">
        <v>220</v>
      </c>
      <c r="E68" s="114"/>
      <c r="F68" s="14" t="s">
        <v>321</v>
      </c>
      <c r="G68" s="24">
        <v>2</v>
      </c>
      <c r="H68" s="46">
        <v>0</v>
      </c>
      <c r="I68" s="5"/>
    </row>
    <row r="69" spans="1:9" ht="12.75">
      <c r="A69" s="68"/>
      <c r="B69" s="15"/>
      <c r="C69" s="15" t="s">
        <v>106</v>
      </c>
      <c r="D69" s="111" t="s">
        <v>221</v>
      </c>
      <c r="E69" s="112"/>
      <c r="F69" s="15"/>
      <c r="G69" s="43"/>
      <c r="H69" s="76"/>
      <c r="I69" s="5"/>
    </row>
    <row r="70" spans="1:9" ht="12.75">
      <c r="A70" s="4" t="s">
        <v>33</v>
      </c>
      <c r="B70" s="14"/>
      <c r="C70" s="14" t="s">
        <v>107</v>
      </c>
      <c r="D70" s="113" t="s">
        <v>222</v>
      </c>
      <c r="E70" s="114"/>
      <c r="F70" s="14" t="s">
        <v>323</v>
      </c>
      <c r="G70" s="24">
        <v>248.36</v>
      </c>
      <c r="H70" s="46">
        <v>0</v>
      </c>
      <c r="I70" s="5"/>
    </row>
    <row r="71" spans="1:9" ht="12.2" customHeight="1">
      <c r="A71" s="4"/>
      <c r="B71" s="14"/>
      <c r="C71" s="14"/>
      <c r="D71" s="69" t="s">
        <v>223</v>
      </c>
      <c r="E71" s="145" t="s">
        <v>309</v>
      </c>
      <c r="F71" s="145"/>
      <c r="G71" s="71">
        <v>248.36</v>
      </c>
      <c r="H71" s="75"/>
      <c r="I71" s="5"/>
    </row>
    <row r="72" spans="1:9" ht="12.2" customHeight="1">
      <c r="A72" s="4"/>
      <c r="B72" s="14"/>
      <c r="C72" s="14"/>
      <c r="D72" s="69" t="s">
        <v>224</v>
      </c>
      <c r="E72" s="145" t="s">
        <v>310</v>
      </c>
      <c r="F72" s="145"/>
      <c r="G72" s="71">
        <v>0</v>
      </c>
      <c r="H72" s="75"/>
      <c r="I72" s="5"/>
    </row>
    <row r="73" spans="1:9" ht="12.75">
      <c r="A73" s="68"/>
      <c r="B73" s="15"/>
      <c r="C73" s="15" t="s">
        <v>108</v>
      </c>
      <c r="D73" s="111" t="s">
        <v>225</v>
      </c>
      <c r="E73" s="112"/>
      <c r="F73" s="15"/>
      <c r="G73" s="43"/>
      <c r="H73" s="76"/>
      <c r="I73" s="5"/>
    </row>
    <row r="74" spans="1:9" ht="12.75">
      <c r="A74" s="4" t="s">
        <v>34</v>
      </c>
      <c r="B74" s="14"/>
      <c r="C74" s="14" t="s">
        <v>109</v>
      </c>
      <c r="D74" s="113" t="s">
        <v>226</v>
      </c>
      <c r="E74" s="114"/>
      <c r="F74" s="14" t="s">
        <v>319</v>
      </c>
      <c r="G74" s="24">
        <v>13.5</v>
      </c>
      <c r="H74" s="46">
        <v>0</v>
      </c>
      <c r="I74" s="5"/>
    </row>
    <row r="75" spans="1:9" ht="12.2" customHeight="1">
      <c r="A75" s="4"/>
      <c r="B75" s="14"/>
      <c r="C75" s="14"/>
      <c r="D75" s="69" t="s">
        <v>227</v>
      </c>
      <c r="E75" s="145"/>
      <c r="F75" s="145"/>
      <c r="G75" s="71">
        <v>13.5</v>
      </c>
      <c r="H75" s="75"/>
      <c r="I75" s="5"/>
    </row>
    <row r="76" spans="1:9" ht="12.75">
      <c r="A76" s="4" t="s">
        <v>35</v>
      </c>
      <c r="B76" s="14"/>
      <c r="C76" s="14" t="s">
        <v>110</v>
      </c>
      <c r="D76" s="113" t="s">
        <v>228</v>
      </c>
      <c r="E76" s="114"/>
      <c r="F76" s="14" t="s">
        <v>324</v>
      </c>
      <c r="G76" s="24">
        <v>256</v>
      </c>
      <c r="H76" s="46">
        <v>0</v>
      </c>
      <c r="I76" s="5"/>
    </row>
    <row r="77" spans="1:9" ht="12.2" customHeight="1">
      <c r="A77" s="4"/>
      <c r="B77" s="14"/>
      <c r="C77" s="14"/>
      <c r="D77" s="69" t="s">
        <v>229</v>
      </c>
      <c r="E77" s="145"/>
      <c r="F77" s="145"/>
      <c r="G77" s="71">
        <v>256</v>
      </c>
      <c r="H77" s="75"/>
      <c r="I77" s="5"/>
    </row>
    <row r="78" spans="1:9" ht="12.75">
      <c r="A78" s="68"/>
      <c r="B78" s="15"/>
      <c r="C78" s="15" t="s">
        <v>111</v>
      </c>
      <c r="D78" s="111" t="s">
        <v>230</v>
      </c>
      <c r="E78" s="112"/>
      <c r="F78" s="15"/>
      <c r="G78" s="43"/>
      <c r="H78" s="76"/>
      <c r="I78" s="5"/>
    </row>
    <row r="79" spans="1:9" ht="12.75">
      <c r="A79" s="4" t="s">
        <v>36</v>
      </c>
      <c r="B79" s="14"/>
      <c r="C79" s="14" t="s">
        <v>112</v>
      </c>
      <c r="D79" s="113" t="s">
        <v>231</v>
      </c>
      <c r="E79" s="114"/>
      <c r="F79" s="14" t="s">
        <v>325</v>
      </c>
      <c r="G79" s="24">
        <v>32</v>
      </c>
      <c r="H79" s="46">
        <v>0</v>
      </c>
      <c r="I79" s="5"/>
    </row>
    <row r="80" spans="1:9" ht="12.75">
      <c r="A80" s="68"/>
      <c r="B80" s="15"/>
      <c r="C80" s="15" t="s">
        <v>113</v>
      </c>
      <c r="D80" s="111" t="s">
        <v>232</v>
      </c>
      <c r="E80" s="112"/>
      <c r="F80" s="15"/>
      <c r="G80" s="43"/>
      <c r="H80" s="76"/>
      <c r="I80" s="5"/>
    </row>
    <row r="81" spans="1:9" ht="12.75">
      <c r="A81" s="4" t="s">
        <v>37</v>
      </c>
      <c r="B81" s="14"/>
      <c r="C81" s="14" t="s">
        <v>114</v>
      </c>
      <c r="D81" s="113" t="s">
        <v>233</v>
      </c>
      <c r="E81" s="114"/>
      <c r="F81" s="14" t="s">
        <v>324</v>
      </c>
      <c r="G81" s="24">
        <v>1</v>
      </c>
      <c r="H81" s="46">
        <v>0</v>
      </c>
      <c r="I81" s="5"/>
    </row>
    <row r="82" spans="1:9" ht="12.2" customHeight="1">
      <c r="A82" s="4"/>
      <c r="B82" s="14"/>
      <c r="C82" s="14"/>
      <c r="D82" s="69" t="s">
        <v>234</v>
      </c>
      <c r="E82" s="145"/>
      <c r="F82" s="145"/>
      <c r="G82" s="71">
        <v>1</v>
      </c>
      <c r="H82" s="75"/>
      <c r="I82" s="5"/>
    </row>
    <row r="83" spans="1:9" ht="12.75">
      <c r="A83" s="68"/>
      <c r="B83" s="15"/>
      <c r="C83" s="15" t="s">
        <v>115</v>
      </c>
      <c r="D83" s="111" t="s">
        <v>235</v>
      </c>
      <c r="E83" s="112"/>
      <c r="F83" s="15"/>
      <c r="G83" s="43"/>
      <c r="H83" s="76"/>
      <c r="I83" s="5"/>
    </row>
    <row r="84" spans="1:9" ht="12.75">
      <c r="A84" s="4" t="s">
        <v>38</v>
      </c>
      <c r="B84" s="14"/>
      <c r="C84" s="14" t="s">
        <v>116</v>
      </c>
      <c r="D84" s="113" t="s">
        <v>236</v>
      </c>
      <c r="E84" s="114"/>
      <c r="F84" s="14" t="s">
        <v>322</v>
      </c>
      <c r="G84" s="24">
        <v>6.69</v>
      </c>
      <c r="H84" s="46">
        <v>0</v>
      </c>
      <c r="I84" s="5"/>
    </row>
    <row r="85" spans="1:9" ht="12.2" customHeight="1">
      <c r="A85" s="4"/>
      <c r="B85" s="14"/>
      <c r="C85" s="14"/>
      <c r="D85" s="69" t="s">
        <v>237</v>
      </c>
      <c r="E85" s="145" t="s">
        <v>311</v>
      </c>
      <c r="F85" s="145"/>
      <c r="G85" s="71">
        <v>6.69</v>
      </c>
      <c r="H85" s="75"/>
      <c r="I85" s="5"/>
    </row>
    <row r="86" spans="1:9" ht="12.75">
      <c r="A86" s="68"/>
      <c r="B86" s="15"/>
      <c r="C86" s="15" t="s">
        <v>117</v>
      </c>
      <c r="D86" s="111" t="s">
        <v>238</v>
      </c>
      <c r="E86" s="112"/>
      <c r="F86" s="15"/>
      <c r="G86" s="43"/>
      <c r="H86" s="76"/>
      <c r="I86" s="5"/>
    </row>
    <row r="87" spans="1:9" ht="12.75">
      <c r="A87" s="4" t="s">
        <v>39</v>
      </c>
      <c r="B87" s="14"/>
      <c r="C87" s="14" t="s">
        <v>118</v>
      </c>
      <c r="D87" s="113" t="s">
        <v>239</v>
      </c>
      <c r="E87" s="114"/>
      <c r="F87" s="14" t="s">
        <v>322</v>
      </c>
      <c r="G87" s="24">
        <v>3</v>
      </c>
      <c r="H87" s="46">
        <v>0</v>
      </c>
      <c r="I87" s="5"/>
    </row>
    <row r="88" spans="1:9" ht="12.75">
      <c r="A88" s="68"/>
      <c r="B88" s="15"/>
      <c r="C88" s="15" t="s">
        <v>119</v>
      </c>
      <c r="D88" s="111" t="s">
        <v>240</v>
      </c>
      <c r="E88" s="112"/>
      <c r="F88" s="15"/>
      <c r="G88" s="43"/>
      <c r="H88" s="76"/>
      <c r="I88" s="5"/>
    </row>
    <row r="89" spans="1:9" ht="12.75">
      <c r="A89" s="4" t="s">
        <v>40</v>
      </c>
      <c r="B89" s="14"/>
      <c r="C89" s="14" t="s">
        <v>120</v>
      </c>
      <c r="D89" s="113" t="s">
        <v>241</v>
      </c>
      <c r="E89" s="114"/>
      <c r="F89" s="14" t="s">
        <v>322</v>
      </c>
      <c r="G89" s="24">
        <v>0.35</v>
      </c>
      <c r="H89" s="46">
        <v>0</v>
      </c>
      <c r="I89" s="5"/>
    </row>
    <row r="90" spans="1:9" ht="12.2" customHeight="1">
      <c r="A90" s="4"/>
      <c r="B90" s="14"/>
      <c r="C90" s="14"/>
      <c r="D90" s="69" t="s">
        <v>242</v>
      </c>
      <c r="E90" s="145"/>
      <c r="F90" s="145"/>
      <c r="G90" s="71">
        <v>0.35</v>
      </c>
      <c r="H90" s="75"/>
      <c r="I90" s="5"/>
    </row>
    <row r="91" spans="1:9" ht="12.75">
      <c r="A91" s="68"/>
      <c r="B91" s="15"/>
      <c r="C91" s="15" t="s">
        <v>121</v>
      </c>
      <c r="D91" s="111" t="s">
        <v>221</v>
      </c>
      <c r="E91" s="112"/>
      <c r="F91" s="15"/>
      <c r="G91" s="43"/>
      <c r="H91" s="76"/>
      <c r="I91" s="5"/>
    </row>
    <row r="92" spans="1:9" ht="12.75">
      <c r="A92" s="4" t="s">
        <v>41</v>
      </c>
      <c r="B92" s="14"/>
      <c r="C92" s="14" t="s">
        <v>122</v>
      </c>
      <c r="D92" s="113" t="s">
        <v>243</v>
      </c>
      <c r="E92" s="114"/>
      <c r="F92" s="14" t="s">
        <v>322</v>
      </c>
      <c r="G92" s="24">
        <v>0.25</v>
      </c>
      <c r="H92" s="46">
        <v>0</v>
      </c>
      <c r="I92" s="5"/>
    </row>
    <row r="93" spans="1:9" ht="12.75">
      <c r="A93" s="4" t="s">
        <v>42</v>
      </c>
      <c r="B93" s="14"/>
      <c r="C93" s="14" t="s">
        <v>123</v>
      </c>
      <c r="D93" s="113" t="s">
        <v>244</v>
      </c>
      <c r="E93" s="114"/>
      <c r="F93" s="14" t="s">
        <v>322</v>
      </c>
      <c r="G93" s="24">
        <v>0.25</v>
      </c>
      <c r="H93" s="46">
        <v>0</v>
      </c>
      <c r="I93" s="5"/>
    </row>
    <row r="94" spans="1:9" ht="12.75">
      <c r="A94" s="68"/>
      <c r="B94" s="15"/>
      <c r="C94" s="15" t="s">
        <v>124</v>
      </c>
      <c r="D94" s="111" t="s">
        <v>245</v>
      </c>
      <c r="E94" s="112"/>
      <c r="F94" s="15"/>
      <c r="G94" s="43"/>
      <c r="H94" s="76"/>
      <c r="I94" s="5"/>
    </row>
    <row r="95" spans="1:9" ht="12.75">
      <c r="A95" s="4" t="s">
        <v>43</v>
      </c>
      <c r="B95" s="14"/>
      <c r="C95" s="14" t="s">
        <v>125</v>
      </c>
      <c r="D95" s="113" t="s">
        <v>246</v>
      </c>
      <c r="E95" s="114"/>
      <c r="F95" s="14" t="s">
        <v>326</v>
      </c>
      <c r="G95" s="24">
        <v>1</v>
      </c>
      <c r="H95" s="46">
        <v>0</v>
      </c>
      <c r="I95" s="5"/>
    </row>
    <row r="96" spans="1:9" ht="12.75">
      <c r="A96" s="4" t="s">
        <v>44</v>
      </c>
      <c r="B96" s="14"/>
      <c r="C96" s="14" t="s">
        <v>126</v>
      </c>
      <c r="D96" s="113" t="s">
        <v>247</v>
      </c>
      <c r="E96" s="114"/>
      <c r="F96" s="14" t="s">
        <v>325</v>
      </c>
      <c r="G96" s="24">
        <v>6</v>
      </c>
      <c r="H96" s="46">
        <v>0</v>
      </c>
      <c r="I96" s="5"/>
    </row>
    <row r="97" spans="1:9" ht="12.75">
      <c r="A97" s="4" t="s">
        <v>45</v>
      </c>
      <c r="B97" s="14"/>
      <c r="C97" s="14" t="s">
        <v>127</v>
      </c>
      <c r="D97" s="113" t="s">
        <v>248</v>
      </c>
      <c r="E97" s="114"/>
      <c r="F97" s="14" t="s">
        <v>327</v>
      </c>
      <c r="G97" s="24">
        <v>7.5</v>
      </c>
      <c r="H97" s="46">
        <v>0</v>
      </c>
      <c r="I97" s="5"/>
    </row>
    <row r="98" spans="1:9" ht="12.75">
      <c r="A98" s="4" t="s">
        <v>46</v>
      </c>
      <c r="B98" s="14"/>
      <c r="C98" s="14" t="s">
        <v>128</v>
      </c>
      <c r="D98" s="113" t="s">
        <v>249</v>
      </c>
      <c r="E98" s="114"/>
      <c r="F98" s="14" t="s">
        <v>322</v>
      </c>
      <c r="G98" s="24">
        <v>0.2</v>
      </c>
      <c r="H98" s="46">
        <v>0</v>
      </c>
      <c r="I98" s="5"/>
    </row>
    <row r="99" spans="1:9" ht="12.75">
      <c r="A99" s="68"/>
      <c r="B99" s="15"/>
      <c r="C99" s="15" t="s">
        <v>129</v>
      </c>
      <c r="D99" s="111" t="s">
        <v>250</v>
      </c>
      <c r="E99" s="112"/>
      <c r="F99" s="15"/>
      <c r="G99" s="43"/>
      <c r="H99" s="76"/>
      <c r="I99" s="5"/>
    </row>
    <row r="100" spans="1:9" ht="12.75">
      <c r="A100" s="4" t="s">
        <v>47</v>
      </c>
      <c r="B100" s="14"/>
      <c r="C100" s="14" t="s">
        <v>130</v>
      </c>
      <c r="D100" s="113" t="s">
        <v>251</v>
      </c>
      <c r="E100" s="114"/>
      <c r="F100" s="14" t="s">
        <v>324</v>
      </c>
      <c r="G100" s="24">
        <v>267</v>
      </c>
      <c r="H100" s="46">
        <v>0</v>
      </c>
      <c r="I100" s="5"/>
    </row>
    <row r="101" spans="1:9" ht="12.2" customHeight="1">
      <c r="A101" s="4"/>
      <c r="B101" s="14"/>
      <c r="C101" s="14"/>
      <c r="D101" s="69" t="s">
        <v>252</v>
      </c>
      <c r="E101" s="145"/>
      <c r="F101" s="145"/>
      <c r="G101" s="71">
        <v>267</v>
      </c>
      <c r="H101" s="75"/>
      <c r="I101" s="5"/>
    </row>
    <row r="102" spans="1:9" ht="12.75">
      <c r="A102" s="4" t="s">
        <v>48</v>
      </c>
      <c r="B102" s="14"/>
      <c r="C102" s="14" t="s">
        <v>131</v>
      </c>
      <c r="D102" s="113" t="s">
        <v>253</v>
      </c>
      <c r="E102" s="114"/>
      <c r="F102" s="14" t="s">
        <v>321</v>
      </c>
      <c r="G102" s="24">
        <v>48</v>
      </c>
      <c r="H102" s="46">
        <v>0</v>
      </c>
      <c r="I102" s="5"/>
    </row>
    <row r="103" spans="1:9" ht="12.2" customHeight="1">
      <c r="A103" s="4"/>
      <c r="B103" s="14"/>
      <c r="C103" s="14"/>
      <c r="D103" s="69" t="s">
        <v>254</v>
      </c>
      <c r="E103" s="145" t="s">
        <v>312</v>
      </c>
      <c r="F103" s="145"/>
      <c r="G103" s="71">
        <v>48</v>
      </c>
      <c r="H103" s="75"/>
      <c r="I103" s="5"/>
    </row>
    <row r="104" spans="1:9" ht="12.75">
      <c r="A104" s="4" t="s">
        <v>49</v>
      </c>
      <c r="B104" s="14"/>
      <c r="C104" s="14" t="s">
        <v>132</v>
      </c>
      <c r="D104" s="113" t="s">
        <v>255</v>
      </c>
      <c r="E104" s="114"/>
      <c r="F104" s="14" t="s">
        <v>321</v>
      </c>
      <c r="G104" s="24">
        <v>1</v>
      </c>
      <c r="H104" s="46">
        <v>0</v>
      </c>
      <c r="I104" s="5"/>
    </row>
    <row r="105" spans="1:9" ht="12.75">
      <c r="A105" s="4" t="s">
        <v>50</v>
      </c>
      <c r="B105" s="14"/>
      <c r="C105" s="14" t="s">
        <v>133</v>
      </c>
      <c r="D105" s="113" t="s">
        <v>256</v>
      </c>
      <c r="E105" s="114"/>
      <c r="F105" s="14" t="s">
        <v>324</v>
      </c>
      <c r="G105" s="24">
        <v>260</v>
      </c>
      <c r="H105" s="46">
        <v>0</v>
      </c>
      <c r="I105" s="5"/>
    </row>
    <row r="106" spans="1:9" ht="12.75">
      <c r="A106" s="4" t="s">
        <v>51</v>
      </c>
      <c r="B106" s="14"/>
      <c r="C106" s="14" t="s">
        <v>134</v>
      </c>
      <c r="D106" s="113" t="s">
        <v>257</v>
      </c>
      <c r="E106" s="114"/>
      <c r="F106" s="14" t="s">
        <v>324</v>
      </c>
      <c r="G106" s="24">
        <v>260</v>
      </c>
      <c r="H106" s="46">
        <v>0</v>
      </c>
      <c r="I106" s="5"/>
    </row>
    <row r="107" spans="1:9" ht="12.75">
      <c r="A107" s="4" t="s">
        <v>52</v>
      </c>
      <c r="B107" s="14"/>
      <c r="C107" s="14" t="s">
        <v>135</v>
      </c>
      <c r="D107" s="113" t="s">
        <v>258</v>
      </c>
      <c r="E107" s="114"/>
      <c r="F107" s="14" t="s">
        <v>326</v>
      </c>
      <c r="G107" s="24">
        <v>1</v>
      </c>
      <c r="H107" s="46">
        <v>0</v>
      </c>
      <c r="I107" s="5"/>
    </row>
    <row r="108" spans="1:9" ht="12.2" customHeight="1">
      <c r="A108" s="4"/>
      <c r="B108" s="14"/>
      <c r="C108" s="14"/>
      <c r="D108" s="69" t="s">
        <v>7</v>
      </c>
      <c r="E108" s="145" t="s">
        <v>313</v>
      </c>
      <c r="F108" s="145"/>
      <c r="G108" s="71">
        <v>1</v>
      </c>
      <c r="H108" s="75"/>
      <c r="I108" s="5"/>
    </row>
    <row r="109" spans="1:9" ht="12.75">
      <c r="A109" s="68"/>
      <c r="B109" s="15"/>
      <c r="C109" s="15" t="s">
        <v>136</v>
      </c>
      <c r="D109" s="111" t="s">
        <v>259</v>
      </c>
      <c r="E109" s="112"/>
      <c r="F109" s="15"/>
      <c r="G109" s="43"/>
      <c r="H109" s="76"/>
      <c r="I109" s="5"/>
    </row>
    <row r="110" spans="1:9" ht="12.75">
      <c r="A110" s="4" t="s">
        <v>53</v>
      </c>
      <c r="B110" s="14"/>
      <c r="C110" s="14" t="s">
        <v>137</v>
      </c>
      <c r="D110" s="113" t="s">
        <v>260</v>
      </c>
      <c r="E110" s="114"/>
      <c r="F110" s="14" t="s">
        <v>326</v>
      </c>
      <c r="G110" s="24">
        <v>1</v>
      </c>
      <c r="H110" s="46">
        <v>0</v>
      </c>
      <c r="I110" s="5"/>
    </row>
    <row r="111" spans="1:9" ht="12.2" customHeight="1">
      <c r="A111" s="4"/>
      <c r="B111" s="14"/>
      <c r="C111" s="14"/>
      <c r="D111" s="69" t="s">
        <v>7</v>
      </c>
      <c r="E111" s="145" t="s">
        <v>314</v>
      </c>
      <c r="F111" s="145"/>
      <c r="G111" s="71">
        <v>1</v>
      </c>
      <c r="H111" s="75"/>
      <c r="I111" s="5"/>
    </row>
    <row r="112" spans="1:9" ht="12.75">
      <c r="A112" s="4" t="s">
        <v>54</v>
      </c>
      <c r="B112" s="14"/>
      <c r="C112" s="14" t="s">
        <v>138</v>
      </c>
      <c r="D112" s="113" t="s">
        <v>261</v>
      </c>
      <c r="E112" s="114"/>
      <c r="F112" s="14" t="s">
        <v>324</v>
      </c>
      <c r="G112" s="24">
        <v>6</v>
      </c>
      <c r="H112" s="46">
        <v>0</v>
      </c>
      <c r="I112" s="5"/>
    </row>
    <row r="113" spans="1:9" ht="12.75">
      <c r="A113" s="4" t="s">
        <v>55</v>
      </c>
      <c r="B113" s="14"/>
      <c r="C113" s="14" t="s">
        <v>139</v>
      </c>
      <c r="D113" s="113" t="s">
        <v>262</v>
      </c>
      <c r="E113" s="114"/>
      <c r="F113" s="14" t="s">
        <v>328</v>
      </c>
      <c r="G113" s="24">
        <v>1</v>
      </c>
      <c r="H113" s="46">
        <v>0</v>
      </c>
      <c r="I113" s="5"/>
    </row>
    <row r="114" spans="1:9" ht="12.75">
      <c r="A114" s="4" t="s">
        <v>56</v>
      </c>
      <c r="B114" s="14"/>
      <c r="C114" s="14" t="s">
        <v>139</v>
      </c>
      <c r="D114" s="113" t="s">
        <v>263</v>
      </c>
      <c r="E114" s="114"/>
      <c r="F114" s="14" t="s">
        <v>328</v>
      </c>
      <c r="G114" s="24">
        <v>1</v>
      </c>
      <c r="H114" s="46">
        <v>0</v>
      </c>
      <c r="I114" s="5"/>
    </row>
    <row r="115" spans="1:9" ht="12.75">
      <c r="A115" s="4" t="s">
        <v>57</v>
      </c>
      <c r="B115" s="14"/>
      <c r="C115" s="14" t="s">
        <v>139</v>
      </c>
      <c r="D115" s="113" t="s">
        <v>264</v>
      </c>
      <c r="E115" s="114"/>
      <c r="F115" s="14" t="s">
        <v>328</v>
      </c>
      <c r="G115" s="24">
        <v>1</v>
      </c>
      <c r="H115" s="46">
        <v>0</v>
      </c>
      <c r="I115" s="5"/>
    </row>
    <row r="116" spans="1:9" ht="12.75">
      <c r="A116" s="68"/>
      <c r="B116" s="15"/>
      <c r="C116" s="15" t="s">
        <v>140</v>
      </c>
      <c r="D116" s="111" t="s">
        <v>265</v>
      </c>
      <c r="E116" s="112"/>
      <c r="F116" s="15"/>
      <c r="G116" s="43"/>
      <c r="H116" s="76"/>
      <c r="I116" s="5"/>
    </row>
    <row r="117" spans="1:9" ht="12.75">
      <c r="A117" s="4" t="s">
        <v>58</v>
      </c>
      <c r="B117" s="14"/>
      <c r="C117" s="14" t="s">
        <v>141</v>
      </c>
      <c r="D117" s="113" t="s">
        <v>266</v>
      </c>
      <c r="E117" s="114"/>
      <c r="F117" s="14" t="s">
        <v>322</v>
      </c>
      <c r="G117" s="24">
        <v>1</v>
      </c>
      <c r="H117" s="46">
        <v>0</v>
      </c>
      <c r="I117" s="5"/>
    </row>
    <row r="118" spans="1:9" ht="12.75">
      <c r="A118" s="4" t="s">
        <v>59</v>
      </c>
      <c r="B118" s="14"/>
      <c r="C118" s="14" t="s">
        <v>142</v>
      </c>
      <c r="D118" s="113" t="s">
        <v>267</v>
      </c>
      <c r="E118" s="114"/>
      <c r="F118" s="14" t="s">
        <v>322</v>
      </c>
      <c r="G118" s="24">
        <v>3</v>
      </c>
      <c r="H118" s="46">
        <v>0</v>
      </c>
      <c r="I118" s="5"/>
    </row>
    <row r="119" spans="1:9" ht="12.75">
      <c r="A119" s="68"/>
      <c r="B119" s="15"/>
      <c r="C119" s="15"/>
      <c r="D119" s="111" t="s">
        <v>268</v>
      </c>
      <c r="E119" s="112"/>
      <c r="F119" s="15"/>
      <c r="G119" s="43"/>
      <c r="H119" s="76"/>
      <c r="I119" s="5"/>
    </row>
    <row r="120" spans="1:9" ht="12.75">
      <c r="A120" s="7" t="s">
        <v>60</v>
      </c>
      <c r="B120" s="16"/>
      <c r="C120" s="16" t="s">
        <v>143</v>
      </c>
      <c r="D120" s="103" t="s">
        <v>269</v>
      </c>
      <c r="E120" s="104"/>
      <c r="F120" s="16" t="s">
        <v>324</v>
      </c>
      <c r="G120" s="26">
        <v>3</v>
      </c>
      <c r="H120" s="48">
        <v>0</v>
      </c>
      <c r="I120" s="5"/>
    </row>
    <row r="121" spans="1:9" ht="12.75">
      <c r="A121" s="7" t="s">
        <v>61</v>
      </c>
      <c r="B121" s="16"/>
      <c r="C121" s="16" t="s">
        <v>144</v>
      </c>
      <c r="D121" s="103" t="s">
        <v>270</v>
      </c>
      <c r="E121" s="104"/>
      <c r="F121" s="16" t="s">
        <v>321</v>
      </c>
      <c r="G121" s="26">
        <v>1</v>
      </c>
      <c r="H121" s="48">
        <v>0</v>
      </c>
      <c r="I121" s="5"/>
    </row>
    <row r="122" spans="1:9" ht="12.75">
      <c r="A122" s="7" t="s">
        <v>62</v>
      </c>
      <c r="B122" s="16"/>
      <c r="C122" s="16" t="s">
        <v>145</v>
      </c>
      <c r="D122" s="103" t="s">
        <v>271</v>
      </c>
      <c r="E122" s="104"/>
      <c r="F122" s="16" t="s">
        <v>321</v>
      </c>
      <c r="G122" s="26">
        <v>2</v>
      </c>
      <c r="H122" s="48">
        <v>0</v>
      </c>
      <c r="I122" s="5"/>
    </row>
    <row r="123" spans="1:9" ht="12.75">
      <c r="A123" s="7" t="s">
        <v>63</v>
      </c>
      <c r="B123" s="16"/>
      <c r="C123" s="16" t="s">
        <v>146</v>
      </c>
      <c r="D123" s="103" t="s">
        <v>272</v>
      </c>
      <c r="E123" s="104"/>
      <c r="F123" s="16" t="s">
        <v>321</v>
      </c>
      <c r="G123" s="26">
        <v>2</v>
      </c>
      <c r="H123" s="48">
        <v>0</v>
      </c>
      <c r="I123" s="5"/>
    </row>
    <row r="124" spans="1:9" ht="12.75">
      <c r="A124" s="7" t="s">
        <v>64</v>
      </c>
      <c r="B124" s="16"/>
      <c r="C124" s="16" t="s">
        <v>147</v>
      </c>
      <c r="D124" s="103" t="s">
        <v>273</v>
      </c>
      <c r="E124" s="104"/>
      <c r="F124" s="16" t="s">
        <v>321</v>
      </c>
      <c r="G124" s="26">
        <v>6</v>
      </c>
      <c r="H124" s="48">
        <v>0</v>
      </c>
      <c r="I124" s="5"/>
    </row>
    <row r="125" spans="1:9" ht="12.75">
      <c r="A125" s="7" t="s">
        <v>65</v>
      </c>
      <c r="B125" s="16"/>
      <c r="C125" s="16" t="s">
        <v>148</v>
      </c>
      <c r="D125" s="103" t="s">
        <v>274</v>
      </c>
      <c r="E125" s="104"/>
      <c r="F125" s="16" t="s">
        <v>321</v>
      </c>
      <c r="G125" s="26">
        <v>2</v>
      </c>
      <c r="H125" s="48">
        <v>0</v>
      </c>
      <c r="I125" s="5"/>
    </row>
    <row r="126" spans="1:9" ht="12.75">
      <c r="A126" s="7" t="s">
        <v>66</v>
      </c>
      <c r="B126" s="16"/>
      <c r="C126" s="16" t="s">
        <v>149</v>
      </c>
      <c r="D126" s="103" t="s">
        <v>275</v>
      </c>
      <c r="E126" s="104"/>
      <c r="F126" s="16" t="s">
        <v>321</v>
      </c>
      <c r="G126" s="26">
        <v>40</v>
      </c>
      <c r="H126" s="48">
        <v>0</v>
      </c>
      <c r="I126" s="5"/>
    </row>
    <row r="127" spans="1:9" ht="12.75">
      <c r="A127" s="7" t="s">
        <v>67</v>
      </c>
      <c r="B127" s="16"/>
      <c r="C127" s="16" t="s">
        <v>150</v>
      </c>
      <c r="D127" s="103" t="s">
        <v>276</v>
      </c>
      <c r="E127" s="104"/>
      <c r="F127" s="16" t="s">
        <v>321</v>
      </c>
      <c r="G127" s="26">
        <v>6</v>
      </c>
      <c r="H127" s="48">
        <v>0</v>
      </c>
      <c r="I127" s="5"/>
    </row>
    <row r="128" spans="1:9" ht="12.75">
      <c r="A128" s="7" t="s">
        <v>68</v>
      </c>
      <c r="B128" s="16"/>
      <c r="C128" s="16" t="s">
        <v>151</v>
      </c>
      <c r="D128" s="103" t="s">
        <v>277</v>
      </c>
      <c r="E128" s="104"/>
      <c r="F128" s="16" t="s">
        <v>321</v>
      </c>
      <c r="G128" s="26">
        <v>18</v>
      </c>
      <c r="H128" s="48">
        <v>0</v>
      </c>
      <c r="I128" s="5"/>
    </row>
    <row r="129" spans="1:9" ht="12.75">
      <c r="A129" s="7" t="s">
        <v>69</v>
      </c>
      <c r="B129" s="16"/>
      <c r="C129" s="16" t="s">
        <v>152</v>
      </c>
      <c r="D129" s="103" t="s">
        <v>278</v>
      </c>
      <c r="E129" s="104"/>
      <c r="F129" s="16" t="s">
        <v>321</v>
      </c>
      <c r="G129" s="26">
        <v>2</v>
      </c>
      <c r="H129" s="48">
        <v>0</v>
      </c>
      <c r="I129" s="5"/>
    </row>
    <row r="130" spans="1:9" ht="12.75">
      <c r="A130" s="7" t="s">
        <v>70</v>
      </c>
      <c r="B130" s="16"/>
      <c r="C130" s="16" t="s">
        <v>153</v>
      </c>
      <c r="D130" s="103" t="s">
        <v>279</v>
      </c>
      <c r="E130" s="104"/>
      <c r="F130" s="16" t="s">
        <v>321</v>
      </c>
      <c r="G130" s="26">
        <v>2</v>
      </c>
      <c r="H130" s="48">
        <v>0</v>
      </c>
      <c r="I130" s="5"/>
    </row>
    <row r="131" spans="1:9" ht="12.75">
      <c r="A131" s="7" t="s">
        <v>71</v>
      </c>
      <c r="B131" s="16"/>
      <c r="C131" s="16" t="s">
        <v>154</v>
      </c>
      <c r="D131" s="103" t="s">
        <v>280</v>
      </c>
      <c r="E131" s="104"/>
      <c r="F131" s="16" t="s">
        <v>321</v>
      </c>
      <c r="G131" s="26">
        <v>2</v>
      </c>
      <c r="H131" s="48">
        <v>0</v>
      </c>
      <c r="I131" s="5"/>
    </row>
    <row r="132" spans="1:9" ht="12.75">
      <c r="A132" s="7" t="s">
        <v>72</v>
      </c>
      <c r="B132" s="16"/>
      <c r="C132" s="16" t="s">
        <v>155</v>
      </c>
      <c r="D132" s="103" t="s">
        <v>281</v>
      </c>
      <c r="E132" s="104"/>
      <c r="F132" s="16" t="s">
        <v>321</v>
      </c>
      <c r="G132" s="26">
        <v>8</v>
      </c>
      <c r="H132" s="48">
        <v>0</v>
      </c>
      <c r="I132" s="5"/>
    </row>
    <row r="133" spans="1:9" ht="12.75">
      <c r="A133" s="7" t="s">
        <v>73</v>
      </c>
      <c r="B133" s="16"/>
      <c r="C133" s="16" t="s">
        <v>156</v>
      </c>
      <c r="D133" s="103" t="s">
        <v>282</v>
      </c>
      <c r="E133" s="104"/>
      <c r="F133" s="16" t="s">
        <v>321</v>
      </c>
      <c r="G133" s="26">
        <v>4</v>
      </c>
      <c r="H133" s="48">
        <v>0</v>
      </c>
      <c r="I133" s="5"/>
    </row>
    <row r="134" spans="1:9" ht="12.75">
      <c r="A134" s="7" t="s">
        <v>74</v>
      </c>
      <c r="B134" s="16"/>
      <c r="C134" s="16" t="s">
        <v>157</v>
      </c>
      <c r="D134" s="103" t="s">
        <v>283</v>
      </c>
      <c r="E134" s="104"/>
      <c r="F134" s="16" t="s">
        <v>321</v>
      </c>
      <c r="G134" s="26">
        <v>2</v>
      </c>
      <c r="H134" s="48">
        <v>0</v>
      </c>
      <c r="I134" s="5"/>
    </row>
    <row r="135" spans="1:9" ht="12.75">
      <c r="A135" s="7" t="s">
        <v>75</v>
      </c>
      <c r="B135" s="16"/>
      <c r="C135" s="16" t="s">
        <v>158</v>
      </c>
      <c r="D135" s="103" t="s">
        <v>284</v>
      </c>
      <c r="E135" s="104"/>
      <c r="F135" s="16" t="s">
        <v>321</v>
      </c>
      <c r="G135" s="26">
        <v>72</v>
      </c>
      <c r="H135" s="48">
        <v>0</v>
      </c>
      <c r="I135" s="5"/>
    </row>
    <row r="136" spans="1:9" ht="12.75">
      <c r="A136" s="8" t="s">
        <v>76</v>
      </c>
      <c r="B136" s="17"/>
      <c r="C136" s="17" t="s">
        <v>159</v>
      </c>
      <c r="D136" s="105" t="s">
        <v>285</v>
      </c>
      <c r="E136" s="106"/>
      <c r="F136" s="17" t="s">
        <v>324</v>
      </c>
      <c r="G136" s="27">
        <v>10</v>
      </c>
      <c r="H136" s="49">
        <v>0</v>
      </c>
      <c r="I136" s="5"/>
    </row>
    <row r="137" spans="1:8" ht="12.75">
      <c r="A137" s="9"/>
      <c r="B137" s="9"/>
      <c r="C137" s="9"/>
      <c r="D137" s="9"/>
      <c r="E137" s="9"/>
      <c r="F137" s="9"/>
      <c r="G137" s="9"/>
      <c r="H137" s="9"/>
    </row>
    <row r="138" ht="11.25" customHeight="1">
      <c r="A138" s="10" t="s">
        <v>77</v>
      </c>
    </row>
    <row r="139" spans="1:7" ht="12.75">
      <c r="A139" s="109"/>
      <c r="B139" s="110"/>
      <c r="C139" s="110"/>
      <c r="D139" s="110"/>
      <c r="E139" s="110"/>
      <c r="F139" s="110"/>
      <c r="G139" s="110"/>
    </row>
  </sheetData>
  <mergeCells count="145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D10:E10"/>
    <mergeCell ref="D11:E11"/>
    <mergeCell ref="D12:E12"/>
    <mergeCell ref="E13:F13"/>
    <mergeCell ref="D14:E14"/>
    <mergeCell ref="D15:E15"/>
    <mergeCell ref="A6:B7"/>
    <mergeCell ref="C6:D7"/>
    <mergeCell ref="E6:E7"/>
    <mergeCell ref="F6:H7"/>
    <mergeCell ref="A8:B9"/>
    <mergeCell ref="C8:D9"/>
    <mergeCell ref="E8:E9"/>
    <mergeCell ref="F8:H9"/>
    <mergeCell ref="E22:F22"/>
    <mergeCell ref="D23:E23"/>
    <mergeCell ref="D24:E24"/>
    <mergeCell ref="E25:F25"/>
    <mergeCell ref="D26:E26"/>
    <mergeCell ref="D27:E27"/>
    <mergeCell ref="D16:E16"/>
    <mergeCell ref="E17:F17"/>
    <mergeCell ref="D18:E18"/>
    <mergeCell ref="D19:E19"/>
    <mergeCell ref="E20:F20"/>
    <mergeCell ref="D21:E21"/>
    <mergeCell ref="E34:F34"/>
    <mergeCell ref="D35:E35"/>
    <mergeCell ref="E36:F36"/>
    <mergeCell ref="D37:E37"/>
    <mergeCell ref="E38:F38"/>
    <mergeCell ref="E39:F39"/>
    <mergeCell ref="D28:E28"/>
    <mergeCell ref="E29:F29"/>
    <mergeCell ref="D30:E30"/>
    <mergeCell ref="D31:E31"/>
    <mergeCell ref="D32:E32"/>
    <mergeCell ref="E33:F33"/>
    <mergeCell ref="E46:F46"/>
    <mergeCell ref="D47:E47"/>
    <mergeCell ref="D48:E48"/>
    <mergeCell ref="D49:E49"/>
    <mergeCell ref="E50:F50"/>
    <mergeCell ref="D51:E51"/>
    <mergeCell ref="D40:E40"/>
    <mergeCell ref="E41:F41"/>
    <mergeCell ref="D42:E42"/>
    <mergeCell ref="D43:E43"/>
    <mergeCell ref="E44:F44"/>
    <mergeCell ref="D45:E45"/>
    <mergeCell ref="D58:E58"/>
    <mergeCell ref="E59:F59"/>
    <mergeCell ref="D60:E60"/>
    <mergeCell ref="D61:E61"/>
    <mergeCell ref="D62:E62"/>
    <mergeCell ref="D63:E63"/>
    <mergeCell ref="E52:F52"/>
    <mergeCell ref="D53:E53"/>
    <mergeCell ref="E54:F54"/>
    <mergeCell ref="D55:E55"/>
    <mergeCell ref="E56:F56"/>
    <mergeCell ref="D57:E57"/>
    <mergeCell ref="D70:E70"/>
    <mergeCell ref="E71:F71"/>
    <mergeCell ref="E72:F72"/>
    <mergeCell ref="D73:E73"/>
    <mergeCell ref="D74:E74"/>
    <mergeCell ref="E75:F75"/>
    <mergeCell ref="E64:F64"/>
    <mergeCell ref="D65:E65"/>
    <mergeCell ref="D66:E66"/>
    <mergeCell ref="D67:E67"/>
    <mergeCell ref="D68:E68"/>
    <mergeCell ref="D69:E69"/>
    <mergeCell ref="E82:F82"/>
    <mergeCell ref="D83:E83"/>
    <mergeCell ref="D84:E84"/>
    <mergeCell ref="E85:F85"/>
    <mergeCell ref="D86:E86"/>
    <mergeCell ref="D87:E87"/>
    <mergeCell ref="D76:E76"/>
    <mergeCell ref="E77:F77"/>
    <mergeCell ref="D78:E78"/>
    <mergeCell ref="D79:E79"/>
    <mergeCell ref="D80:E80"/>
    <mergeCell ref="D81:E81"/>
    <mergeCell ref="D94:E94"/>
    <mergeCell ref="D95:E95"/>
    <mergeCell ref="D96:E96"/>
    <mergeCell ref="D97:E97"/>
    <mergeCell ref="D98:E98"/>
    <mergeCell ref="D99:E99"/>
    <mergeCell ref="D88:E88"/>
    <mergeCell ref="D89:E89"/>
    <mergeCell ref="E90:F90"/>
    <mergeCell ref="D91:E91"/>
    <mergeCell ref="D92:E92"/>
    <mergeCell ref="D93:E93"/>
    <mergeCell ref="D106:E106"/>
    <mergeCell ref="D107:E107"/>
    <mergeCell ref="E108:F108"/>
    <mergeCell ref="D109:E109"/>
    <mergeCell ref="D110:E110"/>
    <mergeCell ref="E111:F111"/>
    <mergeCell ref="D100:E100"/>
    <mergeCell ref="E101:F101"/>
    <mergeCell ref="D102:E102"/>
    <mergeCell ref="E103:F103"/>
    <mergeCell ref="D104:E104"/>
    <mergeCell ref="D105:E105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36:E136"/>
    <mergeCell ref="A139:G139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</mergeCells>
  <printOptions/>
  <pageMargins left="0.394" right="0.394" top="0.591" bottom="0.591" header="0.5" footer="0.5"/>
  <pageSetup fitToHeight="0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1">
      <selection activeCell="F8" sqref="F8:G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3.15" customHeight="1">
      <c r="A1" s="102"/>
      <c r="B1" s="78"/>
      <c r="C1" s="171" t="s">
        <v>413</v>
      </c>
      <c r="D1" s="135"/>
      <c r="E1" s="135"/>
      <c r="F1" s="135"/>
      <c r="G1" s="135"/>
      <c r="H1" s="135"/>
      <c r="I1" s="135"/>
    </row>
    <row r="2" spans="1:10" ht="12.75">
      <c r="A2" s="136" t="s">
        <v>1</v>
      </c>
      <c r="B2" s="137"/>
      <c r="C2" s="138" t="str">
        <f>'Stavební rozpočet'!C2</f>
        <v>Napojení Aquacentra Bohumín na CZT - přípojka HV</v>
      </c>
      <c r="D2" s="108"/>
      <c r="E2" s="141" t="s">
        <v>292</v>
      </c>
      <c r="F2" s="141" t="str">
        <f>'Stavební rozpočet'!G2</f>
        <v> </v>
      </c>
      <c r="G2" s="137"/>
      <c r="H2" s="141" t="s">
        <v>438</v>
      </c>
      <c r="I2" s="172"/>
      <c r="J2" s="5"/>
    </row>
    <row r="3" spans="1:10" ht="12.75">
      <c r="A3" s="133"/>
      <c r="B3" s="110"/>
      <c r="C3" s="139"/>
      <c r="D3" s="139"/>
      <c r="E3" s="110"/>
      <c r="F3" s="110"/>
      <c r="G3" s="110"/>
      <c r="H3" s="110"/>
      <c r="I3" s="131"/>
      <c r="J3" s="5"/>
    </row>
    <row r="4" spans="1:10" ht="12.75">
      <c r="A4" s="127" t="s">
        <v>2</v>
      </c>
      <c r="B4" s="110"/>
      <c r="C4" s="109" t="str">
        <f>'Stavební rozpočet'!C4</f>
        <v>Občanská vybavenost</v>
      </c>
      <c r="D4" s="110"/>
      <c r="E4" s="109" t="s">
        <v>293</v>
      </c>
      <c r="F4" s="109" t="str">
        <f>'Stavební rozpočet'!G4</f>
        <v>Ing. Stanislav Wilczek</v>
      </c>
      <c r="G4" s="110"/>
      <c r="H4" s="109" t="s">
        <v>438</v>
      </c>
      <c r="I4" s="170"/>
      <c r="J4" s="5"/>
    </row>
    <row r="5" spans="1:10" ht="12.75">
      <c r="A5" s="133"/>
      <c r="B5" s="110"/>
      <c r="C5" s="110"/>
      <c r="D5" s="110"/>
      <c r="E5" s="110"/>
      <c r="F5" s="110"/>
      <c r="G5" s="110"/>
      <c r="H5" s="110"/>
      <c r="I5" s="131"/>
      <c r="J5" s="5"/>
    </row>
    <row r="6" spans="1:10" ht="12.75">
      <c r="A6" s="127" t="s">
        <v>3</v>
      </c>
      <c r="B6" s="110"/>
      <c r="C6" s="109" t="str">
        <f>'Stavební rozpočet'!C6</f>
        <v>Koperníkova 1216, 735 81 Nový Bohumín</v>
      </c>
      <c r="D6" s="110"/>
      <c r="E6" s="109" t="s">
        <v>294</v>
      </c>
      <c r="F6" s="109" t="str">
        <f>'Stavební rozpočet'!G6</f>
        <v> </v>
      </c>
      <c r="G6" s="110"/>
      <c r="H6" s="109" t="s">
        <v>438</v>
      </c>
      <c r="I6" s="170"/>
      <c r="J6" s="5"/>
    </row>
    <row r="7" spans="1:10" ht="12.75">
      <c r="A7" s="133"/>
      <c r="B7" s="110"/>
      <c r="C7" s="110"/>
      <c r="D7" s="110"/>
      <c r="E7" s="110"/>
      <c r="F7" s="110"/>
      <c r="G7" s="110"/>
      <c r="H7" s="110"/>
      <c r="I7" s="131"/>
      <c r="J7" s="5"/>
    </row>
    <row r="8" spans="1:10" ht="12.75">
      <c r="A8" s="127" t="s">
        <v>287</v>
      </c>
      <c r="B8" s="110"/>
      <c r="C8" s="109" t="str">
        <f>'Stavební rozpočet'!E4</f>
        <v xml:space="preserve"> </v>
      </c>
      <c r="D8" s="110"/>
      <c r="E8" s="109" t="s">
        <v>288</v>
      </c>
      <c r="F8" s="109"/>
      <c r="G8" s="110"/>
      <c r="H8" s="130" t="s">
        <v>439</v>
      </c>
      <c r="I8" s="170" t="s">
        <v>76</v>
      </c>
      <c r="J8" s="5"/>
    </row>
    <row r="9" spans="1:10" ht="12.75">
      <c r="A9" s="133"/>
      <c r="B9" s="110"/>
      <c r="C9" s="110"/>
      <c r="D9" s="110"/>
      <c r="E9" s="110"/>
      <c r="F9" s="110"/>
      <c r="G9" s="110"/>
      <c r="H9" s="110"/>
      <c r="I9" s="131"/>
      <c r="J9" s="5"/>
    </row>
    <row r="10" spans="1:10" ht="12.75">
      <c r="A10" s="127" t="s">
        <v>4</v>
      </c>
      <c r="B10" s="110"/>
      <c r="C10" s="109" t="str">
        <f>'Stavební rozpočet'!C8</f>
        <v xml:space="preserve"> </v>
      </c>
      <c r="D10" s="110"/>
      <c r="E10" s="109" t="s">
        <v>295</v>
      </c>
      <c r="F10" s="109" t="str">
        <f>'Stavební rozpočet'!G8</f>
        <v>Ing. Stanislav Wilczek</v>
      </c>
      <c r="G10" s="110"/>
      <c r="H10" s="130" t="s">
        <v>440</v>
      </c>
      <c r="I10" s="143" t="str">
        <f>'Stavební rozpočet'!E8</f>
        <v>28.02.2023</v>
      </c>
      <c r="J10" s="5"/>
    </row>
    <row r="11" spans="1:10" ht="12.75">
      <c r="A11" s="167"/>
      <c r="B11" s="168"/>
      <c r="C11" s="168"/>
      <c r="D11" s="168"/>
      <c r="E11" s="168"/>
      <c r="F11" s="168"/>
      <c r="G11" s="168"/>
      <c r="H11" s="168"/>
      <c r="I11" s="169"/>
      <c r="J11" s="5"/>
    </row>
    <row r="12" spans="1:9" ht="23.45" customHeight="1">
      <c r="A12" s="163" t="s">
        <v>399</v>
      </c>
      <c r="B12" s="164"/>
      <c r="C12" s="164"/>
      <c r="D12" s="164"/>
      <c r="E12" s="164"/>
      <c r="F12" s="164"/>
      <c r="G12" s="164"/>
      <c r="H12" s="164"/>
      <c r="I12" s="164"/>
    </row>
    <row r="13" spans="1:10" ht="26.45" customHeight="1">
      <c r="A13" s="79" t="s">
        <v>400</v>
      </c>
      <c r="B13" s="165" t="s">
        <v>411</v>
      </c>
      <c r="C13" s="166"/>
      <c r="D13" s="79" t="s">
        <v>414</v>
      </c>
      <c r="E13" s="165" t="s">
        <v>423</v>
      </c>
      <c r="F13" s="166"/>
      <c r="G13" s="79" t="s">
        <v>424</v>
      </c>
      <c r="H13" s="165" t="s">
        <v>441</v>
      </c>
      <c r="I13" s="166"/>
      <c r="J13" s="5"/>
    </row>
    <row r="14" spans="1:10" ht="15.2" customHeight="1">
      <c r="A14" s="80" t="s">
        <v>401</v>
      </c>
      <c r="B14" s="84" t="s">
        <v>412</v>
      </c>
      <c r="C14" s="88">
        <f>SUM('Stavební rozpočet'!AB12:AB137)</f>
        <v>0</v>
      </c>
      <c r="D14" s="161" t="s">
        <v>415</v>
      </c>
      <c r="E14" s="162"/>
      <c r="F14" s="88">
        <f>VORN!I15</f>
        <v>0</v>
      </c>
      <c r="G14" s="161" t="s">
        <v>425</v>
      </c>
      <c r="H14" s="162"/>
      <c r="I14" s="88">
        <f>VORN!I21</f>
        <v>0</v>
      </c>
      <c r="J14" s="5"/>
    </row>
    <row r="15" spans="1:10" ht="15.2" customHeight="1">
      <c r="A15" s="81"/>
      <c r="B15" s="84" t="s">
        <v>335</v>
      </c>
      <c r="C15" s="88">
        <f>SUM('Stavební rozpočet'!AC12:AC137)</f>
        <v>0</v>
      </c>
      <c r="D15" s="161" t="s">
        <v>416</v>
      </c>
      <c r="E15" s="162"/>
      <c r="F15" s="88">
        <f>VORN!I16</f>
        <v>0</v>
      </c>
      <c r="G15" s="161" t="s">
        <v>426</v>
      </c>
      <c r="H15" s="162"/>
      <c r="I15" s="88">
        <f>VORN!I22</f>
        <v>0</v>
      </c>
      <c r="J15" s="5"/>
    </row>
    <row r="16" spans="1:10" ht="15.2" customHeight="1">
      <c r="A16" s="80" t="s">
        <v>402</v>
      </c>
      <c r="B16" s="84" t="s">
        <v>412</v>
      </c>
      <c r="C16" s="88">
        <f>SUM('Stavební rozpočet'!AD12:AD137)</f>
        <v>0</v>
      </c>
      <c r="D16" s="161" t="s">
        <v>417</v>
      </c>
      <c r="E16" s="162"/>
      <c r="F16" s="88">
        <f>VORN!I17</f>
        <v>0</v>
      </c>
      <c r="G16" s="161" t="s">
        <v>427</v>
      </c>
      <c r="H16" s="162"/>
      <c r="I16" s="88">
        <f>VORN!I23</f>
        <v>0</v>
      </c>
      <c r="J16" s="5"/>
    </row>
    <row r="17" spans="1:10" ht="15.2" customHeight="1">
      <c r="A17" s="81"/>
      <c r="B17" s="84" t="s">
        <v>335</v>
      </c>
      <c r="C17" s="88">
        <f>SUM('Stavební rozpočet'!AE12:AE137)</f>
        <v>0</v>
      </c>
      <c r="D17" s="161"/>
      <c r="E17" s="162"/>
      <c r="F17" s="89"/>
      <c r="G17" s="161" t="s">
        <v>428</v>
      </c>
      <c r="H17" s="162"/>
      <c r="I17" s="88">
        <f>VORN!I24</f>
        <v>0</v>
      </c>
      <c r="J17" s="5"/>
    </row>
    <row r="18" spans="1:10" ht="15.2" customHeight="1">
      <c r="A18" s="80" t="s">
        <v>403</v>
      </c>
      <c r="B18" s="84" t="s">
        <v>412</v>
      </c>
      <c r="C18" s="88">
        <f>SUM('Stavební rozpočet'!AF12:AF137)</f>
        <v>0</v>
      </c>
      <c r="D18" s="161"/>
      <c r="E18" s="162"/>
      <c r="F18" s="89"/>
      <c r="G18" s="161" t="s">
        <v>429</v>
      </c>
      <c r="H18" s="162"/>
      <c r="I18" s="88">
        <f>VORN!I25</f>
        <v>0</v>
      </c>
      <c r="J18" s="5"/>
    </row>
    <row r="19" spans="1:10" ht="15.2" customHeight="1">
      <c r="A19" s="81"/>
      <c r="B19" s="84" t="s">
        <v>335</v>
      </c>
      <c r="C19" s="88">
        <f>SUM('Stavební rozpočet'!AG12:AG137)</f>
        <v>0</v>
      </c>
      <c r="D19" s="161"/>
      <c r="E19" s="162"/>
      <c r="F19" s="89"/>
      <c r="G19" s="161" t="s">
        <v>430</v>
      </c>
      <c r="H19" s="162"/>
      <c r="I19" s="88">
        <f>VORN!I26</f>
        <v>0</v>
      </c>
      <c r="J19" s="5"/>
    </row>
    <row r="20" spans="1:10" ht="15.2" customHeight="1">
      <c r="A20" s="159" t="s">
        <v>268</v>
      </c>
      <c r="B20" s="160"/>
      <c r="C20" s="88">
        <f>SUM('Stavební rozpočet'!AH12:AH137)</f>
        <v>0</v>
      </c>
      <c r="D20" s="161"/>
      <c r="E20" s="162"/>
      <c r="F20" s="89"/>
      <c r="G20" s="161"/>
      <c r="H20" s="162"/>
      <c r="I20" s="89"/>
      <c r="J20" s="5"/>
    </row>
    <row r="21" spans="1:10" ht="15.2" customHeight="1">
      <c r="A21" s="159" t="s">
        <v>404</v>
      </c>
      <c r="B21" s="160"/>
      <c r="C21" s="88">
        <f>SUM('Stavební rozpočet'!Z12:Z137)</f>
        <v>0</v>
      </c>
      <c r="D21" s="161"/>
      <c r="E21" s="162"/>
      <c r="F21" s="89"/>
      <c r="G21" s="161"/>
      <c r="H21" s="162"/>
      <c r="I21" s="89"/>
      <c r="J21" s="5"/>
    </row>
    <row r="22" spans="1:10" ht="16.7" customHeight="1">
      <c r="A22" s="159" t="s">
        <v>405</v>
      </c>
      <c r="B22" s="160"/>
      <c r="C22" s="88">
        <f>ROUND(SUM(C14:C21),0)</f>
        <v>0</v>
      </c>
      <c r="D22" s="159" t="s">
        <v>418</v>
      </c>
      <c r="E22" s="160"/>
      <c r="F22" s="88">
        <f>SUM(F14:F21)</f>
        <v>0</v>
      </c>
      <c r="G22" s="159" t="s">
        <v>431</v>
      </c>
      <c r="H22" s="160"/>
      <c r="I22" s="88">
        <f>SUM(I14:I21)</f>
        <v>0</v>
      </c>
      <c r="J22" s="5"/>
    </row>
    <row r="23" spans="1:10" ht="15.2" customHeight="1">
      <c r="A23" s="9"/>
      <c r="B23" s="9"/>
      <c r="C23" s="86"/>
      <c r="D23" s="159" t="s">
        <v>419</v>
      </c>
      <c r="E23" s="160"/>
      <c r="F23" s="90">
        <v>0</v>
      </c>
      <c r="G23" s="159" t="s">
        <v>432</v>
      </c>
      <c r="H23" s="160"/>
      <c r="I23" s="88">
        <v>0</v>
      </c>
      <c r="J23" s="5"/>
    </row>
    <row r="24" spans="4:10" ht="15.2" customHeight="1">
      <c r="D24" s="9"/>
      <c r="E24" s="9"/>
      <c r="F24" s="91"/>
      <c r="G24" s="159" t="s">
        <v>433</v>
      </c>
      <c r="H24" s="160"/>
      <c r="I24" s="88">
        <f>vorn_sum</f>
        <v>0</v>
      </c>
      <c r="J24" s="5"/>
    </row>
    <row r="25" spans="6:10" ht="15.2" customHeight="1">
      <c r="F25" s="36"/>
      <c r="G25" s="159" t="s">
        <v>434</v>
      </c>
      <c r="H25" s="160"/>
      <c r="I25" s="88">
        <v>0</v>
      </c>
      <c r="J25" s="5"/>
    </row>
    <row r="26" spans="1:9" ht="12.75">
      <c r="A26" s="78"/>
      <c r="B26" s="78"/>
      <c r="C26" s="78"/>
      <c r="G26" s="9"/>
      <c r="H26" s="9"/>
      <c r="I26" s="9"/>
    </row>
    <row r="27" spans="1:9" ht="15.2" customHeight="1">
      <c r="A27" s="154" t="s">
        <v>406</v>
      </c>
      <c r="B27" s="155"/>
      <c r="C27" s="92">
        <f>ROUND(SUM('Stavební rozpočet'!AJ12:AJ137),0)</f>
        <v>0</v>
      </c>
      <c r="D27" s="87"/>
      <c r="E27" s="78"/>
      <c r="F27" s="78"/>
      <c r="G27" s="78"/>
      <c r="H27" s="78"/>
      <c r="I27" s="78"/>
    </row>
    <row r="28" spans="1:10" ht="15.2" customHeight="1">
      <c r="A28" s="154" t="s">
        <v>407</v>
      </c>
      <c r="B28" s="155"/>
      <c r="C28" s="92">
        <f>ROUND(SUM('Stavební rozpočet'!AK12:AK137),0)</f>
        <v>0</v>
      </c>
      <c r="D28" s="154" t="s">
        <v>420</v>
      </c>
      <c r="E28" s="155"/>
      <c r="F28" s="92">
        <f>ROUND(C28*(15/100),2)</f>
        <v>0</v>
      </c>
      <c r="G28" s="154" t="s">
        <v>435</v>
      </c>
      <c r="H28" s="155"/>
      <c r="I28" s="92">
        <f>ROUND(SUM(C27:C29),0)</f>
        <v>0</v>
      </c>
      <c r="J28" s="5"/>
    </row>
    <row r="29" spans="1:10" ht="15.2" customHeight="1">
      <c r="A29" s="154" t="s">
        <v>408</v>
      </c>
      <c r="B29" s="155"/>
      <c r="C29" s="92">
        <f>ROUND(SUM('Stavební rozpočet'!AL12:AL137)+(F22+I22+F23+I23+I24+I25),0)</f>
        <v>0</v>
      </c>
      <c r="D29" s="154" t="s">
        <v>421</v>
      </c>
      <c r="E29" s="155"/>
      <c r="F29" s="92">
        <f>ROUND(C29*(21/100),2)</f>
        <v>0</v>
      </c>
      <c r="G29" s="154" t="s">
        <v>436</v>
      </c>
      <c r="H29" s="155"/>
      <c r="I29" s="92">
        <f>ROUND(SUM(F28:F29)+I28,0)</f>
        <v>0</v>
      </c>
      <c r="J29" s="5"/>
    </row>
    <row r="30" spans="1:9" ht="12.75">
      <c r="A30" s="82"/>
      <c r="B30" s="82"/>
      <c r="C30" s="82"/>
      <c r="D30" s="82"/>
      <c r="E30" s="82"/>
      <c r="F30" s="82"/>
      <c r="G30" s="82"/>
      <c r="H30" s="82"/>
      <c r="I30" s="82"/>
    </row>
    <row r="31" spans="1:10" ht="14.45" customHeight="1">
      <c r="A31" s="156" t="s">
        <v>409</v>
      </c>
      <c r="B31" s="157"/>
      <c r="C31" s="158"/>
      <c r="D31" s="156" t="s">
        <v>422</v>
      </c>
      <c r="E31" s="157"/>
      <c r="F31" s="158"/>
      <c r="G31" s="156" t="s">
        <v>437</v>
      </c>
      <c r="H31" s="157"/>
      <c r="I31" s="158"/>
      <c r="J31" s="60"/>
    </row>
    <row r="32" spans="1:10" ht="14.45" customHeight="1">
      <c r="A32" s="148"/>
      <c r="B32" s="149"/>
      <c r="C32" s="150"/>
      <c r="D32" s="148"/>
      <c r="E32" s="149"/>
      <c r="F32" s="150"/>
      <c r="G32" s="148"/>
      <c r="H32" s="149"/>
      <c r="I32" s="150"/>
      <c r="J32" s="60"/>
    </row>
    <row r="33" spans="1:10" ht="14.45" customHeight="1">
      <c r="A33" s="148"/>
      <c r="B33" s="149"/>
      <c r="C33" s="150"/>
      <c r="D33" s="148"/>
      <c r="E33" s="149"/>
      <c r="F33" s="150"/>
      <c r="G33" s="148"/>
      <c r="H33" s="149"/>
      <c r="I33" s="150"/>
      <c r="J33" s="60"/>
    </row>
    <row r="34" spans="1:10" ht="14.45" customHeight="1">
      <c r="A34" s="148"/>
      <c r="B34" s="149"/>
      <c r="C34" s="150"/>
      <c r="D34" s="148"/>
      <c r="E34" s="149"/>
      <c r="F34" s="150"/>
      <c r="G34" s="148"/>
      <c r="H34" s="149"/>
      <c r="I34" s="150"/>
      <c r="J34" s="60"/>
    </row>
    <row r="35" spans="1:10" ht="14.45" customHeight="1">
      <c r="A35" s="151" t="s">
        <v>410</v>
      </c>
      <c r="B35" s="152"/>
      <c r="C35" s="153"/>
      <c r="D35" s="151" t="s">
        <v>410</v>
      </c>
      <c r="E35" s="152"/>
      <c r="F35" s="153"/>
      <c r="G35" s="151" t="s">
        <v>410</v>
      </c>
      <c r="H35" s="152"/>
      <c r="I35" s="153"/>
      <c r="J35" s="60"/>
    </row>
    <row r="36" spans="1:9" ht="11.25" customHeight="1">
      <c r="A36" s="83" t="s">
        <v>77</v>
      </c>
      <c r="B36" s="85"/>
      <c r="C36" s="85"/>
      <c r="D36" s="85"/>
      <c r="E36" s="85"/>
      <c r="F36" s="85"/>
      <c r="G36" s="85"/>
      <c r="H36" s="85"/>
      <c r="I36" s="85"/>
    </row>
    <row r="37" spans="1:9" ht="12.75">
      <c r="A37" s="109"/>
      <c r="B37" s="110"/>
      <c r="C37" s="110"/>
      <c r="D37" s="110"/>
      <c r="E37" s="110"/>
      <c r="F37" s="110"/>
      <c r="G37" s="110"/>
      <c r="H37" s="110"/>
      <c r="I37" s="110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1">
      <selection activeCell="F8" sqref="F8:G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3.15" customHeight="1">
      <c r="A1" s="102"/>
      <c r="B1" s="78"/>
      <c r="C1" s="171" t="s">
        <v>450</v>
      </c>
      <c r="D1" s="135"/>
      <c r="E1" s="135"/>
      <c r="F1" s="135"/>
      <c r="G1" s="135"/>
      <c r="H1" s="135"/>
      <c r="I1" s="135"/>
    </row>
    <row r="2" spans="1:10" ht="12.75">
      <c r="A2" s="136" t="s">
        <v>1</v>
      </c>
      <c r="B2" s="137"/>
      <c r="C2" s="138" t="str">
        <f>'Stavební rozpočet'!C2</f>
        <v>Napojení Aquacentra Bohumín na CZT - přípojka HV</v>
      </c>
      <c r="D2" s="108"/>
      <c r="E2" s="141" t="s">
        <v>292</v>
      </c>
      <c r="F2" s="141" t="str">
        <f>'Stavební rozpočet'!G2</f>
        <v> </v>
      </c>
      <c r="G2" s="137"/>
      <c r="H2" s="141" t="s">
        <v>438</v>
      </c>
      <c r="I2" s="172"/>
      <c r="J2" s="5"/>
    </row>
    <row r="3" spans="1:10" ht="12.75">
      <c r="A3" s="133"/>
      <c r="B3" s="110"/>
      <c r="C3" s="139"/>
      <c r="D3" s="139"/>
      <c r="E3" s="110"/>
      <c r="F3" s="110"/>
      <c r="G3" s="110"/>
      <c r="H3" s="110"/>
      <c r="I3" s="131"/>
      <c r="J3" s="5"/>
    </row>
    <row r="4" spans="1:10" ht="12.75">
      <c r="A4" s="127" t="s">
        <v>2</v>
      </c>
      <c r="B4" s="110"/>
      <c r="C4" s="109" t="str">
        <f>'Stavební rozpočet'!C4</f>
        <v>Občanská vybavenost</v>
      </c>
      <c r="D4" s="110"/>
      <c r="E4" s="109" t="s">
        <v>293</v>
      </c>
      <c r="F4" s="109" t="str">
        <f>'Stavební rozpočet'!G4</f>
        <v>Ing. Stanislav Wilczek</v>
      </c>
      <c r="G4" s="110"/>
      <c r="H4" s="109" t="s">
        <v>438</v>
      </c>
      <c r="I4" s="170"/>
      <c r="J4" s="5"/>
    </row>
    <row r="5" spans="1:10" ht="12.75">
      <c r="A5" s="133"/>
      <c r="B5" s="110"/>
      <c r="C5" s="110"/>
      <c r="D5" s="110"/>
      <c r="E5" s="110"/>
      <c r="F5" s="110"/>
      <c r="G5" s="110"/>
      <c r="H5" s="110"/>
      <c r="I5" s="131"/>
      <c r="J5" s="5"/>
    </row>
    <row r="6" spans="1:10" ht="12.75">
      <c r="A6" s="127" t="s">
        <v>3</v>
      </c>
      <c r="B6" s="110"/>
      <c r="C6" s="109" t="str">
        <f>'Stavební rozpočet'!C6</f>
        <v>Koperníkova 1216, 735 81 Nový Bohumín</v>
      </c>
      <c r="D6" s="110"/>
      <c r="E6" s="109" t="s">
        <v>294</v>
      </c>
      <c r="F6" s="109" t="str">
        <f>'Stavební rozpočet'!G6</f>
        <v> </v>
      </c>
      <c r="G6" s="110"/>
      <c r="H6" s="109" t="s">
        <v>438</v>
      </c>
      <c r="I6" s="170"/>
      <c r="J6" s="5"/>
    </row>
    <row r="7" spans="1:10" ht="12.75">
      <c r="A7" s="133"/>
      <c r="B7" s="110"/>
      <c r="C7" s="110"/>
      <c r="D7" s="110"/>
      <c r="E7" s="110"/>
      <c r="F7" s="110"/>
      <c r="G7" s="110"/>
      <c r="H7" s="110"/>
      <c r="I7" s="131"/>
      <c r="J7" s="5"/>
    </row>
    <row r="8" spans="1:10" ht="12.75">
      <c r="A8" s="127" t="s">
        <v>287</v>
      </c>
      <c r="B8" s="110"/>
      <c r="C8" s="109" t="str">
        <f>'Stavební rozpočet'!E4</f>
        <v xml:space="preserve"> </v>
      </c>
      <c r="D8" s="110"/>
      <c r="E8" s="109" t="s">
        <v>288</v>
      </c>
      <c r="F8" s="109"/>
      <c r="G8" s="110"/>
      <c r="H8" s="130" t="s">
        <v>439</v>
      </c>
      <c r="I8" s="170" t="s">
        <v>76</v>
      </c>
      <c r="J8" s="5"/>
    </row>
    <row r="9" spans="1:10" ht="12.75">
      <c r="A9" s="133"/>
      <c r="B9" s="110"/>
      <c r="C9" s="110"/>
      <c r="D9" s="110"/>
      <c r="E9" s="110"/>
      <c r="F9" s="110"/>
      <c r="G9" s="110"/>
      <c r="H9" s="110"/>
      <c r="I9" s="131"/>
      <c r="J9" s="5"/>
    </row>
    <row r="10" spans="1:10" ht="12.75">
      <c r="A10" s="127" t="s">
        <v>4</v>
      </c>
      <c r="B10" s="110"/>
      <c r="C10" s="109" t="str">
        <f>'Stavební rozpočet'!C8</f>
        <v xml:space="preserve"> </v>
      </c>
      <c r="D10" s="110"/>
      <c r="E10" s="109" t="s">
        <v>295</v>
      </c>
      <c r="F10" s="109" t="str">
        <f>'Stavební rozpočet'!G8</f>
        <v>Ing. Stanislav Wilczek</v>
      </c>
      <c r="G10" s="110"/>
      <c r="H10" s="130" t="s">
        <v>440</v>
      </c>
      <c r="I10" s="143" t="str">
        <f>'Stavební rozpočet'!E8</f>
        <v>28.02.2023</v>
      </c>
      <c r="J10" s="5"/>
    </row>
    <row r="11" spans="1:10" ht="12.75">
      <c r="A11" s="167"/>
      <c r="B11" s="168"/>
      <c r="C11" s="168"/>
      <c r="D11" s="168"/>
      <c r="E11" s="168"/>
      <c r="F11" s="168"/>
      <c r="G11" s="168"/>
      <c r="H11" s="168"/>
      <c r="I11" s="169"/>
      <c r="J11" s="5"/>
    </row>
    <row r="12" spans="1:9" ht="12.75">
      <c r="A12" s="9"/>
      <c r="B12" s="9"/>
      <c r="C12" s="9"/>
      <c r="D12" s="9"/>
      <c r="E12" s="9"/>
      <c r="F12" s="9"/>
      <c r="G12" s="9"/>
      <c r="H12" s="9"/>
      <c r="I12" s="9"/>
    </row>
    <row r="13" spans="1:9" ht="15.2" customHeight="1">
      <c r="A13" s="185" t="s">
        <v>442</v>
      </c>
      <c r="B13" s="186"/>
      <c r="C13" s="186"/>
      <c r="D13" s="186"/>
      <c r="E13" s="186"/>
      <c r="F13" s="94"/>
      <c r="G13" s="94"/>
      <c r="H13" s="94"/>
      <c r="I13" s="94"/>
    </row>
    <row r="14" spans="1:10" ht="12.75">
      <c r="A14" s="187" t="s">
        <v>443</v>
      </c>
      <c r="B14" s="188"/>
      <c r="C14" s="188"/>
      <c r="D14" s="188"/>
      <c r="E14" s="189"/>
      <c r="F14" s="95" t="s">
        <v>451</v>
      </c>
      <c r="G14" s="95" t="s">
        <v>452</v>
      </c>
      <c r="H14" s="95" t="s">
        <v>453</v>
      </c>
      <c r="I14" s="95" t="s">
        <v>451</v>
      </c>
      <c r="J14" s="60"/>
    </row>
    <row r="15" spans="1:10" ht="12.75">
      <c r="A15" s="190" t="s">
        <v>415</v>
      </c>
      <c r="B15" s="191"/>
      <c r="C15" s="191"/>
      <c r="D15" s="191"/>
      <c r="E15" s="192"/>
      <c r="F15" s="96">
        <v>0</v>
      </c>
      <c r="G15" s="98"/>
      <c r="H15" s="98"/>
      <c r="I15" s="96">
        <f>F15</f>
        <v>0</v>
      </c>
      <c r="J15" s="5"/>
    </row>
    <row r="16" spans="1:10" ht="12.75">
      <c r="A16" s="190" t="s">
        <v>416</v>
      </c>
      <c r="B16" s="191"/>
      <c r="C16" s="191"/>
      <c r="D16" s="191"/>
      <c r="E16" s="192"/>
      <c r="F16" s="96">
        <v>0</v>
      </c>
      <c r="G16" s="98"/>
      <c r="H16" s="98"/>
      <c r="I16" s="96">
        <f>F16</f>
        <v>0</v>
      </c>
      <c r="J16" s="5"/>
    </row>
    <row r="17" spans="1:10" ht="12.75">
      <c r="A17" s="173" t="s">
        <v>417</v>
      </c>
      <c r="B17" s="174"/>
      <c r="C17" s="174"/>
      <c r="D17" s="174"/>
      <c r="E17" s="175"/>
      <c r="F17" s="97">
        <v>0</v>
      </c>
      <c r="G17" s="99"/>
      <c r="H17" s="99"/>
      <c r="I17" s="97">
        <f>F17</f>
        <v>0</v>
      </c>
      <c r="J17" s="5"/>
    </row>
    <row r="18" spans="1:10" ht="12.75">
      <c r="A18" s="176" t="s">
        <v>444</v>
      </c>
      <c r="B18" s="177"/>
      <c r="C18" s="177"/>
      <c r="D18" s="177"/>
      <c r="E18" s="178"/>
      <c r="F18" s="50"/>
      <c r="G18" s="100"/>
      <c r="H18" s="100"/>
      <c r="I18" s="101">
        <f>SUM(I15:I17)</f>
        <v>0</v>
      </c>
      <c r="J18" s="60"/>
    </row>
    <row r="19" spans="1:9" ht="12.75">
      <c r="A19" s="93"/>
      <c r="B19" s="93"/>
      <c r="C19" s="93"/>
      <c r="D19" s="93"/>
      <c r="E19" s="93"/>
      <c r="F19" s="93"/>
      <c r="G19" s="93"/>
      <c r="H19" s="93"/>
      <c r="I19" s="93"/>
    </row>
    <row r="20" spans="1:10" ht="12.75">
      <c r="A20" s="187" t="s">
        <v>441</v>
      </c>
      <c r="B20" s="188"/>
      <c r="C20" s="188"/>
      <c r="D20" s="188"/>
      <c r="E20" s="189"/>
      <c r="F20" s="95" t="s">
        <v>451</v>
      </c>
      <c r="G20" s="95" t="s">
        <v>452</v>
      </c>
      <c r="H20" s="95" t="s">
        <v>453</v>
      </c>
      <c r="I20" s="95" t="s">
        <v>451</v>
      </c>
      <c r="J20" s="60"/>
    </row>
    <row r="21" spans="1:10" ht="12.75">
      <c r="A21" s="190" t="s">
        <v>425</v>
      </c>
      <c r="B21" s="191"/>
      <c r="C21" s="191"/>
      <c r="D21" s="191"/>
      <c r="E21" s="192"/>
      <c r="F21" s="98"/>
      <c r="G21" s="96">
        <v>2.95</v>
      </c>
      <c r="H21" s="96">
        <f>'Krycí list rozpočtu'!C22</f>
        <v>0</v>
      </c>
      <c r="I21" s="96">
        <f>ROUND((G21/100)*H21,2)</f>
        <v>0</v>
      </c>
      <c r="J21" s="5"/>
    </row>
    <row r="22" spans="1:10" ht="12.75">
      <c r="A22" s="190" t="s">
        <v>426</v>
      </c>
      <c r="B22" s="191"/>
      <c r="C22" s="191"/>
      <c r="D22" s="191"/>
      <c r="E22" s="192"/>
      <c r="F22" s="96">
        <v>0</v>
      </c>
      <c r="G22" s="98"/>
      <c r="H22" s="98"/>
      <c r="I22" s="96">
        <f>F22</f>
        <v>0</v>
      </c>
      <c r="J22" s="5"/>
    </row>
    <row r="23" spans="1:10" ht="12.75">
      <c r="A23" s="190" t="s">
        <v>427</v>
      </c>
      <c r="B23" s="191"/>
      <c r="C23" s="191"/>
      <c r="D23" s="191"/>
      <c r="E23" s="192"/>
      <c r="F23" s="96">
        <v>0</v>
      </c>
      <c r="G23" s="98"/>
      <c r="H23" s="98"/>
      <c r="I23" s="96">
        <f>F23</f>
        <v>0</v>
      </c>
      <c r="J23" s="5"/>
    </row>
    <row r="24" spans="1:10" ht="12.75">
      <c r="A24" s="190" t="s">
        <v>428</v>
      </c>
      <c r="B24" s="191"/>
      <c r="C24" s="191"/>
      <c r="D24" s="191"/>
      <c r="E24" s="192"/>
      <c r="F24" s="96">
        <v>0</v>
      </c>
      <c r="G24" s="98"/>
      <c r="H24" s="98"/>
      <c r="I24" s="96">
        <f>F24</f>
        <v>0</v>
      </c>
      <c r="J24" s="5"/>
    </row>
    <row r="25" spans="1:10" ht="12.75">
      <c r="A25" s="190" t="s">
        <v>429</v>
      </c>
      <c r="B25" s="191"/>
      <c r="C25" s="191"/>
      <c r="D25" s="191"/>
      <c r="E25" s="192"/>
      <c r="F25" s="96">
        <v>0</v>
      </c>
      <c r="G25" s="98"/>
      <c r="H25" s="98"/>
      <c r="I25" s="96">
        <f>F25</f>
        <v>0</v>
      </c>
      <c r="J25" s="5"/>
    </row>
    <row r="26" spans="1:10" ht="12.75">
      <c r="A26" s="173" t="s">
        <v>430</v>
      </c>
      <c r="B26" s="174"/>
      <c r="C26" s="174"/>
      <c r="D26" s="174"/>
      <c r="E26" s="175"/>
      <c r="F26" s="97">
        <v>0</v>
      </c>
      <c r="G26" s="99"/>
      <c r="H26" s="99"/>
      <c r="I26" s="97">
        <f>F26</f>
        <v>0</v>
      </c>
      <c r="J26" s="5"/>
    </row>
    <row r="27" spans="1:10" ht="12.75">
      <c r="A27" s="176" t="s">
        <v>445</v>
      </c>
      <c r="B27" s="177"/>
      <c r="C27" s="177"/>
      <c r="D27" s="177"/>
      <c r="E27" s="178"/>
      <c r="F27" s="50"/>
      <c r="G27" s="100"/>
      <c r="H27" s="100"/>
      <c r="I27" s="101">
        <f>SUM(I21:I26)</f>
        <v>0</v>
      </c>
      <c r="J27" s="60"/>
    </row>
    <row r="28" spans="1:9" ht="12.75">
      <c r="A28" s="93"/>
      <c r="B28" s="93"/>
      <c r="C28" s="93"/>
      <c r="D28" s="93"/>
      <c r="E28" s="93"/>
      <c r="F28" s="93"/>
      <c r="G28" s="93"/>
      <c r="H28" s="93"/>
      <c r="I28" s="93"/>
    </row>
    <row r="29" spans="1:10" ht="15.2" customHeight="1">
      <c r="A29" s="179" t="s">
        <v>446</v>
      </c>
      <c r="B29" s="180"/>
      <c r="C29" s="180"/>
      <c r="D29" s="180"/>
      <c r="E29" s="181"/>
      <c r="F29" s="182">
        <f>I18+I27</f>
        <v>0</v>
      </c>
      <c r="G29" s="183"/>
      <c r="H29" s="183"/>
      <c r="I29" s="184"/>
      <c r="J29" s="60"/>
    </row>
    <row r="30" spans="1:9" ht="12.75">
      <c r="A30" s="85"/>
      <c r="B30" s="85"/>
      <c r="C30" s="85"/>
      <c r="D30" s="85"/>
      <c r="E30" s="85"/>
      <c r="F30" s="85"/>
      <c r="G30" s="85"/>
      <c r="H30" s="85"/>
      <c r="I30" s="85"/>
    </row>
    <row r="33" spans="1:9" ht="15.2" customHeight="1">
      <c r="A33" s="185" t="s">
        <v>447</v>
      </c>
      <c r="B33" s="186"/>
      <c r="C33" s="186"/>
      <c r="D33" s="186"/>
      <c r="E33" s="186"/>
      <c r="F33" s="94"/>
      <c r="G33" s="94"/>
      <c r="H33" s="94"/>
      <c r="I33" s="94"/>
    </row>
    <row r="34" spans="1:10" ht="12.75">
      <c r="A34" s="187" t="s">
        <v>448</v>
      </c>
      <c r="B34" s="188"/>
      <c r="C34" s="188"/>
      <c r="D34" s="188"/>
      <c r="E34" s="189"/>
      <c r="F34" s="95" t="s">
        <v>451</v>
      </c>
      <c r="G34" s="95" t="s">
        <v>452</v>
      </c>
      <c r="H34" s="95" t="s">
        <v>453</v>
      </c>
      <c r="I34" s="95" t="s">
        <v>451</v>
      </c>
      <c r="J34" s="60"/>
    </row>
    <row r="35" spans="1:10" ht="12.75">
      <c r="A35" s="173"/>
      <c r="B35" s="174"/>
      <c r="C35" s="174"/>
      <c r="D35" s="174"/>
      <c r="E35" s="175"/>
      <c r="F35" s="97">
        <v>0</v>
      </c>
      <c r="G35" s="99"/>
      <c r="H35" s="99"/>
      <c r="I35" s="97">
        <f>F35</f>
        <v>0</v>
      </c>
      <c r="J35" s="5"/>
    </row>
    <row r="36" spans="1:10" ht="12.75">
      <c r="A36" s="176" t="s">
        <v>449</v>
      </c>
      <c r="B36" s="177"/>
      <c r="C36" s="177"/>
      <c r="D36" s="177"/>
      <c r="E36" s="178"/>
      <c r="F36" s="50"/>
      <c r="G36" s="100"/>
      <c r="H36" s="100"/>
      <c r="I36" s="101">
        <f>SUM(I35:I35)</f>
        <v>0</v>
      </c>
      <c r="J36" s="60"/>
    </row>
    <row r="37" spans="1:9" ht="12.75">
      <c r="A37" s="85"/>
      <c r="B37" s="85"/>
      <c r="C37" s="85"/>
      <c r="D37" s="85"/>
      <c r="E37" s="85"/>
      <c r="F37" s="85"/>
      <c r="G37" s="85"/>
      <c r="H37" s="85"/>
      <c r="I37" s="85"/>
    </row>
  </sheetData>
  <mergeCells count="51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H10:H11"/>
    <mergeCell ref="I10:I11"/>
    <mergeCell ref="A8:B9"/>
    <mergeCell ref="C8:D9"/>
    <mergeCell ref="E8:E9"/>
    <mergeCell ref="F8:G9"/>
    <mergeCell ref="H8:H9"/>
    <mergeCell ref="I8:I9"/>
    <mergeCell ref="A18:E18"/>
    <mergeCell ref="A10:B11"/>
    <mergeCell ref="C10:D11"/>
    <mergeCell ref="E10:E11"/>
    <mergeCell ref="F10:G11"/>
    <mergeCell ref="A13:E13"/>
    <mergeCell ref="A14:E14"/>
    <mergeCell ref="A15:E15"/>
    <mergeCell ref="A16:E16"/>
    <mergeCell ref="A17:E17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35:E35"/>
    <mergeCell ref="A36:E36"/>
    <mergeCell ref="A26:E26"/>
    <mergeCell ref="A27:E27"/>
    <mergeCell ref="A29:E29"/>
  </mergeCells>
  <printOptions/>
  <pageMargins left="0.394" right="0.394" top="0.591" bottom="0.591" header="0.5" footer="0.5"/>
  <pageSetup fitToHeight="0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IJ</cp:lastModifiedBy>
  <cp:lastPrinted>2023-03-14T12:49:05Z</cp:lastPrinted>
  <dcterms:created xsi:type="dcterms:W3CDTF">2023-03-04T08:30:16Z</dcterms:created>
  <dcterms:modified xsi:type="dcterms:W3CDTF">2023-03-14T12:51:05Z</dcterms:modified>
  <cp:category/>
  <cp:version/>
  <cp:contentType/>
  <cp:contentStatus/>
</cp:coreProperties>
</file>