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zivatel\Documents\_Projekty\Bohumín_Centrum DZ Nerudova\Centrum DZ_PDF\Rozpočet_stavební část, ZTI, ÚT, VZT\slepy\"/>
    </mc:Choice>
  </mc:AlternateContent>
  <xr:revisionPtr revIDLastSave="0" documentId="13_ncr:1_{B094ECE9-1C61-4A82-8E1B-A658FCA2ECF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rycí list rozpočtu" sheetId="4" r:id="rId1"/>
    <sheet name="VORN" sheetId="5" r:id="rId2"/>
    <sheet name="Stavební rozpočet - součet" sheetId="2" r:id="rId3"/>
    <sheet name="Stavební rozpočet" sheetId="1" r:id="rId4"/>
    <sheet name="Výkaz výměr" sheetId="3" r:id="rId5"/>
  </sheets>
  <definedNames>
    <definedName name="vorn_sum">VORN!$I$36</definedName>
  </definedNames>
  <calcPr calcId="181029"/>
</workbook>
</file>

<file path=xl/calcChain.xml><?xml version="1.0" encoding="utf-8"?>
<calcChain xmlns="http://schemas.openxmlformats.org/spreadsheetml/2006/main">
  <c r="I35" i="5" l="1"/>
  <c r="I36" i="5" s="1"/>
  <c r="I26" i="5"/>
  <c r="I25" i="5"/>
  <c r="I18" i="4" s="1"/>
  <c r="I24" i="5"/>
  <c r="I23" i="5"/>
  <c r="I22" i="5"/>
  <c r="I15" i="4" s="1"/>
  <c r="I17" i="5"/>
  <c r="F16" i="4" s="1"/>
  <c r="I16" i="5"/>
  <c r="F15" i="4" s="1"/>
  <c r="I15" i="5"/>
  <c r="I10" i="5"/>
  <c r="F10" i="5"/>
  <c r="C10" i="5"/>
  <c r="F8" i="5"/>
  <c r="C8" i="5"/>
  <c r="F6" i="5"/>
  <c r="C6" i="5"/>
  <c r="F4" i="5"/>
  <c r="C4" i="5"/>
  <c r="F2" i="5"/>
  <c r="C2" i="5"/>
  <c r="I24" i="4"/>
  <c r="I19" i="4"/>
  <c r="I17" i="4"/>
  <c r="I16" i="4"/>
  <c r="I10" i="4"/>
  <c r="F10" i="4"/>
  <c r="C10" i="4"/>
  <c r="F8" i="4"/>
  <c r="C8" i="4"/>
  <c r="F6" i="4"/>
  <c r="C6" i="4"/>
  <c r="F4" i="4"/>
  <c r="C4" i="4"/>
  <c r="F2" i="4"/>
  <c r="C2" i="4"/>
  <c r="F8" i="3"/>
  <c r="C8" i="3"/>
  <c r="F6" i="3"/>
  <c r="C6" i="3"/>
  <c r="F4" i="3"/>
  <c r="C4" i="3"/>
  <c r="F2" i="3"/>
  <c r="C2" i="3"/>
  <c r="I58" i="2"/>
  <c r="G53" i="2"/>
  <c r="I53" i="2" s="1"/>
  <c r="G51" i="2"/>
  <c r="I51" i="2" s="1"/>
  <c r="I47" i="2"/>
  <c r="F43" i="2"/>
  <c r="I37" i="2"/>
  <c r="G32" i="2"/>
  <c r="I32" i="2" s="1"/>
  <c r="I11" i="2"/>
  <c r="G8" i="2"/>
  <c r="C8" i="2"/>
  <c r="G6" i="2"/>
  <c r="C6" i="2"/>
  <c r="G4" i="2"/>
  <c r="C4" i="2"/>
  <c r="G2" i="2"/>
  <c r="C2" i="2"/>
  <c r="BJ732" i="1"/>
  <c r="Z732" i="1" s="1"/>
  <c r="BI732" i="1"/>
  <c r="BF732" i="1"/>
  <c r="BD732" i="1"/>
  <c r="AX732" i="1"/>
  <c r="AW732" i="1"/>
  <c r="AP732" i="1"/>
  <c r="I732" i="1" s="1"/>
  <c r="AO732" i="1"/>
  <c r="AL732" i="1"/>
  <c r="AK732" i="1"/>
  <c r="AT725" i="1" s="1"/>
  <c r="AJ732" i="1"/>
  <c r="AH732" i="1"/>
  <c r="AG732" i="1"/>
  <c r="AF732" i="1"/>
  <c r="AE732" i="1"/>
  <c r="AD732" i="1"/>
  <c r="AC732" i="1"/>
  <c r="AB732" i="1"/>
  <c r="J732" i="1"/>
  <c r="BJ731" i="1"/>
  <c r="BI731" i="1"/>
  <c r="BH731" i="1"/>
  <c r="BF731" i="1"/>
  <c r="BD731" i="1"/>
  <c r="AX731" i="1"/>
  <c r="BC731" i="1" s="1"/>
  <c r="AW731" i="1"/>
  <c r="AP731" i="1"/>
  <c r="AO731" i="1"/>
  <c r="AK731" i="1"/>
  <c r="AJ731" i="1"/>
  <c r="AH731" i="1"/>
  <c r="AG731" i="1"/>
  <c r="AF731" i="1"/>
  <c r="AE731" i="1"/>
  <c r="AD731" i="1"/>
  <c r="AC731" i="1"/>
  <c r="AB731" i="1"/>
  <c r="Z731" i="1"/>
  <c r="J731" i="1"/>
  <c r="AL731" i="1" s="1"/>
  <c r="I731" i="1"/>
  <c r="H731" i="1"/>
  <c r="BJ730" i="1"/>
  <c r="BI730" i="1"/>
  <c r="BH730" i="1"/>
  <c r="BF730" i="1"/>
  <c r="BD730" i="1"/>
  <c r="AX730" i="1"/>
  <c r="AP730" i="1"/>
  <c r="I730" i="1" s="1"/>
  <c r="AO730" i="1"/>
  <c r="AL730" i="1"/>
  <c r="AK730" i="1"/>
  <c r="AJ730" i="1"/>
  <c r="AH730" i="1"/>
  <c r="AG730" i="1"/>
  <c r="AF730" i="1"/>
  <c r="AE730" i="1"/>
  <c r="AD730" i="1"/>
  <c r="AC730" i="1"/>
  <c r="AB730" i="1"/>
  <c r="Z730" i="1"/>
  <c r="J730" i="1"/>
  <c r="BJ729" i="1"/>
  <c r="BF729" i="1"/>
  <c r="BD729" i="1"/>
  <c r="AX729" i="1"/>
  <c r="AW729" i="1"/>
  <c r="BC729" i="1" s="1"/>
  <c r="AV729" i="1"/>
  <c r="AP729" i="1"/>
  <c r="BI729" i="1" s="1"/>
  <c r="AO729" i="1"/>
  <c r="AL729" i="1"/>
  <c r="AK729" i="1"/>
  <c r="AJ729" i="1"/>
  <c r="AH729" i="1"/>
  <c r="AG729" i="1"/>
  <c r="AF729" i="1"/>
  <c r="AE729" i="1"/>
  <c r="AD729" i="1"/>
  <c r="AC729" i="1"/>
  <c r="AB729" i="1"/>
  <c r="Z729" i="1"/>
  <c r="J729" i="1"/>
  <c r="I729" i="1"/>
  <c r="BJ727" i="1"/>
  <c r="Z727" i="1" s="1"/>
  <c r="BI727" i="1"/>
  <c r="BH727" i="1"/>
  <c r="BF727" i="1"/>
  <c r="BD727" i="1"/>
  <c r="AX727" i="1"/>
  <c r="AP727" i="1"/>
  <c r="AO727" i="1"/>
  <c r="AW727" i="1" s="1"/>
  <c r="AK727" i="1"/>
  <c r="AJ727" i="1"/>
  <c r="AH727" i="1"/>
  <c r="AG727" i="1"/>
  <c r="AF727" i="1"/>
  <c r="AE727" i="1"/>
  <c r="AD727" i="1"/>
  <c r="AC727" i="1"/>
  <c r="AB727" i="1"/>
  <c r="J727" i="1"/>
  <c r="AL727" i="1" s="1"/>
  <c r="I727" i="1"/>
  <c r="H727" i="1"/>
  <c r="BJ726" i="1"/>
  <c r="BI726" i="1"/>
  <c r="BH726" i="1"/>
  <c r="BF726" i="1"/>
  <c r="BD726" i="1"/>
  <c r="BC726" i="1"/>
  <c r="AX726" i="1"/>
  <c r="AW726" i="1"/>
  <c r="AV726" i="1" s="1"/>
  <c r="AP726" i="1"/>
  <c r="AO726" i="1"/>
  <c r="AK726" i="1"/>
  <c r="AJ726" i="1"/>
  <c r="AS725" i="1" s="1"/>
  <c r="AH726" i="1"/>
  <c r="AG726" i="1"/>
  <c r="AF726" i="1"/>
  <c r="AE726" i="1"/>
  <c r="AD726" i="1"/>
  <c r="AC726" i="1"/>
  <c r="AB726" i="1"/>
  <c r="Z726" i="1"/>
  <c r="J726" i="1"/>
  <c r="I726" i="1"/>
  <c r="H726" i="1"/>
  <c r="BJ723" i="1"/>
  <c r="BF723" i="1"/>
  <c r="BD723" i="1"/>
  <c r="AP723" i="1"/>
  <c r="AO723" i="1"/>
  <c r="AL723" i="1"/>
  <c r="AU722" i="1" s="1"/>
  <c r="AK723" i="1"/>
  <c r="AT722" i="1" s="1"/>
  <c r="AJ723" i="1"/>
  <c r="AS722" i="1" s="1"/>
  <c r="AH723" i="1"/>
  <c r="AG723" i="1"/>
  <c r="AF723" i="1"/>
  <c r="AE723" i="1"/>
  <c r="AD723" i="1"/>
  <c r="Z723" i="1"/>
  <c r="J723" i="1"/>
  <c r="J722" i="1"/>
  <c r="G60" i="2" s="1"/>
  <c r="I60" i="2" s="1"/>
  <c r="BJ721" i="1"/>
  <c r="Z721" i="1" s="1"/>
  <c r="BI721" i="1"/>
  <c r="BH721" i="1"/>
  <c r="BF721" i="1"/>
  <c r="BD721" i="1"/>
  <c r="BC721" i="1"/>
  <c r="AX721" i="1"/>
  <c r="AP721" i="1"/>
  <c r="AO721" i="1"/>
  <c r="AW721" i="1" s="1"/>
  <c r="AV721" i="1" s="1"/>
  <c r="AL721" i="1"/>
  <c r="AK721" i="1"/>
  <c r="AJ721" i="1"/>
  <c r="AH721" i="1"/>
  <c r="AG721" i="1"/>
  <c r="AF721" i="1"/>
  <c r="AE721" i="1"/>
  <c r="AD721" i="1"/>
  <c r="AC721" i="1"/>
  <c r="AB721" i="1"/>
  <c r="J721" i="1"/>
  <c r="I721" i="1"/>
  <c r="H721" i="1"/>
  <c r="BJ720" i="1"/>
  <c r="BF720" i="1"/>
  <c r="BD720" i="1"/>
  <c r="AX720" i="1"/>
  <c r="AP720" i="1"/>
  <c r="AO720" i="1"/>
  <c r="AL720" i="1"/>
  <c r="AK720" i="1"/>
  <c r="AJ720" i="1"/>
  <c r="AH720" i="1"/>
  <c r="AG720" i="1"/>
  <c r="AF720" i="1"/>
  <c r="AC720" i="1"/>
  <c r="AB720" i="1"/>
  <c r="Z720" i="1"/>
  <c r="J720" i="1"/>
  <c r="BJ719" i="1"/>
  <c r="BF719" i="1"/>
  <c r="BD719" i="1"/>
  <c r="AP719" i="1"/>
  <c r="AO719" i="1"/>
  <c r="AL719" i="1"/>
  <c r="AK719" i="1"/>
  <c r="AJ719" i="1"/>
  <c r="AH719" i="1"/>
  <c r="AG719" i="1"/>
  <c r="AF719" i="1"/>
  <c r="AC719" i="1"/>
  <c r="AB719" i="1"/>
  <c r="Z719" i="1"/>
  <c r="J719" i="1"/>
  <c r="BJ718" i="1"/>
  <c r="BI718" i="1"/>
  <c r="AE718" i="1" s="1"/>
  <c r="BH718" i="1"/>
  <c r="AD718" i="1" s="1"/>
  <c r="BF718" i="1"/>
  <c r="BD718" i="1"/>
  <c r="AX718" i="1"/>
  <c r="AW718" i="1"/>
  <c r="BC718" i="1" s="1"/>
  <c r="AV718" i="1"/>
  <c r="AP718" i="1"/>
  <c r="AO718" i="1"/>
  <c r="AK718" i="1"/>
  <c r="AJ718" i="1"/>
  <c r="AH718" i="1"/>
  <c r="AG718" i="1"/>
  <c r="AF718" i="1"/>
  <c r="AC718" i="1"/>
  <c r="AB718" i="1"/>
  <c r="Z718" i="1"/>
  <c r="J718" i="1"/>
  <c r="AL718" i="1" s="1"/>
  <c r="I718" i="1"/>
  <c r="H718" i="1"/>
  <c r="BJ717" i="1"/>
  <c r="BI717" i="1"/>
  <c r="BH717" i="1"/>
  <c r="AD717" i="1" s="1"/>
  <c r="BF717" i="1"/>
  <c r="BD717" i="1"/>
  <c r="BC717" i="1"/>
  <c r="AX717" i="1"/>
  <c r="AW717" i="1"/>
  <c r="AV717" i="1" s="1"/>
  <c r="AP717" i="1"/>
  <c r="AO717" i="1"/>
  <c r="AL717" i="1"/>
  <c r="AK717" i="1"/>
  <c r="AJ717" i="1"/>
  <c r="AH717" i="1"/>
  <c r="AG717" i="1"/>
  <c r="AF717" i="1"/>
  <c r="AE717" i="1"/>
  <c r="AC717" i="1"/>
  <c r="AB717" i="1"/>
  <c r="Z717" i="1"/>
  <c r="J717" i="1"/>
  <c r="I717" i="1"/>
  <c r="H717" i="1"/>
  <c r="BJ715" i="1"/>
  <c r="BF715" i="1"/>
  <c r="BD715" i="1"/>
  <c r="AX715" i="1"/>
  <c r="AP715" i="1"/>
  <c r="AO715" i="1"/>
  <c r="AL715" i="1"/>
  <c r="AK715" i="1"/>
  <c r="AJ715" i="1"/>
  <c r="AH715" i="1"/>
  <c r="AG715" i="1"/>
  <c r="AF715" i="1"/>
  <c r="AC715" i="1"/>
  <c r="AB715" i="1"/>
  <c r="Z715" i="1"/>
  <c r="J715" i="1"/>
  <c r="BJ713" i="1"/>
  <c r="BI713" i="1"/>
  <c r="AE713" i="1" s="1"/>
  <c r="BF713" i="1"/>
  <c r="BD713" i="1"/>
  <c r="AP713" i="1"/>
  <c r="AX713" i="1" s="1"/>
  <c r="AO713" i="1"/>
  <c r="BH713" i="1" s="1"/>
  <c r="AD713" i="1" s="1"/>
  <c r="AL713" i="1"/>
  <c r="AK713" i="1"/>
  <c r="AJ713" i="1"/>
  <c r="AH713" i="1"/>
  <c r="AG713" i="1"/>
  <c r="AF713" i="1"/>
  <c r="AC713" i="1"/>
  <c r="AB713" i="1"/>
  <c r="Z713" i="1"/>
  <c r="J713" i="1"/>
  <c r="I713" i="1"/>
  <c r="H713" i="1"/>
  <c r="BJ712" i="1"/>
  <c r="BF712" i="1"/>
  <c r="BD712" i="1"/>
  <c r="AP712" i="1"/>
  <c r="AO712" i="1"/>
  <c r="AK712" i="1"/>
  <c r="AJ712" i="1"/>
  <c r="AH712" i="1"/>
  <c r="AG712" i="1"/>
  <c r="AF712" i="1"/>
  <c r="AC712" i="1"/>
  <c r="AB712" i="1"/>
  <c r="Z712" i="1"/>
  <c r="J712" i="1"/>
  <c r="AL712" i="1" s="1"/>
  <c r="BJ711" i="1"/>
  <c r="BI711" i="1"/>
  <c r="BH711" i="1"/>
  <c r="BF711" i="1"/>
  <c r="BD711" i="1"/>
  <c r="BC711" i="1"/>
  <c r="AX711" i="1"/>
  <c r="AW711" i="1"/>
  <c r="AV711" i="1" s="1"/>
  <c r="AP711" i="1"/>
  <c r="AO711" i="1"/>
  <c r="AL711" i="1"/>
  <c r="AK711" i="1"/>
  <c r="AJ711" i="1"/>
  <c r="AH711" i="1"/>
  <c r="AG711" i="1"/>
  <c r="AF711" i="1"/>
  <c r="AE711" i="1"/>
  <c r="AD711" i="1"/>
  <c r="AC711" i="1"/>
  <c r="AB711" i="1"/>
  <c r="Z711" i="1"/>
  <c r="J711" i="1"/>
  <c r="I711" i="1"/>
  <c r="H711" i="1"/>
  <c r="BJ709" i="1"/>
  <c r="BF709" i="1"/>
  <c r="BD709" i="1"/>
  <c r="AP709" i="1"/>
  <c r="AO709" i="1"/>
  <c r="AL709" i="1"/>
  <c r="AK709" i="1"/>
  <c r="AJ709" i="1"/>
  <c r="AH709" i="1"/>
  <c r="AG709" i="1"/>
  <c r="AF709" i="1"/>
  <c r="AC709" i="1"/>
  <c r="AB709" i="1"/>
  <c r="Z709" i="1"/>
  <c r="J709" i="1"/>
  <c r="BJ707" i="1"/>
  <c r="BF707" i="1"/>
  <c r="BD707" i="1"/>
  <c r="AX707" i="1"/>
  <c r="AW707" i="1"/>
  <c r="AV707" i="1" s="1"/>
  <c r="AP707" i="1"/>
  <c r="AO707" i="1"/>
  <c r="BH707" i="1" s="1"/>
  <c r="AD707" i="1" s="1"/>
  <c r="AL707" i="1"/>
  <c r="AK707" i="1"/>
  <c r="AJ707" i="1"/>
  <c r="AH707" i="1"/>
  <c r="AG707" i="1"/>
  <c r="AF707" i="1"/>
  <c r="AC707" i="1"/>
  <c r="AB707" i="1"/>
  <c r="Z707" i="1"/>
  <c r="J707" i="1"/>
  <c r="H707" i="1"/>
  <c r="BJ706" i="1"/>
  <c r="BI706" i="1"/>
  <c r="AE706" i="1" s="1"/>
  <c r="BH706" i="1"/>
  <c r="AD706" i="1" s="1"/>
  <c r="BF706" i="1"/>
  <c r="BD706" i="1"/>
  <c r="AP706" i="1"/>
  <c r="I706" i="1" s="1"/>
  <c r="AO706" i="1"/>
  <c r="AW706" i="1" s="1"/>
  <c r="AK706" i="1"/>
  <c r="AJ706" i="1"/>
  <c r="AH706" i="1"/>
  <c r="AG706" i="1"/>
  <c r="AF706" i="1"/>
  <c r="AC706" i="1"/>
  <c r="AB706" i="1"/>
  <c r="Z706" i="1"/>
  <c r="J706" i="1"/>
  <c r="AL706" i="1" s="1"/>
  <c r="H706" i="1"/>
  <c r="BJ705" i="1"/>
  <c r="BI705" i="1"/>
  <c r="AE705" i="1" s="1"/>
  <c r="BH705" i="1"/>
  <c r="BF705" i="1"/>
  <c r="BD705" i="1"/>
  <c r="BC705" i="1"/>
  <c r="AX705" i="1"/>
  <c r="AW705" i="1"/>
  <c r="AV705" i="1" s="1"/>
  <c r="AP705" i="1"/>
  <c r="AO705" i="1"/>
  <c r="AK705" i="1"/>
  <c r="AJ705" i="1"/>
  <c r="AH705" i="1"/>
  <c r="AG705" i="1"/>
  <c r="AF705" i="1"/>
  <c r="AD705" i="1"/>
  <c r="AC705" i="1"/>
  <c r="AB705" i="1"/>
  <c r="Z705" i="1"/>
  <c r="J705" i="1"/>
  <c r="I705" i="1"/>
  <c r="H705" i="1"/>
  <c r="BJ702" i="1"/>
  <c r="BI702" i="1"/>
  <c r="BH702" i="1"/>
  <c r="BF702" i="1"/>
  <c r="BD702" i="1"/>
  <c r="AW702" i="1"/>
  <c r="AP702" i="1"/>
  <c r="I702" i="1" s="1"/>
  <c r="AO702" i="1"/>
  <c r="H702" i="1" s="1"/>
  <c r="AK702" i="1"/>
  <c r="AJ702" i="1"/>
  <c r="AH702" i="1"/>
  <c r="AG702" i="1"/>
  <c r="AF702" i="1"/>
  <c r="AE702" i="1"/>
  <c r="AD702" i="1"/>
  <c r="AC702" i="1"/>
  <c r="AB702" i="1"/>
  <c r="Z702" i="1"/>
  <c r="J702" i="1"/>
  <c r="AL702" i="1" s="1"/>
  <c r="BJ701" i="1"/>
  <c r="Z701" i="1" s="1"/>
  <c r="BI701" i="1"/>
  <c r="BH701" i="1"/>
  <c r="BF701" i="1"/>
  <c r="BD701" i="1"/>
  <c r="BC701" i="1"/>
  <c r="AX701" i="1"/>
  <c r="AW701" i="1"/>
  <c r="AV701" i="1" s="1"/>
  <c r="AP701" i="1"/>
  <c r="AO701" i="1"/>
  <c r="AK701" i="1"/>
  <c r="AT695" i="1" s="1"/>
  <c r="AJ701" i="1"/>
  <c r="AH701" i="1"/>
  <c r="AG701" i="1"/>
  <c r="AF701" i="1"/>
  <c r="AE701" i="1"/>
  <c r="AD701" i="1"/>
  <c r="AC701" i="1"/>
  <c r="AB701" i="1"/>
  <c r="J701" i="1"/>
  <c r="AL701" i="1" s="1"/>
  <c r="I701" i="1"/>
  <c r="H701" i="1"/>
  <c r="BJ700" i="1"/>
  <c r="Z700" i="1" s="1"/>
  <c r="BF700" i="1"/>
  <c r="BD700" i="1"/>
  <c r="AW700" i="1"/>
  <c r="AP700" i="1"/>
  <c r="AO700" i="1"/>
  <c r="AL700" i="1"/>
  <c r="AK700" i="1"/>
  <c r="AJ700" i="1"/>
  <c r="AH700" i="1"/>
  <c r="AG700" i="1"/>
  <c r="AF700" i="1"/>
  <c r="AE700" i="1"/>
  <c r="AD700" i="1"/>
  <c r="AC700" i="1"/>
  <c r="AB700" i="1"/>
  <c r="J700" i="1"/>
  <c r="BJ699" i="1"/>
  <c r="BH699" i="1"/>
  <c r="BF699" i="1"/>
  <c r="BD699" i="1"/>
  <c r="AX699" i="1"/>
  <c r="AW699" i="1"/>
  <c r="AV699" i="1" s="1"/>
  <c r="AP699" i="1"/>
  <c r="AO699" i="1"/>
  <c r="H699" i="1" s="1"/>
  <c r="AK699" i="1"/>
  <c r="AJ699" i="1"/>
  <c r="AS695" i="1" s="1"/>
  <c r="AH699" i="1"/>
  <c r="AG699" i="1"/>
  <c r="AF699" i="1"/>
  <c r="AE699" i="1"/>
  <c r="AD699" i="1"/>
  <c r="AC699" i="1"/>
  <c r="AB699" i="1"/>
  <c r="Z699" i="1"/>
  <c r="J699" i="1"/>
  <c r="AL699" i="1" s="1"/>
  <c r="BJ697" i="1"/>
  <c r="BI697" i="1"/>
  <c r="BH697" i="1"/>
  <c r="BF697" i="1"/>
  <c r="BD697" i="1"/>
  <c r="AP697" i="1"/>
  <c r="AX697" i="1" s="1"/>
  <c r="AV697" i="1" s="1"/>
  <c r="AO697" i="1"/>
  <c r="AW697" i="1" s="1"/>
  <c r="AK697" i="1"/>
  <c r="AJ697" i="1"/>
  <c r="AH697" i="1"/>
  <c r="AG697" i="1"/>
  <c r="AF697" i="1"/>
  <c r="AE697" i="1"/>
  <c r="AD697" i="1"/>
  <c r="AC697" i="1"/>
  <c r="AB697" i="1"/>
  <c r="Z697" i="1"/>
  <c r="J697" i="1"/>
  <c r="AL697" i="1" s="1"/>
  <c r="I697" i="1"/>
  <c r="H697" i="1"/>
  <c r="BJ696" i="1"/>
  <c r="BI696" i="1"/>
  <c r="BH696" i="1"/>
  <c r="BF696" i="1"/>
  <c r="BD696" i="1"/>
  <c r="AX696" i="1"/>
  <c r="BC696" i="1" s="1"/>
  <c r="AW696" i="1"/>
  <c r="AV696" i="1" s="1"/>
  <c r="AP696" i="1"/>
  <c r="AO696" i="1"/>
  <c r="AK696" i="1"/>
  <c r="AJ696" i="1"/>
  <c r="AH696" i="1"/>
  <c r="AG696" i="1"/>
  <c r="AF696" i="1"/>
  <c r="AE696" i="1"/>
  <c r="AD696" i="1"/>
  <c r="AC696" i="1"/>
  <c r="AB696" i="1"/>
  <c r="Z696" i="1"/>
  <c r="J696" i="1"/>
  <c r="I696" i="1"/>
  <c r="H696" i="1"/>
  <c r="BJ694" i="1"/>
  <c r="BF694" i="1"/>
  <c r="BD694" i="1"/>
  <c r="AP694" i="1"/>
  <c r="AO694" i="1"/>
  <c r="BH694" i="1" s="1"/>
  <c r="AL694" i="1"/>
  <c r="AU693" i="1" s="1"/>
  <c r="AK694" i="1"/>
  <c r="AT693" i="1" s="1"/>
  <c r="AJ694" i="1"/>
  <c r="AS693" i="1" s="1"/>
  <c r="AH694" i="1"/>
  <c r="AG694" i="1"/>
  <c r="AF694" i="1"/>
  <c r="AE694" i="1"/>
  <c r="AD694" i="1"/>
  <c r="AC694" i="1"/>
  <c r="AB694" i="1"/>
  <c r="Z694" i="1"/>
  <c r="J694" i="1"/>
  <c r="J693" i="1"/>
  <c r="G56" i="2" s="1"/>
  <c r="I56" i="2" s="1"/>
  <c r="BJ692" i="1"/>
  <c r="BI692" i="1"/>
  <c r="AC692" i="1" s="1"/>
  <c r="BF692" i="1"/>
  <c r="BD692" i="1"/>
  <c r="AP692" i="1"/>
  <c r="AX692" i="1" s="1"/>
  <c r="AO692" i="1"/>
  <c r="AK692" i="1"/>
  <c r="AT691" i="1" s="1"/>
  <c r="AJ692" i="1"/>
  <c r="AS691" i="1" s="1"/>
  <c r="AH692" i="1"/>
  <c r="AG692" i="1"/>
  <c r="AF692" i="1"/>
  <c r="AE692" i="1"/>
  <c r="AD692" i="1"/>
  <c r="Z692" i="1"/>
  <c r="J692" i="1"/>
  <c r="I692" i="1"/>
  <c r="I691" i="1" s="1"/>
  <c r="F55" i="2" s="1"/>
  <c r="BJ690" i="1"/>
  <c r="BI690" i="1"/>
  <c r="AC690" i="1" s="1"/>
  <c r="BH690" i="1"/>
  <c r="AB690" i="1" s="1"/>
  <c r="BF690" i="1"/>
  <c r="BD690" i="1"/>
  <c r="AW690" i="1"/>
  <c r="BC690" i="1" s="1"/>
  <c r="AP690" i="1"/>
  <c r="AX690" i="1" s="1"/>
  <c r="AV690" i="1" s="1"/>
  <c r="AO690" i="1"/>
  <c r="AL690" i="1"/>
  <c r="AU688" i="1" s="1"/>
  <c r="AK690" i="1"/>
  <c r="AJ690" i="1"/>
  <c r="AH690" i="1"/>
  <c r="AG690" i="1"/>
  <c r="AF690" i="1"/>
  <c r="AE690" i="1"/>
  <c r="AD690" i="1"/>
  <c r="Z690" i="1"/>
  <c r="J690" i="1"/>
  <c r="I690" i="1"/>
  <c r="H690" i="1"/>
  <c r="BJ689" i="1"/>
  <c r="BI689" i="1"/>
  <c r="BH689" i="1"/>
  <c r="BF689" i="1"/>
  <c r="BD689" i="1"/>
  <c r="AX689" i="1"/>
  <c r="BC689" i="1" s="1"/>
  <c r="AW689" i="1"/>
  <c r="AP689" i="1"/>
  <c r="AO689" i="1"/>
  <c r="AK689" i="1"/>
  <c r="AJ689" i="1"/>
  <c r="AH689" i="1"/>
  <c r="AG689" i="1"/>
  <c r="AF689" i="1"/>
  <c r="AE689" i="1"/>
  <c r="AD689" i="1"/>
  <c r="AC689" i="1"/>
  <c r="AB689" i="1"/>
  <c r="Z689" i="1"/>
  <c r="J689" i="1"/>
  <c r="AL689" i="1" s="1"/>
  <c r="I689" i="1"/>
  <c r="H689" i="1"/>
  <c r="AT688" i="1"/>
  <c r="AS688" i="1"/>
  <c r="J688" i="1"/>
  <c r="G54" i="2" s="1"/>
  <c r="I54" i="2" s="1"/>
  <c r="BJ686" i="1"/>
  <c r="BF686" i="1"/>
  <c r="BD686" i="1"/>
  <c r="AP686" i="1"/>
  <c r="AO686" i="1"/>
  <c r="AL686" i="1"/>
  <c r="AU685" i="1" s="1"/>
  <c r="AK686" i="1"/>
  <c r="AT685" i="1" s="1"/>
  <c r="AJ686" i="1"/>
  <c r="AS685" i="1" s="1"/>
  <c r="AH686" i="1"/>
  <c r="AG686" i="1"/>
  <c r="AF686" i="1"/>
  <c r="AE686" i="1"/>
  <c r="AD686" i="1"/>
  <c r="Z686" i="1"/>
  <c r="J686" i="1"/>
  <c r="J685" i="1"/>
  <c r="BJ684" i="1"/>
  <c r="BI684" i="1"/>
  <c r="AC684" i="1" s="1"/>
  <c r="BH684" i="1"/>
  <c r="AB684" i="1" s="1"/>
  <c r="BF684" i="1"/>
  <c r="BD684" i="1"/>
  <c r="BC684" i="1"/>
  <c r="AX684" i="1"/>
  <c r="AW684" i="1"/>
  <c r="AV684" i="1" s="1"/>
  <c r="AP684" i="1"/>
  <c r="AO684" i="1"/>
  <c r="AK684" i="1"/>
  <c r="AJ684" i="1"/>
  <c r="AH684" i="1"/>
  <c r="AG684" i="1"/>
  <c r="AF684" i="1"/>
  <c r="AE684" i="1"/>
  <c r="AD684" i="1"/>
  <c r="Z684" i="1"/>
  <c r="J684" i="1"/>
  <c r="AL684" i="1" s="1"/>
  <c r="I684" i="1"/>
  <c r="H684" i="1"/>
  <c r="BJ683" i="1"/>
  <c r="BI683" i="1"/>
  <c r="AC683" i="1" s="1"/>
  <c r="BF683" i="1"/>
  <c r="BD683" i="1"/>
  <c r="AP683" i="1"/>
  <c r="AO683" i="1"/>
  <c r="AL683" i="1"/>
  <c r="AK683" i="1"/>
  <c r="AJ683" i="1"/>
  <c r="AS676" i="1" s="1"/>
  <c r="AH683" i="1"/>
  <c r="AG683" i="1"/>
  <c r="AF683" i="1"/>
  <c r="AE683" i="1"/>
  <c r="AD683" i="1"/>
  <c r="Z683" i="1"/>
  <c r="J683" i="1"/>
  <c r="BJ680" i="1"/>
  <c r="BH680" i="1"/>
  <c r="AB680" i="1" s="1"/>
  <c r="BF680" i="1"/>
  <c r="BD680" i="1"/>
  <c r="AP680" i="1"/>
  <c r="AO680" i="1"/>
  <c r="AW680" i="1" s="1"/>
  <c r="AL680" i="1"/>
  <c r="AK680" i="1"/>
  <c r="AJ680" i="1"/>
  <c r="AH680" i="1"/>
  <c r="AG680" i="1"/>
  <c r="AF680" i="1"/>
  <c r="AE680" i="1"/>
  <c r="AD680" i="1"/>
  <c r="Z680" i="1"/>
  <c r="J680" i="1"/>
  <c r="H680" i="1"/>
  <c r="BJ677" i="1"/>
  <c r="BI677" i="1"/>
  <c r="BH677" i="1"/>
  <c r="AB677" i="1" s="1"/>
  <c r="BF677" i="1"/>
  <c r="BD677" i="1"/>
  <c r="AP677" i="1"/>
  <c r="AX677" i="1" s="1"/>
  <c r="AO677" i="1"/>
  <c r="AK677" i="1"/>
  <c r="AJ677" i="1"/>
  <c r="AH677" i="1"/>
  <c r="AG677" i="1"/>
  <c r="AF677" i="1"/>
  <c r="AE677" i="1"/>
  <c r="AD677" i="1"/>
  <c r="AC677" i="1"/>
  <c r="Z677" i="1"/>
  <c r="J677" i="1"/>
  <c r="I677" i="1"/>
  <c r="AT676" i="1"/>
  <c r="BJ673" i="1"/>
  <c r="BF673" i="1"/>
  <c r="BD673" i="1"/>
  <c r="AP673" i="1"/>
  <c r="AO673" i="1"/>
  <c r="AL673" i="1"/>
  <c r="AU672" i="1" s="1"/>
  <c r="AK673" i="1"/>
  <c r="AT672" i="1" s="1"/>
  <c r="AJ673" i="1"/>
  <c r="AS672" i="1" s="1"/>
  <c r="AH673" i="1"/>
  <c r="AG673" i="1"/>
  <c r="AF673" i="1"/>
  <c r="AC673" i="1"/>
  <c r="AB673" i="1"/>
  <c r="Z673" i="1"/>
  <c r="J673" i="1"/>
  <c r="J672" i="1"/>
  <c r="BJ671" i="1"/>
  <c r="BH671" i="1"/>
  <c r="BF671" i="1"/>
  <c r="BD671" i="1"/>
  <c r="AW671" i="1"/>
  <c r="AP671" i="1"/>
  <c r="AO671" i="1"/>
  <c r="AK671" i="1"/>
  <c r="AJ671" i="1"/>
  <c r="AH671" i="1"/>
  <c r="AG671" i="1"/>
  <c r="AF671" i="1"/>
  <c r="AE671" i="1"/>
  <c r="AD671" i="1"/>
  <c r="AC671" i="1"/>
  <c r="AB671" i="1"/>
  <c r="Z671" i="1"/>
  <c r="J671" i="1"/>
  <c r="AL671" i="1" s="1"/>
  <c r="H671" i="1"/>
  <c r="BJ670" i="1"/>
  <c r="BI670" i="1"/>
  <c r="BF670" i="1"/>
  <c r="BD670" i="1"/>
  <c r="AP670" i="1"/>
  <c r="AX670" i="1" s="1"/>
  <c r="AO670" i="1"/>
  <c r="BH670" i="1" s="1"/>
  <c r="AD670" i="1" s="1"/>
  <c r="AK670" i="1"/>
  <c r="AJ670" i="1"/>
  <c r="AH670" i="1"/>
  <c r="AG670" i="1"/>
  <c r="AF670" i="1"/>
  <c r="AE670" i="1"/>
  <c r="AC670" i="1"/>
  <c r="AB670" i="1"/>
  <c r="Z670" i="1"/>
  <c r="J670" i="1"/>
  <c r="AL670" i="1" s="1"/>
  <c r="I670" i="1"/>
  <c r="BJ668" i="1"/>
  <c r="BF668" i="1"/>
  <c r="BD668" i="1"/>
  <c r="AW668" i="1"/>
  <c r="AP668" i="1"/>
  <c r="AO668" i="1"/>
  <c r="AL668" i="1"/>
  <c r="AK668" i="1"/>
  <c r="AJ668" i="1"/>
  <c r="AH668" i="1"/>
  <c r="AG668" i="1"/>
  <c r="AF668" i="1"/>
  <c r="AC668" i="1"/>
  <c r="AB668" i="1"/>
  <c r="Z668" i="1"/>
  <c r="J668" i="1"/>
  <c r="BJ667" i="1"/>
  <c r="BF667" i="1"/>
  <c r="BD667" i="1"/>
  <c r="AW667" i="1"/>
  <c r="AP667" i="1"/>
  <c r="AO667" i="1"/>
  <c r="AL667" i="1"/>
  <c r="AK667" i="1"/>
  <c r="AJ667" i="1"/>
  <c r="AH667" i="1"/>
  <c r="AG667" i="1"/>
  <c r="AF667" i="1"/>
  <c r="AC667" i="1"/>
  <c r="AB667" i="1"/>
  <c r="Z667" i="1"/>
  <c r="J667" i="1"/>
  <c r="BJ666" i="1"/>
  <c r="BH666" i="1"/>
  <c r="AD666" i="1" s="1"/>
  <c r="BF666" i="1"/>
  <c r="BD666" i="1"/>
  <c r="AW666" i="1"/>
  <c r="AP666" i="1"/>
  <c r="AO666" i="1"/>
  <c r="AK666" i="1"/>
  <c r="AJ666" i="1"/>
  <c r="AH666" i="1"/>
  <c r="AG666" i="1"/>
  <c r="AF666" i="1"/>
  <c r="AC666" i="1"/>
  <c r="AB666" i="1"/>
  <c r="Z666" i="1"/>
  <c r="J666" i="1"/>
  <c r="AL666" i="1" s="1"/>
  <c r="H666" i="1"/>
  <c r="BJ665" i="1"/>
  <c r="BI665" i="1"/>
  <c r="BF665" i="1"/>
  <c r="BD665" i="1"/>
  <c r="AP665" i="1"/>
  <c r="AX665" i="1" s="1"/>
  <c r="AO665" i="1"/>
  <c r="AK665" i="1"/>
  <c r="AJ665" i="1"/>
  <c r="AH665" i="1"/>
  <c r="AG665" i="1"/>
  <c r="AF665" i="1"/>
  <c r="AE665" i="1"/>
  <c r="AC665" i="1"/>
  <c r="AB665" i="1"/>
  <c r="Z665" i="1"/>
  <c r="J665" i="1"/>
  <c r="AL665" i="1" s="1"/>
  <c r="I665" i="1"/>
  <c r="BJ664" i="1"/>
  <c r="BF664" i="1"/>
  <c r="BD664" i="1"/>
  <c r="AW664" i="1"/>
  <c r="AP664" i="1"/>
  <c r="AO664" i="1"/>
  <c r="AL664" i="1"/>
  <c r="AK664" i="1"/>
  <c r="AJ664" i="1"/>
  <c r="AH664" i="1"/>
  <c r="AG664" i="1"/>
  <c r="AF664" i="1"/>
  <c r="AC664" i="1"/>
  <c r="AB664" i="1"/>
  <c r="Z664" i="1"/>
  <c r="J664" i="1"/>
  <c r="BJ662" i="1"/>
  <c r="BH662" i="1"/>
  <c r="AD662" i="1" s="1"/>
  <c r="BF662" i="1"/>
  <c r="BD662" i="1"/>
  <c r="AX662" i="1"/>
  <c r="BC662" i="1" s="1"/>
  <c r="AW662" i="1"/>
  <c r="AP662" i="1"/>
  <c r="BI662" i="1" s="1"/>
  <c r="AE662" i="1" s="1"/>
  <c r="AO662" i="1"/>
  <c r="AK662" i="1"/>
  <c r="AJ662" i="1"/>
  <c r="AH662" i="1"/>
  <c r="AG662" i="1"/>
  <c r="AF662" i="1"/>
  <c r="AC662" i="1"/>
  <c r="AB662" i="1"/>
  <c r="Z662" i="1"/>
  <c r="J662" i="1"/>
  <c r="AL662" i="1" s="1"/>
  <c r="I662" i="1"/>
  <c r="H662" i="1"/>
  <c r="BJ661" i="1"/>
  <c r="BI661" i="1"/>
  <c r="AE661" i="1" s="1"/>
  <c r="BH661" i="1"/>
  <c r="BF661" i="1"/>
  <c r="BD661" i="1"/>
  <c r="AW661" i="1"/>
  <c r="AP661" i="1"/>
  <c r="AO661" i="1"/>
  <c r="AK661" i="1"/>
  <c r="AJ661" i="1"/>
  <c r="AH661" i="1"/>
  <c r="AG661" i="1"/>
  <c r="AF661" i="1"/>
  <c r="AD661" i="1"/>
  <c r="AC661" i="1"/>
  <c r="AB661" i="1"/>
  <c r="Z661" i="1"/>
  <c r="J661" i="1"/>
  <c r="AL661" i="1" s="1"/>
  <c r="H661" i="1"/>
  <c r="BJ660" i="1"/>
  <c r="BI660" i="1"/>
  <c r="BF660" i="1"/>
  <c r="BD660" i="1"/>
  <c r="AP660" i="1"/>
  <c r="AX660" i="1" s="1"/>
  <c r="AO660" i="1"/>
  <c r="AK660" i="1"/>
  <c r="AJ660" i="1"/>
  <c r="AH660" i="1"/>
  <c r="AG660" i="1"/>
  <c r="AF660" i="1"/>
  <c r="AE660" i="1"/>
  <c r="AC660" i="1"/>
  <c r="AB660" i="1"/>
  <c r="Z660" i="1"/>
  <c r="J660" i="1"/>
  <c r="AL660" i="1" s="1"/>
  <c r="I660" i="1"/>
  <c r="BJ659" i="1"/>
  <c r="BF659" i="1"/>
  <c r="BD659" i="1"/>
  <c r="AP659" i="1"/>
  <c r="AO659" i="1"/>
  <c r="AL659" i="1"/>
  <c r="AK659" i="1"/>
  <c r="AJ659" i="1"/>
  <c r="AH659" i="1"/>
  <c r="AG659" i="1"/>
  <c r="AF659" i="1"/>
  <c r="AC659" i="1"/>
  <c r="AB659" i="1"/>
  <c r="Z659" i="1"/>
  <c r="J659" i="1"/>
  <c r="BJ658" i="1"/>
  <c r="BF658" i="1"/>
  <c r="BD658" i="1"/>
  <c r="AX658" i="1"/>
  <c r="AW658" i="1"/>
  <c r="AP658" i="1"/>
  <c r="BI658" i="1" s="1"/>
  <c r="AE658" i="1" s="1"/>
  <c r="AO658" i="1"/>
  <c r="AL658" i="1"/>
  <c r="AK658" i="1"/>
  <c r="AJ658" i="1"/>
  <c r="AH658" i="1"/>
  <c r="AG658" i="1"/>
  <c r="AF658" i="1"/>
  <c r="AC658" i="1"/>
  <c r="AB658" i="1"/>
  <c r="Z658" i="1"/>
  <c r="J658" i="1"/>
  <c r="I658" i="1"/>
  <c r="BJ657" i="1"/>
  <c r="BH657" i="1"/>
  <c r="BF657" i="1"/>
  <c r="BD657" i="1"/>
  <c r="AX657" i="1"/>
  <c r="AW657" i="1"/>
  <c r="BC657" i="1" s="1"/>
  <c r="AV657" i="1"/>
  <c r="AP657" i="1"/>
  <c r="AO657" i="1"/>
  <c r="AK657" i="1"/>
  <c r="AJ657" i="1"/>
  <c r="AH657" i="1"/>
  <c r="AG657" i="1"/>
  <c r="AF657" i="1"/>
  <c r="AD657" i="1"/>
  <c r="AC657" i="1"/>
  <c r="AB657" i="1"/>
  <c r="Z657" i="1"/>
  <c r="J657" i="1"/>
  <c r="AL657" i="1" s="1"/>
  <c r="H657" i="1"/>
  <c r="BJ656" i="1"/>
  <c r="BI656" i="1"/>
  <c r="BH656" i="1"/>
  <c r="BF656" i="1"/>
  <c r="BD656" i="1"/>
  <c r="AP656" i="1"/>
  <c r="AX656" i="1" s="1"/>
  <c r="AO656" i="1"/>
  <c r="AW656" i="1" s="1"/>
  <c r="AK656" i="1"/>
  <c r="AJ656" i="1"/>
  <c r="AH656" i="1"/>
  <c r="AG656" i="1"/>
  <c r="AF656" i="1"/>
  <c r="AE656" i="1"/>
  <c r="AD656" i="1"/>
  <c r="AC656" i="1"/>
  <c r="AB656" i="1"/>
  <c r="Z656" i="1"/>
  <c r="J656" i="1"/>
  <c r="AL656" i="1" s="1"/>
  <c r="I656" i="1"/>
  <c r="H656" i="1"/>
  <c r="BJ655" i="1"/>
  <c r="BF655" i="1"/>
  <c r="BD655" i="1"/>
  <c r="AW655" i="1"/>
  <c r="AP655" i="1"/>
  <c r="AO655" i="1"/>
  <c r="AL655" i="1"/>
  <c r="AK655" i="1"/>
  <c r="AJ655" i="1"/>
  <c r="AH655" i="1"/>
  <c r="AG655" i="1"/>
  <c r="AF655" i="1"/>
  <c r="AC655" i="1"/>
  <c r="AB655" i="1"/>
  <c r="Z655" i="1"/>
  <c r="J655" i="1"/>
  <c r="BJ654" i="1"/>
  <c r="BF654" i="1"/>
  <c r="BD654" i="1"/>
  <c r="AX654" i="1"/>
  <c r="AW654" i="1"/>
  <c r="BC654" i="1" s="1"/>
  <c r="AV654" i="1"/>
  <c r="AP654" i="1"/>
  <c r="BI654" i="1" s="1"/>
  <c r="AE654" i="1" s="1"/>
  <c r="AO654" i="1"/>
  <c r="BH654" i="1" s="1"/>
  <c r="AD654" i="1" s="1"/>
  <c r="AL654" i="1"/>
  <c r="AK654" i="1"/>
  <c r="AJ654" i="1"/>
  <c r="AH654" i="1"/>
  <c r="AG654" i="1"/>
  <c r="AF654" i="1"/>
  <c r="AC654" i="1"/>
  <c r="AB654" i="1"/>
  <c r="Z654" i="1"/>
  <c r="J654" i="1"/>
  <c r="I654" i="1"/>
  <c r="BJ653" i="1"/>
  <c r="BH653" i="1"/>
  <c r="BF653" i="1"/>
  <c r="BD653" i="1"/>
  <c r="AW653" i="1"/>
  <c r="AP653" i="1"/>
  <c r="AO653" i="1"/>
  <c r="AK653" i="1"/>
  <c r="AJ653" i="1"/>
  <c r="AH653" i="1"/>
  <c r="AG653" i="1"/>
  <c r="AF653" i="1"/>
  <c r="AD653" i="1"/>
  <c r="AC653" i="1"/>
  <c r="AB653" i="1"/>
  <c r="Z653" i="1"/>
  <c r="J653" i="1"/>
  <c r="AL653" i="1" s="1"/>
  <c r="H653" i="1"/>
  <c r="BJ652" i="1"/>
  <c r="BI652" i="1"/>
  <c r="AE652" i="1" s="1"/>
  <c r="BF652" i="1"/>
  <c r="BD652" i="1"/>
  <c r="AP652" i="1"/>
  <c r="AX652" i="1" s="1"/>
  <c r="AO652" i="1"/>
  <c r="AK652" i="1"/>
  <c r="AJ652" i="1"/>
  <c r="AH652" i="1"/>
  <c r="AG652" i="1"/>
  <c r="AF652" i="1"/>
  <c r="AC652" i="1"/>
  <c r="AB652" i="1"/>
  <c r="Z652" i="1"/>
  <c r="J652" i="1"/>
  <c r="AL652" i="1" s="1"/>
  <c r="I652" i="1"/>
  <c r="BJ651" i="1"/>
  <c r="BF651" i="1"/>
  <c r="BD651" i="1"/>
  <c r="AW651" i="1"/>
  <c r="AP651" i="1"/>
  <c r="AO651" i="1"/>
  <c r="AL651" i="1"/>
  <c r="AK651" i="1"/>
  <c r="AJ651" i="1"/>
  <c r="AH651" i="1"/>
  <c r="AG651" i="1"/>
  <c r="AF651" i="1"/>
  <c r="AC651" i="1"/>
  <c r="AB651" i="1"/>
  <c r="Z651" i="1"/>
  <c r="J651" i="1"/>
  <c r="BJ650" i="1"/>
  <c r="BH650" i="1"/>
  <c r="AD650" i="1" s="1"/>
  <c r="BF650" i="1"/>
  <c r="BD650" i="1"/>
  <c r="AX650" i="1"/>
  <c r="AW650" i="1"/>
  <c r="AP650" i="1"/>
  <c r="BI650" i="1" s="1"/>
  <c r="AE650" i="1" s="1"/>
  <c r="AO650" i="1"/>
  <c r="AK650" i="1"/>
  <c r="AJ650" i="1"/>
  <c r="AH650" i="1"/>
  <c r="AG650" i="1"/>
  <c r="AF650" i="1"/>
  <c r="AC650" i="1"/>
  <c r="AB650" i="1"/>
  <c r="Z650" i="1"/>
  <c r="J650" i="1"/>
  <c r="AL650" i="1" s="1"/>
  <c r="I650" i="1"/>
  <c r="H650" i="1"/>
  <c r="BJ649" i="1"/>
  <c r="BI649" i="1"/>
  <c r="BH649" i="1"/>
  <c r="BF649" i="1"/>
  <c r="BD649" i="1"/>
  <c r="BC649" i="1"/>
  <c r="AX649" i="1"/>
  <c r="AV649" i="1" s="1"/>
  <c r="AW649" i="1"/>
  <c r="AP649" i="1"/>
  <c r="AO649" i="1"/>
  <c r="AK649" i="1"/>
  <c r="AJ649" i="1"/>
  <c r="AH649" i="1"/>
  <c r="AG649" i="1"/>
  <c r="AF649" i="1"/>
  <c r="AE649" i="1"/>
  <c r="AD649" i="1"/>
  <c r="AC649" i="1"/>
  <c r="AB649" i="1"/>
  <c r="Z649" i="1"/>
  <c r="J649" i="1"/>
  <c r="AL649" i="1" s="1"/>
  <c r="I649" i="1"/>
  <c r="H649" i="1"/>
  <c r="BJ647" i="1"/>
  <c r="BI647" i="1"/>
  <c r="BH647" i="1"/>
  <c r="BF647" i="1"/>
  <c r="BD647" i="1"/>
  <c r="AP647" i="1"/>
  <c r="AX647" i="1" s="1"/>
  <c r="AO647" i="1"/>
  <c r="AW647" i="1" s="1"/>
  <c r="AK647" i="1"/>
  <c r="AJ647" i="1"/>
  <c r="AH647" i="1"/>
  <c r="AG647" i="1"/>
  <c r="AF647" i="1"/>
  <c r="AE647" i="1"/>
  <c r="AD647" i="1"/>
  <c r="AC647" i="1"/>
  <c r="AB647" i="1"/>
  <c r="Z647" i="1"/>
  <c r="J647" i="1"/>
  <c r="AL647" i="1" s="1"/>
  <c r="I647" i="1"/>
  <c r="H647" i="1"/>
  <c r="BJ646" i="1"/>
  <c r="BF646" i="1"/>
  <c r="BD646" i="1"/>
  <c r="AP646" i="1"/>
  <c r="AO646" i="1"/>
  <c r="AL646" i="1"/>
  <c r="AK646" i="1"/>
  <c r="AJ646" i="1"/>
  <c r="AH646" i="1"/>
  <c r="AG646" i="1"/>
  <c r="AF646" i="1"/>
  <c r="AC646" i="1"/>
  <c r="AB646" i="1"/>
  <c r="Z646" i="1"/>
  <c r="J646" i="1"/>
  <c r="BJ643" i="1"/>
  <c r="BH643" i="1"/>
  <c r="AD643" i="1" s="1"/>
  <c r="BF643" i="1"/>
  <c r="BD643" i="1"/>
  <c r="AP643" i="1"/>
  <c r="AO643" i="1"/>
  <c r="AW643" i="1" s="1"/>
  <c r="AK643" i="1"/>
  <c r="AJ643" i="1"/>
  <c r="AH643" i="1"/>
  <c r="AG643" i="1"/>
  <c r="AF643" i="1"/>
  <c r="AC643" i="1"/>
  <c r="AB643" i="1"/>
  <c r="Z643" i="1"/>
  <c r="J643" i="1"/>
  <c r="AL643" i="1" s="1"/>
  <c r="I643" i="1"/>
  <c r="H643" i="1"/>
  <c r="BJ641" i="1"/>
  <c r="BH641" i="1"/>
  <c r="BF641" i="1"/>
  <c r="BD641" i="1"/>
  <c r="AX641" i="1"/>
  <c r="AW641" i="1"/>
  <c r="AP641" i="1"/>
  <c r="AO641" i="1"/>
  <c r="AK641" i="1"/>
  <c r="AJ641" i="1"/>
  <c r="AH641" i="1"/>
  <c r="AG641" i="1"/>
  <c r="AF641" i="1"/>
  <c r="AD641" i="1"/>
  <c r="AC641" i="1"/>
  <c r="AB641" i="1"/>
  <c r="Z641" i="1"/>
  <c r="J641" i="1"/>
  <c r="AL641" i="1" s="1"/>
  <c r="H641" i="1"/>
  <c r="BJ639" i="1"/>
  <c r="BI639" i="1"/>
  <c r="BH639" i="1"/>
  <c r="BF639" i="1"/>
  <c r="BD639" i="1"/>
  <c r="AP639" i="1"/>
  <c r="AX639" i="1" s="1"/>
  <c r="AO639" i="1"/>
  <c r="AK639" i="1"/>
  <c r="AJ639" i="1"/>
  <c r="AH639" i="1"/>
  <c r="AG639" i="1"/>
  <c r="AF639" i="1"/>
  <c r="AE639" i="1"/>
  <c r="AD639" i="1"/>
  <c r="AC639" i="1"/>
  <c r="AB639" i="1"/>
  <c r="Z639" i="1"/>
  <c r="J639" i="1"/>
  <c r="AL639" i="1" s="1"/>
  <c r="I639" i="1"/>
  <c r="BJ636" i="1"/>
  <c r="BF636" i="1"/>
  <c r="BD636" i="1"/>
  <c r="AW636" i="1"/>
  <c r="AP636" i="1"/>
  <c r="AO636" i="1"/>
  <c r="AL636" i="1"/>
  <c r="AK636" i="1"/>
  <c r="AJ636" i="1"/>
  <c r="AH636" i="1"/>
  <c r="AG636" i="1"/>
  <c r="AF636" i="1"/>
  <c r="AC636" i="1"/>
  <c r="AB636" i="1"/>
  <c r="Z636" i="1"/>
  <c r="J636" i="1"/>
  <c r="BJ634" i="1"/>
  <c r="BF634" i="1"/>
  <c r="BD634" i="1"/>
  <c r="AX634" i="1"/>
  <c r="AW634" i="1"/>
  <c r="AP634" i="1"/>
  <c r="AO634" i="1"/>
  <c r="BH634" i="1" s="1"/>
  <c r="AD634" i="1" s="1"/>
  <c r="AL634" i="1"/>
  <c r="AK634" i="1"/>
  <c r="AJ634" i="1"/>
  <c r="AH634" i="1"/>
  <c r="AG634" i="1"/>
  <c r="AF634" i="1"/>
  <c r="AC634" i="1"/>
  <c r="AB634" i="1"/>
  <c r="Z634" i="1"/>
  <c r="J634" i="1"/>
  <c r="H634" i="1"/>
  <c r="BJ631" i="1"/>
  <c r="BH631" i="1"/>
  <c r="AD631" i="1" s="1"/>
  <c r="BF631" i="1"/>
  <c r="BD631" i="1"/>
  <c r="AX631" i="1"/>
  <c r="BC631" i="1" s="1"/>
  <c r="AW631" i="1"/>
  <c r="AP631" i="1"/>
  <c r="BI631" i="1" s="1"/>
  <c r="AE631" i="1" s="1"/>
  <c r="AO631" i="1"/>
  <c r="AK631" i="1"/>
  <c r="AJ631" i="1"/>
  <c r="AH631" i="1"/>
  <c r="AG631" i="1"/>
  <c r="AF631" i="1"/>
  <c r="AC631" i="1"/>
  <c r="AB631" i="1"/>
  <c r="Z631" i="1"/>
  <c r="J631" i="1"/>
  <c r="AL631" i="1" s="1"/>
  <c r="I631" i="1"/>
  <c r="H631" i="1"/>
  <c r="BJ629" i="1"/>
  <c r="BI629" i="1"/>
  <c r="AE629" i="1" s="1"/>
  <c r="BH629" i="1"/>
  <c r="AD629" i="1" s="1"/>
  <c r="BF629" i="1"/>
  <c r="BD629" i="1"/>
  <c r="AP629" i="1"/>
  <c r="AX629" i="1" s="1"/>
  <c r="AO629" i="1"/>
  <c r="AW629" i="1" s="1"/>
  <c r="AK629" i="1"/>
  <c r="AJ629" i="1"/>
  <c r="AH629" i="1"/>
  <c r="AG629" i="1"/>
  <c r="AF629" i="1"/>
  <c r="AC629" i="1"/>
  <c r="AB629" i="1"/>
  <c r="Z629" i="1"/>
  <c r="J629" i="1"/>
  <c r="AL629" i="1" s="1"/>
  <c r="I629" i="1"/>
  <c r="H629" i="1"/>
  <c r="BJ628" i="1"/>
  <c r="BF628" i="1"/>
  <c r="BD628" i="1"/>
  <c r="AP628" i="1"/>
  <c r="AO628" i="1"/>
  <c r="AL628" i="1"/>
  <c r="AK628" i="1"/>
  <c r="AJ628" i="1"/>
  <c r="AH628" i="1"/>
  <c r="AG628" i="1"/>
  <c r="AF628" i="1"/>
  <c r="AC628" i="1"/>
  <c r="AB628" i="1"/>
  <c r="Z628" i="1"/>
  <c r="J628" i="1"/>
  <c r="BJ626" i="1"/>
  <c r="BF626" i="1"/>
  <c r="BD626" i="1"/>
  <c r="AP626" i="1"/>
  <c r="AO626" i="1"/>
  <c r="AK626" i="1"/>
  <c r="AJ626" i="1"/>
  <c r="AH626" i="1"/>
  <c r="AG626" i="1"/>
  <c r="AF626" i="1"/>
  <c r="AC626" i="1"/>
  <c r="AB626" i="1"/>
  <c r="Z626" i="1"/>
  <c r="J626" i="1"/>
  <c r="AL626" i="1" s="1"/>
  <c r="BJ625" i="1"/>
  <c r="BI625" i="1"/>
  <c r="AE625" i="1" s="1"/>
  <c r="BH625" i="1"/>
  <c r="BF625" i="1"/>
  <c r="BD625" i="1"/>
  <c r="AX625" i="1"/>
  <c r="AW625" i="1"/>
  <c r="AP625" i="1"/>
  <c r="AO625" i="1"/>
  <c r="AK625" i="1"/>
  <c r="AJ625" i="1"/>
  <c r="AH625" i="1"/>
  <c r="AG625" i="1"/>
  <c r="AF625" i="1"/>
  <c r="AD625" i="1"/>
  <c r="AC625" i="1"/>
  <c r="AB625" i="1"/>
  <c r="Z625" i="1"/>
  <c r="J625" i="1"/>
  <c r="AL625" i="1" s="1"/>
  <c r="I625" i="1"/>
  <c r="H625" i="1"/>
  <c r="BJ623" i="1"/>
  <c r="BI623" i="1"/>
  <c r="BH623" i="1"/>
  <c r="AD623" i="1" s="1"/>
  <c r="BF623" i="1"/>
  <c r="BD623" i="1"/>
  <c r="AP623" i="1"/>
  <c r="AX623" i="1" s="1"/>
  <c r="AO623" i="1"/>
  <c r="AW623" i="1" s="1"/>
  <c r="AK623" i="1"/>
  <c r="AJ623" i="1"/>
  <c r="AH623" i="1"/>
  <c r="AG623" i="1"/>
  <c r="AF623" i="1"/>
  <c r="AE623" i="1"/>
  <c r="AC623" i="1"/>
  <c r="AB623" i="1"/>
  <c r="Z623" i="1"/>
  <c r="J623" i="1"/>
  <c r="AL623" i="1" s="1"/>
  <c r="I623" i="1"/>
  <c r="H623" i="1"/>
  <c r="BJ620" i="1"/>
  <c r="BF620" i="1"/>
  <c r="BD620" i="1"/>
  <c r="AW620" i="1"/>
  <c r="AP620" i="1"/>
  <c r="AO620" i="1"/>
  <c r="AL620" i="1"/>
  <c r="AK620" i="1"/>
  <c r="AJ620" i="1"/>
  <c r="AH620" i="1"/>
  <c r="AG620" i="1"/>
  <c r="AF620" i="1"/>
  <c r="AC620" i="1"/>
  <c r="AB620" i="1"/>
  <c r="Z620" i="1"/>
  <c r="J620" i="1"/>
  <c r="BJ619" i="1"/>
  <c r="BH619" i="1"/>
  <c r="AD619" i="1" s="1"/>
  <c r="BF619" i="1"/>
  <c r="BD619" i="1"/>
  <c r="AP619" i="1"/>
  <c r="BI619" i="1" s="1"/>
  <c r="AE619" i="1" s="1"/>
  <c r="AO619" i="1"/>
  <c r="AW619" i="1" s="1"/>
  <c r="AL619" i="1"/>
  <c r="AK619" i="1"/>
  <c r="AJ619" i="1"/>
  <c r="AH619" i="1"/>
  <c r="AG619" i="1"/>
  <c r="AF619" i="1"/>
  <c r="AC619" i="1"/>
  <c r="AB619" i="1"/>
  <c r="Z619" i="1"/>
  <c r="J619" i="1"/>
  <c r="I619" i="1"/>
  <c r="H619" i="1"/>
  <c r="BJ618" i="1"/>
  <c r="BI618" i="1"/>
  <c r="BH618" i="1"/>
  <c r="AD618" i="1" s="1"/>
  <c r="BF618" i="1"/>
  <c r="BD618" i="1"/>
  <c r="AW618" i="1"/>
  <c r="AP618" i="1"/>
  <c r="AX618" i="1" s="1"/>
  <c r="AO618" i="1"/>
  <c r="AK618" i="1"/>
  <c r="AJ618" i="1"/>
  <c r="AH618" i="1"/>
  <c r="AG618" i="1"/>
  <c r="AF618" i="1"/>
  <c r="AE618" i="1"/>
  <c r="AC618" i="1"/>
  <c r="AB618" i="1"/>
  <c r="Z618" i="1"/>
  <c r="J618" i="1"/>
  <c r="AL618" i="1" s="1"/>
  <c r="I618" i="1"/>
  <c r="H618" i="1"/>
  <c r="BJ617" i="1"/>
  <c r="BI617" i="1"/>
  <c r="BF617" i="1"/>
  <c r="BD617" i="1"/>
  <c r="AP617" i="1"/>
  <c r="AX617" i="1" s="1"/>
  <c r="AO617" i="1"/>
  <c r="AK617" i="1"/>
  <c r="AJ617" i="1"/>
  <c r="AH617" i="1"/>
  <c r="AG617" i="1"/>
  <c r="AF617" i="1"/>
  <c r="AE617" i="1"/>
  <c r="AC617" i="1"/>
  <c r="AB617" i="1"/>
  <c r="Z617" i="1"/>
  <c r="J617" i="1"/>
  <c r="I617" i="1"/>
  <c r="BJ615" i="1"/>
  <c r="BH615" i="1"/>
  <c r="BF615" i="1"/>
  <c r="BD615" i="1"/>
  <c r="AX615" i="1"/>
  <c r="AW615" i="1"/>
  <c r="BC615" i="1" s="1"/>
  <c r="AV615" i="1"/>
  <c r="AP615" i="1"/>
  <c r="BI615" i="1" s="1"/>
  <c r="AO615" i="1"/>
  <c r="H615" i="1" s="1"/>
  <c r="AL615" i="1"/>
  <c r="AK615" i="1"/>
  <c r="AJ615" i="1"/>
  <c r="AH615" i="1"/>
  <c r="AG615" i="1"/>
  <c r="AF615" i="1"/>
  <c r="AE615" i="1"/>
  <c r="AD615" i="1"/>
  <c r="AC615" i="1"/>
  <c r="AB615" i="1"/>
  <c r="Z615" i="1"/>
  <c r="J615" i="1"/>
  <c r="I615" i="1"/>
  <c r="BJ613" i="1"/>
  <c r="BI613" i="1"/>
  <c r="AE613" i="1" s="1"/>
  <c r="BH613" i="1"/>
  <c r="BF613" i="1"/>
  <c r="BD613" i="1"/>
  <c r="BC613" i="1"/>
  <c r="AX613" i="1"/>
  <c r="AW613" i="1"/>
  <c r="AV613" i="1"/>
  <c r="AP613" i="1"/>
  <c r="AO613" i="1"/>
  <c r="AK613" i="1"/>
  <c r="AJ613" i="1"/>
  <c r="AH613" i="1"/>
  <c r="AG613" i="1"/>
  <c r="AF613" i="1"/>
  <c r="AD613" i="1"/>
  <c r="AC613" i="1"/>
  <c r="AB613" i="1"/>
  <c r="Z613" i="1"/>
  <c r="J613" i="1"/>
  <c r="AL613" i="1" s="1"/>
  <c r="I613" i="1"/>
  <c r="H613" i="1"/>
  <c r="BJ612" i="1"/>
  <c r="BI612" i="1"/>
  <c r="AE612" i="1" s="1"/>
  <c r="BH612" i="1"/>
  <c r="AD612" i="1" s="1"/>
  <c r="BF612" i="1"/>
  <c r="BD612" i="1"/>
  <c r="AW612" i="1"/>
  <c r="AP612" i="1"/>
  <c r="AO612" i="1"/>
  <c r="AL612" i="1"/>
  <c r="AK612" i="1"/>
  <c r="AJ612" i="1"/>
  <c r="AH612" i="1"/>
  <c r="AG612" i="1"/>
  <c r="AF612" i="1"/>
  <c r="AC612" i="1"/>
  <c r="AB612" i="1"/>
  <c r="Z612" i="1"/>
  <c r="J612" i="1"/>
  <c r="H612" i="1"/>
  <c r="BJ611" i="1"/>
  <c r="BF611" i="1"/>
  <c r="BD611" i="1"/>
  <c r="AX611" i="1"/>
  <c r="AW611" i="1"/>
  <c r="AP611" i="1"/>
  <c r="AO611" i="1"/>
  <c r="BH611" i="1" s="1"/>
  <c r="AL611" i="1"/>
  <c r="AK611" i="1"/>
  <c r="AJ611" i="1"/>
  <c r="AH611" i="1"/>
  <c r="AG611" i="1"/>
  <c r="AF611" i="1"/>
  <c r="AD611" i="1"/>
  <c r="AC611" i="1"/>
  <c r="AB611" i="1"/>
  <c r="Z611" i="1"/>
  <c r="J611" i="1"/>
  <c r="H611" i="1"/>
  <c r="BJ610" i="1"/>
  <c r="BI610" i="1"/>
  <c r="AE610" i="1" s="1"/>
  <c r="BH610" i="1"/>
  <c r="AD610" i="1" s="1"/>
  <c r="BF610" i="1"/>
  <c r="BD610" i="1"/>
  <c r="AP610" i="1"/>
  <c r="AX610" i="1" s="1"/>
  <c r="AO610" i="1"/>
  <c r="AL610" i="1"/>
  <c r="AK610" i="1"/>
  <c r="AJ610" i="1"/>
  <c r="AH610" i="1"/>
  <c r="AG610" i="1"/>
  <c r="AF610" i="1"/>
  <c r="AC610" i="1"/>
  <c r="AB610" i="1"/>
  <c r="Z610" i="1"/>
  <c r="J610" i="1"/>
  <c r="I610" i="1"/>
  <c r="BJ607" i="1"/>
  <c r="BI607" i="1"/>
  <c r="BH607" i="1"/>
  <c r="AD607" i="1" s="1"/>
  <c r="BF607" i="1"/>
  <c r="BD607" i="1"/>
  <c r="AX607" i="1"/>
  <c r="AW607" i="1"/>
  <c r="BC607" i="1" s="1"/>
  <c r="AV607" i="1"/>
  <c r="AP607" i="1"/>
  <c r="AO607" i="1"/>
  <c r="AK607" i="1"/>
  <c r="AJ607" i="1"/>
  <c r="AH607" i="1"/>
  <c r="AG607" i="1"/>
  <c r="AF607" i="1"/>
  <c r="AE607" i="1"/>
  <c r="AC607" i="1"/>
  <c r="AB607" i="1"/>
  <c r="Z607" i="1"/>
  <c r="J607" i="1"/>
  <c r="AL607" i="1" s="1"/>
  <c r="I607" i="1"/>
  <c r="H607" i="1"/>
  <c r="BJ605" i="1"/>
  <c r="BI605" i="1"/>
  <c r="AE605" i="1" s="1"/>
  <c r="BH605" i="1"/>
  <c r="BF605" i="1"/>
  <c r="BD605" i="1"/>
  <c r="AP605" i="1"/>
  <c r="AX605" i="1" s="1"/>
  <c r="AO605" i="1"/>
  <c r="AW605" i="1" s="1"/>
  <c r="AL605" i="1"/>
  <c r="AK605" i="1"/>
  <c r="AJ605" i="1"/>
  <c r="AH605" i="1"/>
  <c r="AG605" i="1"/>
  <c r="AF605" i="1"/>
  <c r="AD605" i="1"/>
  <c r="AC605" i="1"/>
  <c r="AB605" i="1"/>
  <c r="Z605" i="1"/>
  <c r="J605" i="1"/>
  <c r="H605" i="1"/>
  <c r="BJ603" i="1"/>
  <c r="BF603" i="1"/>
  <c r="BD603" i="1"/>
  <c r="AX603" i="1"/>
  <c r="AP603" i="1"/>
  <c r="AO603" i="1"/>
  <c r="AL603" i="1"/>
  <c r="AK603" i="1"/>
  <c r="AJ603" i="1"/>
  <c r="AH603" i="1"/>
  <c r="AG603" i="1"/>
  <c r="AF603" i="1"/>
  <c r="AC603" i="1"/>
  <c r="AB603" i="1"/>
  <c r="Z603" i="1"/>
  <c r="J603" i="1"/>
  <c r="BJ602" i="1"/>
  <c r="BF602" i="1"/>
  <c r="BD602" i="1"/>
  <c r="AW602" i="1"/>
  <c r="AP602" i="1"/>
  <c r="AO602" i="1"/>
  <c r="BH602" i="1" s="1"/>
  <c r="AD602" i="1" s="1"/>
  <c r="AL602" i="1"/>
  <c r="AK602" i="1"/>
  <c r="AJ602" i="1"/>
  <c r="AH602" i="1"/>
  <c r="AG602" i="1"/>
  <c r="AF602" i="1"/>
  <c r="AC602" i="1"/>
  <c r="AB602" i="1"/>
  <c r="Z602" i="1"/>
  <c r="J602" i="1"/>
  <c r="H602" i="1"/>
  <c r="BJ601" i="1"/>
  <c r="BI601" i="1"/>
  <c r="AE601" i="1" s="1"/>
  <c r="BH601" i="1"/>
  <c r="AD601" i="1" s="1"/>
  <c r="BF601" i="1"/>
  <c r="BD601" i="1"/>
  <c r="AX601" i="1"/>
  <c r="AW601" i="1"/>
  <c r="AV601" i="1" s="1"/>
  <c r="AP601" i="1"/>
  <c r="AO601" i="1"/>
  <c r="AK601" i="1"/>
  <c r="AJ601" i="1"/>
  <c r="AH601" i="1"/>
  <c r="AG601" i="1"/>
  <c r="AF601" i="1"/>
  <c r="AC601" i="1"/>
  <c r="AB601" i="1"/>
  <c r="Z601" i="1"/>
  <c r="J601" i="1"/>
  <c r="AL601" i="1" s="1"/>
  <c r="I601" i="1"/>
  <c r="H601" i="1"/>
  <c r="BJ600" i="1"/>
  <c r="BH600" i="1"/>
  <c r="AD600" i="1" s="1"/>
  <c r="BF600" i="1"/>
  <c r="BD600" i="1"/>
  <c r="AW600" i="1"/>
  <c r="AP600" i="1"/>
  <c r="AX600" i="1" s="1"/>
  <c r="AV600" i="1" s="1"/>
  <c r="AO600" i="1"/>
  <c r="AL600" i="1"/>
  <c r="AK600" i="1"/>
  <c r="AJ600" i="1"/>
  <c r="AH600" i="1"/>
  <c r="AG600" i="1"/>
  <c r="AF600" i="1"/>
  <c r="AC600" i="1"/>
  <c r="AB600" i="1"/>
  <c r="Z600" i="1"/>
  <c r="J600" i="1"/>
  <c r="H600" i="1"/>
  <c r="BJ599" i="1"/>
  <c r="BF599" i="1"/>
  <c r="BD599" i="1"/>
  <c r="AW599" i="1"/>
  <c r="AP599" i="1"/>
  <c r="AO599" i="1"/>
  <c r="BH599" i="1" s="1"/>
  <c r="AD599" i="1" s="1"/>
  <c r="AL599" i="1"/>
  <c r="AK599" i="1"/>
  <c r="AJ599" i="1"/>
  <c r="AH599" i="1"/>
  <c r="AG599" i="1"/>
  <c r="AF599" i="1"/>
  <c r="AC599" i="1"/>
  <c r="AB599" i="1"/>
  <c r="Z599" i="1"/>
  <c r="J599" i="1"/>
  <c r="H599" i="1"/>
  <c r="BJ598" i="1"/>
  <c r="BH598" i="1"/>
  <c r="AD598" i="1" s="1"/>
  <c r="BF598" i="1"/>
  <c r="BD598" i="1"/>
  <c r="AX598" i="1"/>
  <c r="AP598" i="1"/>
  <c r="BI598" i="1" s="1"/>
  <c r="AE598" i="1" s="1"/>
  <c r="AO598" i="1"/>
  <c r="AW598" i="1" s="1"/>
  <c r="AV598" i="1" s="1"/>
  <c r="AK598" i="1"/>
  <c r="AJ598" i="1"/>
  <c r="AH598" i="1"/>
  <c r="AG598" i="1"/>
  <c r="AF598" i="1"/>
  <c r="AC598" i="1"/>
  <c r="AB598" i="1"/>
  <c r="Z598" i="1"/>
  <c r="J598" i="1"/>
  <c r="AL598" i="1" s="1"/>
  <c r="H598" i="1"/>
  <c r="BJ596" i="1"/>
  <c r="BI596" i="1"/>
  <c r="AE596" i="1" s="1"/>
  <c r="BH596" i="1"/>
  <c r="AD596" i="1" s="1"/>
  <c r="BF596" i="1"/>
  <c r="BD596" i="1"/>
  <c r="AX596" i="1"/>
  <c r="AW596" i="1"/>
  <c r="BC596" i="1" s="1"/>
  <c r="AV596" i="1"/>
  <c r="AP596" i="1"/>
  <c r="AO596" i="1"/>
  <c r="AK596" i="1"/>
  <c r="AJ596" i="1"/>
  <c r="AH596" i="1"/>
  <c r="AG596" i="1"/>
  <c r="AF596" i="1"/>
  <c r="AC596" i="1"/>
  <c r="AB596" i="1"/>
  <c r="Z596" i="1"/>
  <c r="J596" i="1"/>
  <c r="AL596" i="1" s="1"/>
  <c r="I596" i="1"/>
  <c r="H596" i="1"/>
  <c r="BJ594" i="1"/>
  <c r="BH594" i="1"/>
  <c r="BF594" i="1"/>
  <c r="BD594" i="1"/>
  <c r="AW594" i="1"/>
  <c r="AP594" i="1"/>
  <c r="AX594" i="1" s="1"/>
  <c r="AO594" i="1"/>
  <c r="AK594" i="1"/>
  <c r="AJ594" i="1"/>
  <c r="AH594" i="1"/>
  <c r="AG594" i="1"/>
  <c r="AF594" i="1"/>
  <c r="AD594" i="1"/>
  <c r="AC594" i="1"/>
  <c r="AB594" i="1"/>
  <c r="Z594" i="1"/>
  <c r="J594" i="1"/>
  <c r="AL594" i="1" s="1"/>
  <c r="H594" i="1"/>
  <c r="BJ592" i="1"/>
  <c r="BF592" i="1"/>
  <c r="BD592" i="1"/>
  <c r="AP592" i="1"/>
  <c r="AO592" i="1"/>
  <c r="AL592" i="1"/>
  <c r="AK592" i="1"/>
  <c r="AJ592" i="1"/>
  <c r="AH592" i="1"/>
  <c r="AG592" i="1"/>
  <c r="AF592" i="1"/>
  <c r="AC592" i="1"/>
  <c r="AB592" i="1"/>
  <c r="Z592" i="1"/>
  <c r="J592" i="1"/>
  <c r="BJ590" i="1"/>
  <c r="BI590" i="1"/>
  <c r="AE590" i="1" s="1"/>
  <c r="BH590" i="1"/>
  <c r="AD590" i="1" s="1"/>
  <c r="BF590" i="1"/>
  <c r="BD590" i="1"/>
  <c r="AX590" i="1"/>
  <c r="AW590" i="1"/>
  <c r="AV590" i="1" s="1"/>
  <c r="AP590" i="1"/>
  <c r="AO590" i="1"/>
  <c r="AL590" i="1"/>
  <c r="AK590" i="1"/>
  <c r="AJ590" i="1"/>
  <c r="AH590" i="1"/>
  <c r="AG590" i="1"/>
  <c r="AF590" i="1"/>
  <c r="AC590" i="1"/>
  <c r="AB590" i="1"/>
  <c r="Z590" i="1"/>
  <c r="J590" i="1"/>
  <c r="I590" i="1"/>
  <c r="H590" i="1"/>
  <c r="BJ588" i="1"/>
  <c r="BI588" i="1"/>
  <c r="AE588" i="1" s="1"/>
  <c r="BH588" i="1"/>
  <c r="AD588" i="1" s="1"/>
  <c r="BF588" i="1"/>
  <c r="BD588" i="1"/>
  <c r="AX588" i="1"/>
  <c r="AW588" i="1"/>
  <c r="AP588" i="1"/>
  <c r="AO588" i="1"/>
  <c r="AK588" i="1"/>
  <c r="AJ588" i="1"/>
  <c r="AH588" i="1"/>
  <c r="AG588" i="1"/>
  <c r="AF588" i="1"/>
  <c r="AC588" i="1"/>
  <c r="AB588" i="1"/>
  <c r="Z588" i="1"/>
  <c r="J588" i="1"/>
  <c r="AL588" i="1" s="1"/>
  <c r="I588" i="1"/>
  <c r="H588" i="1"/>
  <c r="BJ586" i="1"/>
  <c r="BI586" i="1"/>
  <c r="AE586" i="1" s="1"/>
  <c r="BH586" i="1"/>
  <c r="BF586" i="1"/>
  <c r="BD586" i="1"/>
  <c r="AW586" i="1"/>
  <c r="AP586" i="1"/>
  <c r="AX586" i="1" s="1"/>
  <c r="AO586" i="1"/>
  <c r="AL586" i="1"/>
  <c r="AK586" i="1"/>
  <c r="AJ586" i="1"/>
  <c r="AH586" i="1"/>
  <c r="AG586" i="1"/>
  <c r="AF586" i="1"/>
  <c r="AD586" i="1"/>
  <c r="AC586" i="1"/>
  <c r="AB586" i="1"/>
  <c r="Z586" i="1"/>
  <c r="J586" i="1"/>
  <c r="I586" i="1"/>
  <c r="H586" i="1"/>
  <c r="BJ585" i="1"/>
  <c r="BF585" i="1"/>
  <c r="BD585" i="1"/>
  <c r="AP585" i="1"/>
  <c r="AO585" i="1"/>
  <c r="AL585" i="1"/>
  <c r="AK585" i="1"/>
  <c r="AJ585" i="1"/>
  <c r="AH585" i="1"/>
  <c r="AG585" i="1"/>
  <c r="AF585" i="1"/>
  <c r="AC585" i="1"/>
  <c r="AB585" i="1"/>
  <c r="Z585" i="1"/>
  <c r="J585" i="1"/>
  <c r="BJ584" i="1"/>
  <c r="BH584" i="1"/>
  <c r="AD584" i="1" s="1"/>
  <c r="BF584" i="1"/>
  <c r="BD584" i="1"/>
  <c r="AX584" i="1"/>
  <c r="AP584" i="1"/>
  <c r="BI584" i="1" s="1"/>
  <c r="AE584" i="1" s="1"/>
  <c r="AO584" i="1"/>
  <c r="AW584" i="1" s="1"/>
  <c r="AK584" i="1"/>
  <c r="AJ584" i="1"/>
  <c r="AH584" i="1"/>
  <c r="AG584" i="1"/>
  <c r="AF584" i="1"/>
  <c r="AC584" i="1"/>
  <c r="AB584" i="1"/>
  <c r="Z584" i="1"/>
  <c r="J584" i="1"/>
  <c r="AL584" i="1" s="1"/>
  <c r="H584" i="1"/>
  <c r="BJ582" i="1"/>
  <c r="BI582" i="1"/>
  <c r="BH582" i="1"/>
  <c r="BF582" i="1"/>
  <c r="BD582" i="1"/>
  <c r="AW582" i="1"/>
  <c r="AP582" i="1"/>
  <c r="AX582" i="1" s="1"/>
  <c r="AV582" i="1" s="1"/>
  <c r="AO582" i="1"/>
  <c r="AK582" i="1"/>
  <c r="AJ582" i="1"/>
  <c r="AH582" i="1"/>
  <c r="AG582" i="1"/>
  <c r="AF582" i="1"/>
  <c r="AE582" i="1"/>
  <c r="AD582" i="1"/>
  <c r="AC582" i="1"/>
  <c r="AB582" i="1"/>
  <c r="Z582" i="1"/>
  <c r="J582" i="1"/>
  <c r="AL582" i="1" s="1"/>
  <c r="I582" i="1"/>
  <c r="H582" i="1"/>
  <c r="BJ581" i="1"/>
  <c r="BH581" i="1"/>
  <c r="BF581" i="1"/>
  <c r="BD581" i="1"/>
  <c r="AW581" i="1"/>
  <c r="BC581" i="1" s="1"/>
  <c r="AP581" i="1"/>
  <c r="AX581" i="1" s="1"/>
  <c r="AO581" i="1"/>
  <c r="AK581" i="1"/>
  <c r="AJ581" i="1"/>
  <c r="AH581" i="1"/>
  <c r="AG581" i="1"/>
  <c r="AF581" i="1"/>
  <c r="AD581" i="1"/>
  <c r="AC581" i="1"/>
  <c r="AB581" i="1"/>
  <c r="Z581" i="1"/>
  <c r="J581" i="1"/>
  <c r="AL581" i="1" s="1"/>
  <c r="H581" i="1"/>
  <c r="BJ580" i="1"/>
  <c r="BF580" i="1"/>
  <c r="BD580" i="1"/>
  <c r="AX580" i="1"/>
  <c r="AP580" i="1"/>
  <c r="AO580" i="1"/>
  <c r="AL580" i="1"/>
  <c r="AK580" i="1"/>
  <c r="AJ580" i="1"/>
  <c r="AH580" i="1"/>
  <c r="AG580" i="1"/>
  <c r="AF580" i="1"/>
  <c r="AC580" i="1"/>
  <c r="AB580" i="1"/>
  <c r="Z580" i="1"/>
  <c r="J580" i="1"/>
  <c r="BJ579" i="1"/>
  <c r="BI579" i="1"/>
  <c r="AE579" i="1" s="1"/>
  <c r="BH579" i="1"/>
  <c r="AD579" i="1" s="1"/>
  <c r="BF579" i="1"/>
  <c r="BD579" i="1"/>
  <c r="AX579" i="1"/>
  <c r="AW579" i="1"/>
  <c r="BC579" i="1" s="1"/>
  <c r="AV579" i="1"/>
  <c r="AP579" i="1"/>
  <c r="AO579" i="1"/>
  <c r="AK579" i="1"/>
  <c r="AJ579" i="1"/>
  <c r="AH579" i="1"/>
  <c r="AG579" i="1"/>
  <c r="AF579" i="1"/>
  <c r="AC579" i="1"/>
  <c r="AB579" i="1"/>
  <c r="Z579" i="1"/>
  <c r="J579" i="1"/>
  <c r="AL579" i="1" s="1"/>
  <c r="I579" i="1"/>
  <c r="H579" i="1"/>
  <c r="BJ578" i="1"/>
  <c r="BI578" i="1"/>
  <c r="AE578" i="1" s="1"/>
  <c r="BH578" i="1"/>
  <c r="AD578" i="1" s="1"/>
  <c r="BF578" i="1"/>
  <c r="BD578" i="1"/>
  <c r="AX578" i="1"/>
  <c r="BC578" i="1" s="1"/>
  <c r="AW578" i="1"/>
  <c r="AP578" i="1"/>
  <c r="AO578" i="1"/>
  <c r="AK578" i="1"/>
  <c r="AJ578" i="1"/>
  <c r="AH578" i="1"/>
  <c r="AG578" i="1"/>
  <c r="AF578" i="1"/>
  <c r="AC578" i="1"/>
  <c r="AB578" i="1"/>
  <c r="Z578" i="1"/>
  <c r="J578" i="1"/>
  <c r="AL578" i="1" s="1"/>
  <c r="I578" i="1"/>
  <c r="H578" i="1"/>
  <c r="BJ576" i="1"/>
  <c r="BI576" i="1"/>
  <c r="BH576" i="1"/>
  <c r="BF576" i="1"/>
  <c r="BD576" i="1"/>
  <c r="AW576" i="1"/>
  <c r="BC576" i="1" s="1"/>
  <c r="AP576" i="1"/>
  <c r="AX576" i="1" s="1"/>
  <c r="AO576" i="1"/>
  <c r="AL576" i="1"/>
  <c r="AK576" i="1"/>
  <c r="AT575" i="1" s="1"/>
  <c r="AJ576" i="1"/>
  <c r="AH576" i="1"/>
  <c r="AG576" i="1"/>
  <c r="AF576" i="1"/>
  <c r="AE576" i="1"/>
  <c r="AD576" i="1"/>
  <c r="AC576" i="1"/>
  <c r="AB576" i="1"/>
  <c r="Z576" i="1"/>
  <c r="J576" i="1"/>
  <c r="I576" i="1"/>
  <c r="H576" i="1"/>
  <c r="BJ574" i="1"/>
  <c r="Z574" i="1" s="1"/>
  <c r="BH574" i="1"/>
  <c r="BF574" i="1"/>
  <c r="BD574" i="1"/>
  <c r="AX574" i="1"/>
  <c r="AP574" i="1"/>
  <c r="BI574" i="1" s="1"/>
  <c r="AO574" i="1"/>
  <c r="AW574" i="1" s="1"/>
  <c r="AL574" i="1"/>
  <c r="AK574" i="1"/>
  <c r="AJ574" i="1"/>
  <c r="AH574" i="1"/>
  <c r="AG574" i="1"/>
  <c r="AF574" i="1"/>
  <c r="AE574" i="1"/>
  <c r="AD574" i="1"/>
  <c r="AC574" i="1"/>
  <c r="AB574" i="1"/>
  <c r="J574" i="1"/>
  <c r="I574" i="1"/>
  <c r="H574" i="1"/>
  <c r="BJ572" i="1"/>
  <c r="BF572" i="1"/>
  <c r="BD572" i="1"/>
  <c r="AP572" i="1"/>
  <c r="AO572" i="1"/>
  <c r="AL572" i="1"/>
  <c r="AK572" i="1"/>
  <c r="AJ572" i="1"/>
  <c r="AH572" i="1"/>
  <c r="AG572" i="1"/>
  <c r="AF572" i="1"/>
  <c r="AC572" i="1"/>
  <c r="AB572" i="1"/>
  <c r="Z572" i="1"/>
  <c r="J572" i="1"/>
  <c r="BJ570" i="1"/>
  <c r="BI570" i="1"/>
  <c r="AE570" i="1" s="1"/>
  <c r="BF570" i="1"/>
  <c r="BD570" i="1"/>
  <c r="AX570" i="1"/>
  <c r="AW570" i="1"/>
  <c r="AV570" i="1" s="1"/>
  <c r="AP570" i="1"/>
  <c r="AO570" i="1"/>
  <c r="AK570" i="1"/>
  <c r="AJ570" i="1"/>
  <c r="AH570" i="1"/>
  <c r="AG570" i="1"/>
  <c r="AF570" i="1"/>
  <c r="AC570" i="1"/>
  <c r="AB570" i="1"/>
  <c r="Z570" i="1"/>
  <c r="J570" i="1"/>
  <c r="AL570" i="1" s="1"/>
  <c r="I570" i="1"/>
  <c r="BJ568" i="1"/>
  <c r="BF568" i="1"/>
  <c r="BD568" i="1"/>
  <c r="AP568" i="1"/>
  <c r="AO568" i="1"/>
  <c r="AL568" i="1"/>
  <c r="AK568" i="1"/>
  <c r="AJ568" i="1"/>
  <c r="AH568" i="1"/>
  <c r="AG568" i="1"/>
  <c r="AF568" i="1"/>
  <c r="AC568" i="1"/>
  <c r="AB568" i="1"/>
  <c r="Z568" i="1"/>
  <c r="J568" i="1"/>
  <c r="BJ566" i="1"/>
  <c r="BI566" i="1"/>
  <c r="AE566" i="1" s="1"/>
  <c r="BF566" i="1"/>
  <c r="BD566" i="1"/>
  <c r="AX566" i="1"/>
  <c r="AW566" i="1"/>
  <c r="AV566" i="1" s="1"/>
  <c r="AP566" i="1"/>
  <c r="AO566" i="1"/>
  <c r="BH566" i="1" s="1"/>
  <c r="AL566" i="1"/>
  <c r="AK566" i="1"/>
  <c r="AJ566" i="1"/>
  <c r="AH566" i="1"/>
  <c r="AG566" i="1"/>
  <c r="AF566" i="1"/>
  <c r="AD566" i="1"/>
  <c r="AC566" i="1"/>
  <c r="AB566" i="1"/>
  <c r="Z566" i="1"/>
  <c r="J566" i="1"/>
  <c r="I566" i="1"/>
  <c r="H566" i="1"/>
  <c r="BJ564" i="1"/>
  <c r="BI564" i="1"/>
  <c r="AE564" i="1" s="1"/>
  <c r="BH564" i="1"/>
  <c r="AD564" i="1" s="1"/>
  <c r="BF564" i="1"/>
  <c r="BD564" i="1"/>
  <c r="AX564" i="1"/>
  <c r="AW564" i="1"/>
  <c r="BC564" i="1" s="1"/>
  <c r="AV564" i="1"/>
  <c r="AP564" i="1"/>
  <c r="I564" i="1" s="1"/>
  <c r="AO564" i="1"/>
  <c r="H564" i="1" s="1"/>
  <c r="AK564" i="1"/>
  <c r="AJ564" i="1"/>
  <c r="AH564" i="1"/>
  <c r="AG564" i="1"/>
  <c r="AF564" i="1"/>
  <c r="AC564" i="1"/>
  <c r="AB564" i="1"/>
  <c r="Z564" i="1"/>
  <c r="J564" i="1"/>
  <c r="AL564" i="1" s="1"/>
  <c r="BJ563" i="1"/>
  <c r="BI563" i="1"/>
  <c r="BH563" i="1"/>
  <c r="AD563" i="1" s="1"/>
  <c r="BF563" i="1"/>
  <c r="BD563" i="1"/>
  <c r="AX563" i="1"/>
  <c r="BC563" i="1" s="1"/>
  <c r="AW563" i="1"/>
  <c r="AP563" i="1"/>
  <c r="AO563" i="1"/>
  <c r="H563" i="1" s="1"/>
  <c r="AK563" i="1"/>
  <c r="AJ563" i="1"/>
  <c r="AH563" i="1"/>
  <c r="AG563" i="1"/>
  <c r="AF563" i="1"/>
  <c r="AE563" i="1"/>
  <c r="AC563" i="1"/>
  <c r="AB563" i="1"/>
  <c r="Z563" i="1"/>
  <c r="J563" i="1"/>
  <c r="AL563" i="1" s="1"/>
  <c r="I563" i="1"/>
  <c r="BJ562" i="1"/>
  <c r="BI562" i="1"/>
  <c r="BF562" i="1"/>
  <c r="BD562" i="1"/>
  <c r="AX562" i="1"/>
  <c r="AP562" i="1"/>
  <c r="AO562" i="1"/>
  <c r="AL562" i="1"/>
  <c r="AK562" i="1"/>
  <c r="AJ562" i="1"/>
  <c r="AH562" i="1"/>
  <c r="AG562" i="1"/>
  <c r="AF562" i="1"/>
  <c r="AE562" i="1"/>
  <c r="AC562" i="1"/>
  <c r="AB562" i="1"/>
  <c r="Z562" i="1"/>
  <c r="J562" i="1"/>
  <c r="I562" i="1"/>
  <c r="BJ561" i="1"/>
  <c r="BI561" i="1"/>
  <c r="BF561" i="1"/>
  <c r="BD561" i="1"/>
  <c r="AX561" i="1"/>
  <c r="AW561" i="1"/>
  <c r="AP561" i="1"/>
  <c r="AO561" i="1"/>
  <c r="BH561" i="1" s="1"/>
  <c r="AL561" i="1"/>
  <c r="AK561" i="1"/>
  <c r="AJ561" i="1"/>
  <c r="AH561" i="1"/>
  <c r="AG561" i="1"/>
  <c r="AF561" i="1"/>
  <c r="AE561" i="1"/>
  <c r="AD561" i="1"/>
  <c r="AC561" i="1"/>
  <c r="AB561" i="1"/>
  <c r="Z561" i="1"/>
  <c r="J561" i="1"/>
  <c r="I561" i="1"/>
  <c r="H561" i="1"/>
  <c r="BJ560" i="1"/>
  <c r="BI560" i="1"/>
  <c r="AE560" i="1" s="1"/>
  <c r="BF560" i="1"/>
  <c r="BD560" i="1"/>
  <c r="AX560" i="1"/>
  <c r="AP560" i="1"/>
  <c r="I560" i="1" s="1"/>
  <c r="AO560" i="1"/>
  <c r="AW560" i="1" s="1"/>
  <c r="AL560" i="1"/>
  <c r="AK560" i="1"/>
  <c r="AJ560" i="1"/>
  <c r="AH560" i="1"/>
  <c r="AG560" i="1"/>
  <c r="AF560" i="1"/>
  <c r="AC560" i="1"/>
  <c r="AB560" i="1"/>
  <c r="Z560" i="1"/>
  <c r="J560" i="1"/>
  <c r="BJ559" i="1"/>
  <c r="BF559" i="1"/>
  <c r="BD559" i="1"/>
  <c r="AW559" i="1"/>
  <c r="AP559" i="1"/>
  <c r="AO559" i="1"/>
  <c r="AL559" i="1"/>
  <c r="AK559" i="1"/>
  <c r="AJ559" i="1"/>
  <c r="AH559" i="1"/>
  <c r="AG559" i="1"/>
  <c r="AF559" i="1"/>
  <c r="AC559" i="1"/>
  <c r="AB559" i="1"/>
  <c r="Z559" i="1"/>
  <c r="J559" i="1"/>
  <c r="BJ558" i="1"/>
  <c r="BF558" i="1"/>
  <c r="BD558" i="1"/>
  <c r="AP558" i="1"/>
  <c r="AO558" i="1"/>
  <c r="AL558" i="1"/>
  <c r="AK558" i="1"/>
  <c r="AJ558" i="1"/>
  <c r="AH558" i="1"/>
  <c r="AG558" i="1"/>
  <c r="AF558" i="1"/>
  <c r="AC558" i="1"/>
  <c r="AB558" i="1"/>
  <c r="Z558" i="1"/>
  <c r="J558" i="1"/>
  <c r="BJ557" i="1"/>
  <c r="BI557" i="1"/>
  <c r="AE557" i="1" s="1"/>
  <c r="BF557" i="1"/>
  <c r="BD557" i="1"/>
  <c r="AX557" i="1"/>
  <c r="AW557" i="1"/>
  <c r="AP557" i="1"/>
  <c r="AO557" i="1"/>
  <c r="BH557" i="1" s="1"/>
  <c r="AD557" i="1" s="1"/>
  <c r="AL557" i="1"/>
  <c r="AK557" i="1"/>
  <c r="AJ557" i="1"/>
  <c r="AH557" i="1"/>
  <c r="AG557" i="1"/>
  <c r="AF557" i="1"/>
  <c r="AC557" i="1"/>
  <c r="AB557" i="1"/>
  <c r="Z557" i="1"/>
  <c r="J557" i="1"/>
  <c r="I557" i="1"/>
  <c r="H557" i="1"/>
  <c r="BJ556" i="1"/>
  <c r="BI556" i="1"/>
  <c r="AE556" i="1" s="1"/>
  <c r="BH556" i="1"/>
  <c r="AD556" i="1" s="1"/>
  <c r="BF556" i="1"/>
  <c r="BD556" i="1"/>
  <c r="AX556" i="1"/>
  <c r="AW556" i="1"/>
  <c r="BC556" i="1" s="1"/>
  <c r="AV556" i="1"/>
  <c r="AP556" i="1"/>
  <c r="I556" i="1" s="1"/>
  <c r="AO556" i="1"/>
  <c r="H556" i="1" s="1"/>
  <c r="AK556" i="1"/>
  <c r="AJ556" i="1"/>
  <c r="AH556" i="1"/>
  <c r="AG556" i="1"/>
  <c r="AF556" i="1"/>
  <c r="AC556" i="1"/>
  <c r="AB556" i="1"/>
  <c r="Z556" i="1"/>
  <c r="J556" i="1"/>
  <c r="AL556" i="1" s="1"/>
  <c r="BJ555" i="1"/>
  <c r="BH555" i="1"/>
  <c r="AD555" i="1" s="1"/>
  <c r="BF555" i="1"/>
  <c r="BD555" i="1"/>
  <c r="AX555" i="1"/>
  <c r="AW555" i="1"/>
  <c r="AP555" i="1"/>
  <c r="BI555" i="1" s="1"/>
  <c r="AO555" i="1"/>
  <c r="H555" i="1" s="1"/>
  <c r="AK555" i="1"/>
  <c r="AJ555" i="1"/>
  <c r="AH555" i="1"/>
  <c r="AG555" i="1"/>
  <c r="AF555" i="1"/>
  <c r="AE555" i="1"/>
  <c r="AC555" i="1"/>
  <c r="AB555" i="1"/>
  <c r="Z555" i="1"/>
  <c r="J555" i="1"/>
  <c r="AL555" i="1" s="1"/>
  <c r="I555" i="1"/>
  <c r="BJ554" i="1"/>
  <c r="BI554" i="1"/>
  <c r="BF554" i="1"/>
  <c r="BD554" i="1"/>
  <c r="AX554" i="1"/>
  <c r="AP554" i="1"/>
  <c r="AO554" i="1"/>
  <c r="AL554" i="1"/>
  <c r="AK554" i="1"/>
  <c r="AJ554" i="1"/>
  <c r="AH554" i="1"/>
  <c r="AG554" i="1"/>
  <c r="AF554" i="1"/>
  <c r="AE554" i="1"/>
  <c r="AC554" i="1"/>
  <c r="AB554" i="1"/>
  <c r="Z554" i="1"/>
  <c r="J554" i="1"/>
  <c r="I554" i="1"/>
  <c r="BJ553" i="1"/>
  <c r="BI553" i="1"/>
  <c r="BF553" i="1"/>
  <c r="BD553" i="1"/>
  <c r="AX553" i="1"/>
  <c r="AW553" i="1"/>
  <c r="AP553" i="1"/>
  <c r="AO553" i="1"/>
  <c r="BH553" i="1" s="1"/>
  <c r="AL553" i="1"/>
  <c r="AK553" i="1"/>
  <c r="AJ553" i="1"/>
  <c r="AH553" i="1"/>
  <c r="AG553" i="1"/>
  <c r="AF553" i="1"/>
  <c r="AE553" i="1"/>
  <c r="AD553" i="1"/>
  <c r="AC553" i="1"/>
  <c r="AB553" i="1"/>
  <c r="Z553" i="1"/>
  <c r="J553" i="1"/>
  <c r="I553" i="1"/>
  <c r="H553" i="1"/>
  <c r="BJ552" i="1"/>
  <c r="BI552" i="1"/>
  <c r="AE552" i="1" s="1"/>
  <c r="BH552" i="1"/>
  <c r="BF552" i="1"/>
  <c r="BD552" i="1"/>
  <c r="AX552" i="1"/>
  <c r="AP552" i="1"/>
  <c r="I552" i="1" s="1"/>
  <c r="AO552" i="1"/>
  <c r="H552" i="1" s="1"/>
  <c r="AL552" i="1"/>
  <c r="AK552" i="1"/>
  <c r="AJ552" i="1"/>
  <c r="AH552" i="1"/>
  <c r="AG552" i="1"/>
  <c r="AF552" i="1"/>
  <c r="AD552" i="1"/>
  <c r="AC552" i="1"/>
  <c r="AB552" i="1"/>
  <c r="Z552" i="1"/>
  <c r="J552" i="1"/>
  <c r="BJ551" i="1"/>
  <c r="BH551" i="1"/>
  <c r="AD551" i="1" s="1"/>
  <c r="BF551" i="1"/>
  <c r="BD551" i="1"/>
  <c r="AP551" i="1"/>
  <c r="BI551" i="1" s="1"/>
  <c r="AO551" i="1"/>
  <c r="H551" i="1" s="1"/>
  <c r="AL551" i="1"/>
  <c r="AK551" i="1"/>
  <c r="AJ551" i="1"/>
  <c r="AH551" i="1"/>
  <c r="AG551" i="1"/>
  <c r="AF551" i="1"/>
  <c r="AE551" i="1"/>
  <c r="AC551" i="1"/>
  <c r="AB551" i="1"/>
  <c r="Z551" i="1"/>
  <c r="J551" i="1"/>
  <c r="I551" i="1"/>
  <c r="BJ549" i="1"/>
  <c r="BF549" i="1"/>
  <c r="BD549" i="1"/>
  <c r="AP549" i="1"/>
  <c r="AO549" i="1"/>
  <c r="AL549" i="1"/>
  <c r="AK549" i="1"/>
  <c r="AJ549" i="1"/>
  <c r="AH549" i="1"/>
  <c r="AG549" i="1"/>
  <c r="AF549" i="1"/>
  <c r="AC549" i="1"/>
  <c r="AB549" i="1"/>
  <c r="Z549" i="1"/>
  <c r="J549" i="1"/>
  <c r="H549" i="1"/>
  <c r="BJ548" i="1"/>
  <c r="BI548" i="1"/>
  <c r="AE548" i="1" s="1"/>
  <c r="BF548" i="1"/>
  <c r="BD548" i="1"/>
  <c r="AX548" i="1"/>
  <c r="AW548" i="1"/>
  <c r="AV548" i="1" s="1"/>
  <c r="AP548" i="1"/>
  <c r="AO548" i="1"/>
  <c r="BH548" i="1" s="1"/>
  <c r="AL548" i="1"/>
  <c r="AK548" i="1"/>
  <c r="AJ548" i="1"/>
  <c r="AH548" i="1"/>
  <c r="AG548" i="1"/>
  <c r="AF548" i="1"/>
  <c r="AD548" i="1"/>
  <c r="AC548" i="1"/>
  <c r="AB548" i="1"/>
  <c r="Z548" i="1"/>
  <c r="J548" i="1"/>
  <c r="I548" i="1"/>
  <c r="H548" i="1"/>
  <c r="BJ545" i="1"/>
  <c r="BH545" i="1"/>
  <c r="BF545" i="1"/>
  <c r="BD545" i="1"/>
  <c r="AW545" i="1"/>
  <c r="AP545" i="1"/>
  <c r="AO545" i="1"/>
  <c r="AK545" i="1"/>
  <c r="AJ545" i="1"/>
  <c r="AH545" i="1"/>
  <c r="AG545" i="1"/>
  <c r="AF545" i="1"/>
  <c r="AE545" i="1"/>
  <c r="AD545" i="1"/>
  <c r="AC545" i="1"/>
  <c r="AB545" i="1"/>
  <c r="Z545" i="1"/>
  <c r="J545" i="1"/>
  <c r="AL545" i="1" s="1"/>
  <c r="H545" i="1"/>
  <c r="BJ544" i="1"/>
  <c r="BI544" i="1"/>
  <c r="BH544" i="1"/>
  <c r="BF544" i="1"/>
  <c r="BD544" i="1"/>
  <c r="AX544" i="1"/>
  <c r="AW544" i="1"/>
  <c r="AP544" i="1"/>
  <c r="I544" i="1" s="1"/>
  <c r="AO544" i="1"/>
  <c r="AK544" i="1"/>
  <c r="AJ544" i="1"/>
  <c r="AH544" i="1"/>
  <c r="AG544" i="1"/>
  <c r="AF544" i="1"/>
  <c r="AE544" i="1"/>
  <c r="AD544" i="1"/>
  <c r="AC544" i="1"/>
  <c r="AB544" i="1"/>
  <c r="Z544" i="1"/>
  <c r="J544" i="1"/>
  <c r="AL544" i="1" s="1"/>
  <c r="H544" i="1"/>
  <c r="BJ543" i="1"/>
  <c r="Z543" i="1" s="1"/>
  <c r="BH543" i="1"/>
  <c r="BF543" i="1"/>
  <c r="BD543" i="1"/>
  <c r="AW543" i="1"/>
  <c r="AP543" i="1"/>
  <c r="AO543" i="1"/>
  <c r="AL543" i="1"/>
  <c r="AK543" i="1"/>
  <c r="AJ543" i="1"/>
  <c r="AS538" i="1" s="1"/>
  <c r="AH543" i="1"/>
  <c r="AG543" i="1"/>
  <c r="AF543" i="1"/>
  <c r="AE543" i="1"/>
  <c r="AD543" i="1"/>
  <c r="AC543" i="1"/>
  <c r="AB543" i="1"/>
  <c r="J543" i="1"/>
  <c r="H543" i="1"/>
  <c r="BJ542" i="1"/>
  <c r="BF542" i="1"/>
  <c r="BD542" i="1"/>
  <c r="AX542" i="1"/>
  <c r="AW542" i="1"/>
  <c r="AP542" i="1"/>
  <c r="AO542" i="1"/>
  <c r="BH542" i="1" s="1"/>
  <c r="AL542" i="1"/>
  <c r="AK542" i="1"/>
  <c r="AJ542" i="1"/>
  <c r="AH542" i="1"/>
  <c r="AG542" i="1"/>
  <c r="AF542" i="1"/>
  <c r="AE542" i="1"/>
  <c r="AD542" i="1"/>
  <c r="AC542" i="1"/>
  <c r="AB542" i="1"/>
  <c r="Z542" i="1"/>
  <c r="J542" i="1"/>
  <c r="H542" i="1"/>
  <c r="BJ540" i="1"/>
  <c r="BI540" i="1"/>
  <c r="BH540" i="1"/>
  <c r="BF540" i="1"/>
  <c r="BD540" i="1"/>
  <c r="AP540" i="1"/>
  <c r="AX540" i="1" s="1"/>
  <c r="AO540" i="1"/>
  <c r="AW540" i="1" s="1"/>
  <c r="AK540" i="1"/>
  <c r="AJ540" i="1"/>
  <c r="AH540" i="1"/>
  <c r="AG540" i="1"/>
  <c r="AF540" i="1"/>
  <c r="AE540" i="1"/>
  <c r="AD540" i="1"/>
  <c r="AC540" i="1"/>
  <c r="AB540" i="1"/>
  <c r="Z540" i="1"/>
  <c r="J540" i="1"/>
  <c r="AL540" i="1" s="1"/>
  <c r="I540" i="1"/>
  <c r="H540" i="1"/>
  <c r="BJ539" i="1"/>
  <c r="BI539" i="1"/>
  <c r="BH539" i="1"/>
  <c r="BF539" i="1"/>
  <c r="BD539" i="1"/>
  <c r="BC539" i="1"/>
  <c r="AX539" i="1"/>
  <c r="AV539" i="1" s="1"/>
  <c r="AW539" i="1"/>
  <c r="AP539" i="1"/>
  <c r="I539" i="1" s="1"/>
  <c r="AO539" i="1"/>
  <c r="AK539" i="1"/>
  <c r="AJ539" i="1"/>
  <c r="AH539" i="1"/>
  <c r="AG539" i="1"/>
  <c r="AF539" i="1"/>
  <c r="AE539" i="1"/>
  <c r="AD539" i="1"/>
  <c r="AC539" i="1"/>
  <c r="AB539" i="1"/>
  <c r="Z539" i="1"/>
  <c r="J539" i="1"/>
  <c r="H539" i="1"/>
  <c r="AT538" i="1"/>
  <c r="BJ537" i="1"/>
  <c r="BF537" i="1"/>
  <c r="BD537" i="1"/>
  <c r="AP537" i="1"/>
  <c r="AO537" i="1"/>
  <c r="AL537" i="1"/>
  <c r="AU536" i="1" s="1"/>
  <c r="AK537" i="1"/>
  <c r="AJ537" i="1"/>
  <c r="AS536" i="1" s="1"/>
  <c r="AH537" i="1"/>
  <c r="AE537" i="1"/>
  <c r="AD537" i="1"/>
  <c r="AC537" i="1"/>
  <c r="AB537" i="1"/>
  <c r="Z537" i="1"/>
  <c r="J537" i="1"/>
  <c r="J536" i="1" s="1"/>
  <c r="G45" i="2" s="1"/>
  <c r="I45" i="2" s="1"/>
  <c r="AT536" i="1"/>
  <c r="BJ535" i="1"/>
  <c r="Z535" i="1" s="1"/>
  <c r="BH535" i="1"/>
  <c r="BF535" i="1"/>
  <c r="BD535" i="1"/>
  <c r="AX535" i="1"/>
  <c r="AP535" i="1"/>
  <c r="BI535" i="1" s="1"/>
  <c r="AO535" i="1"/>
  <c r="AW535" i="1" s="1"/>
  <c r="AL535" i="1"/>
  <c r="AU534" i="1" s="1"/>
  <c r="AK535" i="1"/>
  <c r="AT534" i="1" s="1"/>
  <c r="AJ535" i="1"/>
  <c r="AH535" i="1"/>
  <c r="AG535" i="1"/>
  <c r="AF535" i="1"/>
  <c r="AE535" i="1"/>
  <c r="AD535" i="1"/>
  <c r="AC535" i="1"/>
  <c r="AB535" i="1"/>
  <c r="J535" i="1"/>
  <c r="J534" i="1" s="1"/>
  <c r="G44" i="2" s="1"/>
  <c r="I44" i="2" s="1"/>
  <c r="I535" i="1"/>
  <c r="I534" i="1" s="1"/>
  <c r="F44" i="2" s="1"/>
  <c r="H535" i="1"/>
  <c r="H534" i="1" s="1"/>
  <c r="E44" i="2" s="1"/>
  <c r="AS534" i="1"/>
  <c r="BJ532" i="1"/>
  <c r="BI532" i="1"/>
  <c r="AC532" i="1" s="1"/>
  <c r="BF532" i="1"/>
  <c r="BD532" i="1"/>
  <c r="AX532" i="1"/>
  <c r="BC532" i="1" s="1"/>
  <c r="AW532" i="1"/>
  <c r="AP532" i="1"/>
  <c r="AO532" i="1"/>
  <c r="BH532" i="1" s="1"/>
  <c r="AL532" i="1"/>
  <c r="AK532" i="1"/>
  <c r="AJ532" i="1"/>
  <c r="AS531" i="1" s="1"/>
  <c r="AH532" i="1"/>
  <c r="AG532" i="1"/>
  <c r="AF532" i="1"/>
  <c r="AE532" i="1"/>
  <c r="AD532" i="1"/>
  <c r="AB532" i="1"/>
  <c r="Z532" i="1"/>
  <c r="J532" i="1"/>
  <c r="I532" i="1"/>
  <c r="I531" i="1" s="1"/>
  <c r="H532" i="1"/>
  <c r="H531" i="1" s="1"/>
  <c r="E43" i="2" s="1"/>
  <c r="AU531" i="1"/>
  <c r="AT531" i="1"/>
  <c r="J531" i="1"/>
  <c r="G43" i="2" s="1"/>
  <c r="I43" i="2" s="1"/>
  <c r="BJ529" i="1"/>
  <c r="BI529" i="1"/>
  <c r="BH529" i="1"/>
  <c r="BF529" i="1"/>
  <c r="BD529" i="1"/>
  <c r="AP529" i="1"/>
  <c r="AX529" i="1" s="1"/>
  <c r="AO529" i="1"/>
  <c r="AW529" i="1" s="1"/>
  <c r="AK529" i="1"/>
  <c r="AT523" i="1" s="1"/>
  <c r="AJ529" i="1"/>
  <c r="AH529" i="1"/>
  <c r="AG529" i="1"/>
  <c r="AF529" i="1"/>
  <c r="AE529" i="1"/>
  <c r="AD529" i="1"/>
  <c r="AC529" i="1"/>
  <c r="AB529" i="1"/>
  <c r="Z529" i="1"/>
  <c r="J529" i="1"/>
  <c r="AL529" i="1" s="1"/>
  <c r="I529" i="1"/>
  <c r="H529" i="1"/>
  <c r="BJ527" i="1"/>
  <c r="BF527" i="1"/>
  <c r="BD527" i="1"/>
  <c r="AW527" i="1"/>
  <c r="AP527" i="1"/>
  <c r="AO527" i="1"/>
  <c r="AL527" i="1"/>
  <c r="AU523" i="1" s="1"/>
  <c r="AK527" i="1"/>
  <c r="AJ527" i="1"/>
  <c r="AH527" i="1"/>
  <c r="AG527" i="1"/>
  <c r="AF527" i="1"/>
  <c r="AC527" i="1"/>
  <c r="AB527" i="1"/>
  <c r="Z527" i="1"/>
  <c r="J527" i="1"/>
  <c r="BJ524" i="1"/>
  <c r="BF524" i="1"/>
  <c r="BD524" i="1"/>
  <c r="AX524" i="1"/>
  <c r="AP524" i="1"/>
  <c r="BI524" i="1" s="1"/>
  <c r="AE524" i="1" s="1"/>
  <c r="AO524" i="1"/>
  <c r="AL524" i="1"/>
  <c r="AK524" i="1"/>
  <c r="AJ524" i="1"/>
  <c r="AS523" i="1" s="1"/>
  <c r="AH524" i="1"/>
  <c r="AG524" i="1"/>
  <c r="AF524" i="1"/>
  <c r="AC524" i="1"/>
  <c r="AB524" i="1"/>
  <c r="Z524" i="1"/>
  <c r="J524" i="1"/>
  <c r="J523" i="1" s="1"/>
  <c r="G42" i="2" s="1"/>
  <c r="I42" i="2" s="1"/>
  <c r="I524" i="1"/>
  <c r="BJ522" i="1"/>
  <c r="BI522" i="1"/>
  <c r="BH522" i="1"/>
  <c r="BF522" i="1"/>
  <c r="BD522" i="1"/>
  <c r="AW522" i="1"/>
  <c r="BC522" i="1" s="1"/>
  <c r="AV522" i="1"/>
  <c r="AP522" i="1"/>
  <c r="AX522" i="1" s="1"/>
  <c r="AO522" i="1"/>
  <c r="AK522" i="1"/>
  <c r="AJ522" i="1"/>
  <c r="AH522" i="1"/>
  <c r="AG522" i="1"/>
  <c r="AF522" i="1"/>
  <c r="AE522" i="1"/>
  <c r="AD522" i="1"/>
  <c r="AC522" i="1"/>
  <c r="AB522" i="1"/>
  <c r="Z522" i="1"/>
  <c r="J522" i="1"/>
  <c r="I522" i="1"/>
  <c r="H522" i="1"/>
  <c r="BJ519" i="1"/>
  <c r="BF519" i="1"/>
  <c r="BD519" i="1"/>
  <c r="AX519" i="1"/>
  <c r="AP519" i="1"/>
  <c r="BI519" i="1" s="1"/>
  <c r="AE519" i="1" s="1"/>
  <c r="AO519" i="1"/>
  <c r="BH519" i="1" s="1"/>
  <c r="AD519" i="1" s="1"/>
  <c r="AL519" i="1"/>
  <c r="AK519" i="1"/>
  <c r="AJ519" i="1"/>
  <c r="AH519" i="1"/>
  <c r="AG519" i="1"/>
  <c r="AF519" i="1"/>
  <c r="AC519" i="1"/>
  <c r="AB519" i="1"/>
  <c r="Z519" i="1"/>
  <c r="J519" i="1"/>
  <c r="I519" i="1"/>
  <c r="I518" i="1" s="1"/>
  <c r="F41" i="2" s="1"/>
  <c r="H519" i="1"/>
  <c r="H518" i="1" s="1"/>
  <c r="E41" i="2" s="1"/>
  <c r="AT518" i="1"/>
  <c r="AS518" i="1"/>
  <c r="BJ517" i="1"/>
  <c r="BI517" i="1"/>
  <c r="BF517" i="1"/>
  <c r="BD517" i="1"/>
  <c r="AX517" i="1"/>
  <c r="AW517" i="1"/>
  <c r="AP517" i="1"/>
  <c r="AO517" i="1"/>
  <c r="BH517" i="1" s="1"/>
  <c r="AL517" i="1"/>
  <c r="AK517" i="1"/>
  <c r="AJ517" i="1"/>
  <c r="AS466" i="1" s="1"/>
  <c r="AH517" i="1"/>
  <c r="AG517" i="1"/>
  <c r="AF517" i="1"/>
  <c r="AE517" i="1"/>
  <c r="AD517" i="1"/>
  <c r="AC517" i="1"/>
  <c r="AB517" i="1"/>
  <c r="Z517" i="1"/>
  <c r="J517" i="1"/>
  <c r="I517" i="1"/>
  <c r="H517" i="1"/>
  <c r="BJ514" i="1"/>
  <c r="BI514" i="1"/>
  <c r="AE514" i="1" s="1"/>
  <c r="BH514" i="1"/>
  <c r="AD514" i="1" s="1"/>
  <c r="BF514" i="1"/>
  <c r="BD514" i="1"/>
  <c r="AX514" i="1"/>
  <c r="AP514" i="1"/>
  <c r="AO514" i="1"/>
  <c r="H514" i="1" s="1"/>
  <c r="AL514" i="1"/>
  <c r="AK514" i="1"/>
  <c r="AJ514" i="1"/>
  <c r="AH514" i="1"/>
  <c r="AG514" i="1"/>
  <c r="AF514" i="1"/>
  <c r="AC514" i="1"/>
  <c r="AB514" i="1"/>
  <c r="Z514" i="1"/>
  <c r="J514" i="1"/>
  <c r="I514" i="1"/>
  <c r="BJ512" i="1"/>
  <c r="BF512" i="1"/>
  <c r="BD512" i="1"/>
  <c r="AP512" i="1"/>
  <c r="BI512" i="1" s="1"/>
  <c r="AE512" i="1" s="1"/>
  <c r="AO512" i="1"/>
  <c r="AL512" i="1"/>
  <c r="AK512" i="1"/>
  <c r="AJ512" i="1"/>
  <c r="AH512" i="1"/>
  <c r="AG512" i="1"/>
  <c r="AF512" i="1"/>
  <c r="AC512" i="1"/>
  <c r="AB512" i="1"/>
  <c r="Z512" i="1"/>
  <c r="J512" i="1"/>
  <c r="I512" i="1"/>
  <c r="BJ509" i="1"/>
  <c r="BH509" i="1"/>
  <c r="AD509" i="1" s="1"/>
  <c r="BF509" i="1"/>
  <c r="BD509" i="1"/>
  <c r="AP509" i="1"/>
  <c r="BI509" i="1" s="1"/>
  <c r="AE509" i="1" s="1"/>
  <c r="AO509" i="1"/>
  <c r="AL509" i="1"/>
  <c r="AK509" i="1"/>
  <c r="AJ509" i="1"/>
  <c r="AH509" i="1"/>
  <c r="AG509" i="1"/>
  <c r="AF509" i="1"/>
  <c r="AC509" i="1"/>
  <c r="AB509" i="1"/>
  <c r="Z509" i="1"/>
  <c r="J509" i="1"/>
  <c r="I509" i="1"/>
  <c r="BJ507" i="1"/>
  <c r="BI507" i="1"/>
  <c r="AE507" i="1" s="1"/>
  <c r="BF507" i="1"/>
  <c r="BD507" i="1"/>
  <c r="AX507" i="1"/>
  <c r="AW507" i="1"/>
  <c r="AV507" i="1" s="1"/>
  <c r="AP507" i="1"/>
  <c r="AO507" i="1"/>
  <c r="BH507" i="1" s="1"/>
  <c r="AD507" i="1" s="1"/>
  <c r="AL507" i="1"/>
  <c r="AK507" i="1"/>
  <c r="AJ507" i="1"/>
  <c r="AH507" i="1"/>
  <c r="AG507" i="1"/>
  <c r="AF507" i="1"/>
  <c r="AC507" i="1"/>
  <c r="AB507" i="1"/>
  <c r="Z507" i="1"/>
  <c r="J507" i="1"/>
  <c r="I507" i="1"/>
  <c r="H507" i="1"/>
  <c r="BJ504" i="1"/>
  <c r="BI504" i="1"/>
  <c r="AE504" i="1" s="1"/>
  <c r="BH504" i="1"/>
  <c r="AD504" i="1" s="1"/>
  <c r="BF504" i="1"/>
  <c r="BD504" i="1"/>
  <c r="AX504" i="1"/>
  <c r="AW504" i="1"/>
  <c r="AP504" i="1"/>
  <c r="AO504" i="1"/>
  <c r="H504" i="1" s="1"/>
  <c r="AK504" i="1"/>
  <c r="AJ504" i="1"/>
  <c r="AH504" i="1"/>
  <c r="AG504" i="1"/>
  <c r="AF504" i="1"/>
  <c r="AC504" i="1"/>
  <c r="AB504" i="1"/>
  <c r="Z504" i="1"/>
  <c r="J504" i="1"/>
  <c r="AL504" i="1" s="1"/>
  <c r="I504" i="1"/>
  <c r="BJ501" i="1"/>
  <c r="BH501" i="1"/>
  <c r="AD501" i="1" s="1"/>
  <c r="BF501" i="1"/>
  <c r="BD501" i="1"/>
  <c r="AP501" i="1"/>
  <c r="BI501" i="1" s="1"/>
  <c r="AO501" i="1"/>
  <c r="AL501" i="1"/>
  <c r="AK501" i="1"/>
  <c r="AJ501" i="1"/>
  <c r="AH501" i="1"/>
  <c r="AG501" i="1"/>
  <c r="AF501" i="1"/>
  <c r="AE501" i="1"/>
  <c r="AC501" i="1"/>
  <c r="AB501" i="1"/>
  <c r="Z501" i="1"/>
  <c r="J501" i="1"/>
  <c r="I501" i="1"/>
  <c r="BJ499" i="1"/>
  <c r="BI499" i="1"/>
  <c r="AE499" i="1" s="1"/>
  <c r="BH499" i="1"/>
  <c r="AD499" i="1" s="1"/>
  <c r="BF499" i="1"/>
  <c r="BD499" i="1"/>
  <c r="AP499" i="1"/>
  <c r="AO499" i="1"/>
  <c r="AW499" i="1" s="1"/>
  <c r="AK499" i="1"/>
  <c r="AJ499" i="1"/>
  <c r="AH499" i="1"/>
  <c r="AG499" i="1"/>
  <c r="AF499" i="1"/>
  <c r="AC499" i="1"/>
  <c r="AB499" i="1"/>
  <c r="Z499" i="1"/>
  <c r="J499" i="1"/>
  <c r="AL499" i="1" s="1"/>
  <c r="H499" i="1"/>
  <c r="BJ497" i="1"/>
  <c r="BI497" i="1"/>
  <c r="BF497" i="1"/>
  <c r="BD497" i="1"/>
  <c r="BC497" i="1"/>
  <c r="AX497" i="1"/>
  <c r="AW497" i="1"/>
  <c r="AP497" i="1"/>
  <c r="AO497" i="1"/>
  <c r="BH497" i="1" s="1"/>
  <c r="AD497" i="1" s="1"/>
  <c r="AL497" i="1"/>
  <c r="AK497" i="1"/>
  <c r="AJ497" i="1"/>
  <c r="AH497" i="1"/>
  <c r="AG497" i="1"/>
  <c r="AF497" i="1"/>
  <c r="AE497" i="1"/>
  <c r="AC497" i="1"/>
  <c r="AB497" i="1"/>
  <c r="Z497" i="1"/>
  <c r="J497" i="1"/>
  <c r="I497" i="1"/>
  <c r="H497" i="1"/>
  <c r="BJ495" i="1"/>
  <c r="BI495" i="1"/>
  <c r="AE495" i="1" s="1"/>
  <c r="BF495" i="1"/>
  <c r="BD495" i="1"/>
  <c r="AX495" i="1"/>
  <c r="AW495" i="1"/>
  <c r="BC495" i="1" s="1"/>
  <c r="AV495" i="1"/>
  <c r="AP495" i="1"/>
  <c r="AO495" i="1"/>
  <c r="AK495" i="1"/>
  <c r="AJ495" i="1"/>
  <c r="AH495" i="1"/>
  <c r="AG495" i="1"/>
  <c r="AF495" i="1"/>
  <c r="AC495" i="1"/>
  <c r="AB495" i="1"/>
  <c r="Z495" i="1"/>
  <c r="J495" i="1"/>
  <c r="AL495" i="1" s="1"/>
  <c r="I495" i="1"/>
  <c r="BJ494" i="1"/>
  <c r="BF494" i="1"/>
  <c r="BD494" i="1"/>
  <c r="AX494" i="1"/>
  <c r="AV494" i="1" s="1"/>
  <c r="AW494" i="1"/>
  <c r="AP494" i="1"/>
  <c r="AO494" i="1"/>
  <c r="AL494" i="1"/>
  <c r="AK494" i="1"/>
  <c r="AJ494" i="1"/>
  <c r="AH494" i="1"/>
  <c r="AG494" i="1"/>
  <c r="AF494" i="1"/>
  <c r="AC494" i="1"/>
  <c r="AB494" i="1"/>
  <c r="Z494" i="1"/>
  <c r="J494" i="1"/>
  <c r="BJ493" i="1"/>
  <c r="BI493" i="1"/>
  <c r="AE493" i="1" s="1"/>
  <c r="BH493" i="1"/>
  <c r="AD493" i="1" s="1"/>
  <c r="BF493" i="1"/>
  <c r="BD493" i="1"/>
  <c r="AP493" i="1"/>
  <c r="I493" i="1" s="1"/>
  <c r="AO493" i="1"/>
  <c r="AW493" i="1" s="1"/>
  <c r="AK493" i="1"/>
  <c r="AJ493" i="1"/>
  <c r="AH493" i="1"/>
  <c r="AG493" i="1"/>
  <c r="AF493" i="1"/>
  <c r="AC493" i="1"/>
  <c r="AB493" i="1"/>
  <c r="Z493" i="1"/>
  <c r="J493" i="1"/>
  <c r="AL493" i="1" s="1"/>
  <c r="H493" i="1"/>
  <c r="BJ492" i="1"/>
  <c r="BI492" i="1"/>
  <c r="AE492" i="1" s="1"/>
  <c r="BF492" i="1"/>
  <c r="BD492" i="1"/>
  <c r="BC492" i="1"/>
  <c r="AX492" i="1"/>
  <c r="AW492" i="1"/>
  <c r="AV492" i="1" s="1"/>
  <c r="AP492" i="1"/>
  <c r="AO492" i="1"/>
  <c r="BH492" i="1" s="1"/>
  <c r="AL492" i="1"/>
  <c r="AK492" i="1"/>
  <c r="AJ492" i="1"/>
  <c r="AH492" i="1"/>
  <c r="AG492" i="1"/>
  <c r="AF492" i="1"/>
  <c r="AD492" i="1"/>
  <c r="AC492" i="1"/>
  <c r="AB492" i="1"/>
  <c r="Z492" i="1"/>
  <c r="J492" i="1"/>
  <c r="I492" i="1"/>
  <c r="H492" i="1"/>
  <c r="BJ491" i="1"/>
  <c r="BI491" i="1"/>
  <c r="AE491" i="1" s="1"/>
  <c r="BH491" i="1"/>
  <c r="AD491" i="1" s="1"/>
  <c r="BF491" i="1"/>
  <c r="BD491" i="1"/>
  <c r="AX491" i="1"/>
  <c r="AP491" i="1"/>
  <c r="AO491" i="1"/>
  <c r="AK491" i="1"/>
  <c r="AJ491" i="1"/>
  <c r="AH491" i="1"/>
  <c r="AG491" i="1"/>
  <c r="AF491" i="1"/>
  <c r="AC491" i="1"/>
  <c r="AB491" i="1"/>
  <c r="Z491" i="1"/>
  <c r="J491" i="1"/>
  <c r="AL491" i="1" s="1"/>
  <c r="I491" i="1"/>
  <c r="BJ489" i="1"/>
  <c r="BH489" i="1"/>
  <c r="AD489" i="1" s="1"/>
  <c r="BF489" i="1"/>
  <c r="BD489" i="1"/>
  <c r="AW489" i="1"/>
  <c r="AP489" i="1"/>
  <c r="BI489" i="1" s="1"/>
  <c r="AO489" i="1"/>
  <c r="H489" i="1" s="1"/>
  <c r="AK489" i="1"/>
  <c r="AJ489" i="1"/>
  <c r="AH489" i="1"/>
  <c r="AG489" i="1"/>
  <c r="AF489" i="1"/>
  <c r="AE489" i="1"/>
  <c r="AC489" i="1"/>
  <c r="AB489" i="1"/>
  <c r="Z489" i="1"/>
  <c r="J489" i="1"/>
  <c r="AL489" i="1" s="1"/>
  <c r="I489" i="1"/>
  <c r="BJ485" i="1"/>
  <c r="BI485" i="1"/>
  <c r="BF485" i="1"/>
  <c r="BD485" i="1"/>
  <c r="AX485" i="1"/>
  <c r="AP485" i="1"/>
  <c r="AO485" i="1"/>
  <c r="AL485" i="1"/>
  <c r="AK485" i="1"/>
  <c r="AJ485" i="1"/>
  <c r="AH485" i="1"/>
  <c r="AG485" i="1"/>
  <c r="AF485" i="1"/>
  <c r="AE485" i="1"/>
  <c r="AC485" i="1"/>
  <c r="AB485" i="1"/>
  <c r="Z485" i="1"/>
  <c r="J485" i="1"/>
  <c r="I485" i="1"/>
  <c r="H485" i="1"/>
  <c r="BJ480" i="1"/>
  <c r="BI480" i="1"/>
  <c r="BF480" i="1"/>
  <c r="BD480" i="1"/>
  <c r="AX480" i="1"/>
  <c r="AW480" i="1"/>
  <c r="AP480" i="1"/>
  <c r="AO480" i="1"/>
  <c r="BH480" i="1" s="1"/>
  <c r="AL480" i="1"/>
  <c r="AK480" i="1"/>
  <c r="AJ480" i="1"/>
  <c r="AH480" i="1"/>
  <c r="AG480" i="1"/>
  <c r="AF480" i="1"/>
  <c r="AE480" i="1"/>
  <c r="AD480" i="1"/>
  <c r="AC480" i="1"/>
  <c r="AB480" i="1"/>
  <c r="Z480" i="1"/>
  <c r="J480" i="1"/>
  <c r="I480" i="1"/>
  <c r="H480" i="1"/>
  <c r="BJ478" i="1"/>
  <c r="BI478" i="1"/>
  <c r="AE478" i="1" s="1"/>
  <c r="BF478" i="1"/>
  <c r="BD478" i="1"/>
  <c r="AX478" i="1"/>
  <c r="AW478" i="1"/>
  <c r="BC478" i="1" s="1"/>
  <c r="AP478" i="1"/>
  <c r="AO478" i="1"/>
  <c r="AL478" i="1"/>
  <c r="AK478" i="1"/>
  <c r="AJ478" i="1"/>
  <c r="AH478" i="1"/>
  <c r="AG478" i="1"/>
  <c r="AF478" i="1"/>
  <c r="AC478" i="1"/>
  <c r="AB478" i="1"/>
  <c r="Z478" i="1"/>
  <c r="J478" i="1"/>
  <c r="I478" i="1"/>
  <c r="BJ476" i="1"/>
  <c r="BH476" i="1"/>
  <c r="AD476" i="1" s="1"/>
  <c r="BF476" i="1"/>
  <c r="BD476" i="1"/>
  <c r="AX476" i="1"/>
  <c r="AP476" i="1"/>
  <c r="BI476" i="1" s="1"/>
  <c r="AE476" i="1" s="1"/>
  <c r="AO476" i="1"/>
  <c r="H476" i="1" s="1"/>
  <c r="AL476" i="1"/>
  <c r="AK476" i="1"/>
  <c r="AJ476" i="1"/>
  <c r="AH476" i="1"/>
  <c r="AG476" i="1"/>
  <c r="AF476" i="1"/>
  <c r="AC476" i="1"/>
  <c r="AB476" i="1"/>
  <c r="Z476" i="1"/>
  <c r="J476" i="1"/>
  <c r="I476" i="1"/>
  <c r="BJ474" i="1"/>
  <c r="BI474" i="1"/>
  <c r="AE474" i="1" s="1"/>
  <c r="BH474" i="1"/>
  <c r="AD474" i="1" s="1"/>
  <c r="BF474" i="1"/>
  <c r="BD474" i="1"/>
  <c r="AX474" i="1"/>
  <c r="BC474" i="1" s="1"/>
  <c r="AP474" i="1"/>
  <c r="I474" i="1" s="1"/>
  <c r="AO474" i="1"/>
  <c r="AW474" i="1" s="1"/>
  <c r="AK474" i="1"/>
  <c r="AJ474" i="1"/>
  <c r="AH474" i="1"/>
  <c r="AG474" i="1"/>
  <c r="AF474" i="1"/>
  <c r="AC474" i="1"/>
  <c r="AB474" i="1"/>
  <c r="Z474" i="1"/>
  <c r="J474" i="1"/>
  <c r="AL474" i="1" s="1"/>
  <c r="H474" i="1"/>
  <c r="BJ473" i="1"/>
  <c r="BI473" i="1"/>
  <c r="AE473" i="1" s="1"/>
  <c r="BF473" i="1"/>
  <c r="BD473" i="1"/>
  <c r="BC473" i="1"/>
  <c r="AW473" i="1"/>
  <c r="AP473" i="1"/>
  <c r="AX473" i="1" s="1"/>
  <c r="AO473" i="1"/>
  <c r="BH473" i="1" s="1"/>
  <c r="AL473" i="1"/>
  <c r="AK473" i="1"/>
  <c r="AJ473" i="1"/>
  <c r="AH473" i="1"/>
  <c r="AG473" i="1"/>
  <c r="AF473" i="1"/>
  <c r="AD473" i="1"/>
  <c r="AC473" i="1"/>
  <c r="AB473" i="1"/>
  <c r="Z473" i="1"/>
  <c r="J473" i="1"/>
  <c r="I473" i="1"/>
  <c r="H473" i="1"/>
  <c r="BJ470" i="1"/>
  <c r="BI470" i="1"/>
  <c r="AE470" i="1" s="1"/>
  <c r="BF470" i="1"/>
  <c r="BD470" i="1"/>
  <c r="AX470" i="1"/>
  <c r="AW470" i="1"/>
  <c r="AP470" i="1"/>
  <c r="AO470" i="1"/>
  <c r="BH470" i="1" s="1"/>
  <c r="AD470" i="1" s="1"/>
  <c r="AK470" i="1"/>
  <c r="AJ470" i="1"/>
  <c r="AH470" i="1"/>
  <c r="AG470" i="1"/>
  <c r="AF470" i="1"/>
  <c r="AC470" i="1"/>
  <c r="AB470" i="1"/>
  <c r="Z470" i="1"/>
  <c r="J470" i="1"/>
  <c r="AL470" i="1" s="1"/>
  <c r="I470" i="1"/>
  <c r="H470" i="1"/>
  <c r="BJ467" i="1"/>
  <c r="BH467" i="1"/>
  <c r="AD467" i="1" s="1"/>
  <c r="BF467" i="1"/>
  <c r="BD467" i="1"/>
  <c r="AP467" i="1"/>
  <c r="BI467" i="1" s="1"/>
  <c r="AE467" i="1" s="1"/>
  <c r="AO467" i="1"/>
  <c r="H467" i="1" s="1"/>
  <c r="AK467" i="1"/>
  <c r="AJ467" i="1"/>
  <c r="AH467" i="1"/>
  <c r="AG467" i="1"/>
  <c r="AF467" i="1"/>
  <c r="AC467" i="1"/>
  <c r="AB467" i="1"/>
  <c r="Z467" i="1"/>
  <c r="J467" i="1"/>
  <c r="AL467" i="1" s="1"/>
  <c r="I467" i="1"/>
  <c r="BJ465" i="1"/>
  <c r="BH465" i="1"/>
  <c r="BF465" i="1"/>
  <c r="BD465" i="1"/>
  <c r="AP465" i="1"/>
  <c r="AO465" i="1"/>
  <c r="AW465" i="1" s="1"/>
  <c r="AL465" i="1"/>
  <c r="AK465" i="1"/>
  <c r="AJ465" i="1"/>
  <c r="AH465" i="1"/>
  <c r="AG465" i="1"/>
  <c r="AF465" i="1"/>
  <c r="AE465" i="1"/>
  <c r="AD465" i="1"/>
  <c r="AC465" i="1"/>
  <c r="AB465" i="1"/>
  <c r="Z465" i="1"/>
  <c r="J465" i="1"/>
  <c r="H465" i="1"/>
  <c r="BJ464" i="1"/>
  <c r="BI464" i="1"/>
  <c r="BF464" i="1"/>
  <c r="BD464" i="1"/>
  <c r="AX464" i="1"/>
  <c r="AP464" i="1"/>
  <c r="AO464" i="1"/>
  <c r="AL464" i="1"/>
  <c r="AK464" i="1"/>
  <c r="AJ464" i="1"/>
  <c r="AH464" i="1"/>
  <c r="AG464" i="1"/>
  <c r="AF464" i="1"/>
  <c r="AE464" i="1"/>
  <c r="AC464" i="1"/>
  <c r="AB464" i="1"/>
  <c r="Z464" i="1"/>
  <c r="J464" i="1"/>
  <c r="I464" i="1"/>
  <c r="BJ462" i="1"/>
  <c r="BF462" i="1"/>
  <c r="BD462" i="1"/>
  <c r="AP462" i="1"/>
  <c r="AO462" i="1"/>
  <c r="AL462" i="1"/>
  <c r="AK462" i="1"/>
  <c r="AJ462" i="1"/>
  <c r="AH462" i="1"/>
  <c r="AG462" i="1"/>
  <c r="AF462" i="1"/>
  <c r="AC462" i="1"/>
  <c r="AB462" i="1"/>
  <c r="Z462" i="1"/>
  <c r="J462" i="1"/>
  <c r="BJ461" i="1"/>
  <c r="BF461" i="1"/>
  <c r="BD461" i="1"/>
  <c r="AP461" i="1"/>
  <c r="AO461" i="1"/>
  <c r="AL461" i="1"/>
  <c r="AK461" i="1"/>
  <c r="AJ461" i="1"/>
  <c r="AH461" i="1"/>
  <c r="AG461" i="1"/>
  <c r="AF461" i="1"/>
  <c r="AC461" i="1"/>
  <c r="AB461" i="1"/>
  <c r="Z461" i="1"/>
  <c r="J461" i="1"/>
  <c r="BJ460" i="1"/>
  <c r="BF460" i="1"/>
  <c r="BD460" i="1"/>
  <c r="AP460" i="1"/>
  <c r="AO460" i="1"/>
  <c r="AL460" i="1"/>
  <c r="AK460" i="1"/>
  <c r="AJ460" i="1"/>
  <c r="AH460" i="1"/>
  <c r="AG460" i="1"/>
  <c r="AF460" i="1"/>
  <c r="AC460" i="1"/>
  <c r="AB460" i="1"/>
  <c r="Z460" i="1"/>
  <c r="J460" i="1"/>
  <c r="BJ459" i="1"/>
  <c r="BI459" i="1"/>
  <c r="AE459" i="1" s="1"/>
  <c r="BF459" i="1"/>
  <c r="BD459" i="1"/>
  <c r="AX459" i="1"/>
  <c r="AW459" i="1"/>
  <c r="AV459" i="1" s="1"/>
  <c r="AP459" i="1"/>
  <c r="AO459" i="1"/>
  <c r="BH459" i="1" s="1"/>
  <c r="AL459" i="1"/>
  <c r="AK459" i="1"/>
  <c r="AJ459" i="1"/>
  <c r="AH459" i="1"/>
  <c r="AG459" i="1"/>
  <c r="AF459" i="1"/>
  <c r="AD459" i="1"/>
  <c r="AC459" i="1"/>
  <c r="AB459" i="1"/>
  <c r="Z459" i="1"/>
  <c r="J459" i="1"/>
  <c r="I459" i="1"/>
  <c r="H459" i="1"/>
  <c r="BJ456" i="1"/>
  <c r="BH456" i="1"/>
  <c r="AD456" i="1" s="1"/>
  <c r="BF456" i="1"/>
  <c r="BD456" i="1"/>
  <c r="AW456" i="1"/>
  <c r="AP456" i="1"/>
  <c r="AO456" i="1"/>
  <c r="H456" i="1" s="1"/>
  <c r="AL456" i="1"/>
  <c r="AK456" i="1"/>
  <c r="AT453" i="1" s="1"/>
  <c r="AJ456" i="1"/>
  <c r="AH456" i="1"/>
  <c r="AG456" i="1"/>
  <c r="AF456" i="1"/>
  <c r="AC456" i="1"/>
  <c r="AB456" i="1"/>
  <c r="Z456" i="1"/>
  <c r="J456" i="1"/>
  <c r="BJ454" i="1"/>
  <c r="BF454" i="1"/>
  <c r="BD454" i="1"/>
  <c r="AP454" i="1"/>
  <c r="AO454" i="1"/>
  <c r="AL454" i="1"/>
  <c r="AK454" i="1"/>
  <c r="AJ454" i="1"/>
  <c r="AH454" i="1"/>
  <c r="AG454" i="1"/>
  <c r="AF454" i="1"/>
  <c r="AC454" i="1"/>
  <c r="AB454" i="1"/>
  <c r="Z454" i="1"/>
  <c r="J454" i="1"/>
  <c r="BJ452" i="1"/>
  <c r="Z452" i="1" s="1"/>
  <c r="BF452" i="1"/>
  <c r="BD452" i="1"/>
  <c r="AP452" i="1"/>
  <c r="AO452" i="1"/>
  <c r="AL452" i="1"/>
  <c r="AK452" i="1"/>
  <c r="AJ452" i="1"/>
  <c r="AH452" i="1"/>
  <c r="AG452" i="1"/>
  <c r="AF452" i="1"/>
  <c r="AE452" i="1"/>
  <c r="AD452" i="1"/>
  <c r="AC452" i="1"/>
  <c r="AB452" i="1"/>
  <c r="J452" i="1"/>
  <c r="BJ449" i="1"/>
  <c r="BF449" i="1"/>
  <c r="BD449" i="1"/>
  <c r="AX449" i="1"/>
  <c r="AP449" i="1"/>
  <c r="AO449" i="1"/>
  <c r="AL449" i="1"/>
  <c r="AK449" i="1"/>
  <c r="AJ449" i="1"/>
  <c r="AH449" i="1"/>
  <c r="AG449" i="1"/>
  <c r="AF449" i="1"/>
  <c r="AC449" i="1"/>
  <c r="AB449" i="1"/>
  <c r="Z449" i="1"/>
  <c r="J449" i="1"/>
  <c r="BJ448" i="1"/>
  <c r="BI448" i="1"/>
  <c r="AE448" i="1" s="1"/>
  <c r="BH448" i="1"/>
  <c r="AD448" i="1" s="1"/>
  <c r="BF448" i="1"/>
  <c r="BD448" i="1"/>
  <c r="BC448" i="1"/>
  <c r="AX448" i="1"/>
  <c r="AW448" i="1"/>
  <c r="AV448" i="1" s="1"/>
  <c r="AP448" i="1"/>
  <c r="AO448" i="1"/>
  <c r="AK448" i="1"/>
  <c r="AJ448" i="1"/>
  <c r="AH448" i="1"/>
  <c r="AG448" i="1"/>
  <c r="AF448" i="1"/>
  <c r="AC448" i="1"/>
  <c r="AB448" i="1"/>
  <c r="Z448" i="1"/>
  <c r="J448" i="1"/>
  <c r="AL448" i="1" s="1"/>
  <c r="I448" i="1"/>
  <c r="H448" i="1"/>
  <c r="BJ446" i="1"/>
  <c r="BI446" i="1"/>
  <c r="AE446" i="1" s="1"/>
  <c r="BH446" i="1"/>
  <c r="AD446" i="1" s="1"/>
  <c r="BF446" i="1"/>
  <c r="BD446" i="1"/>
  <c r="AP446" i="1"/>
  <c r="AX446" i="1" s="1"/>
  <c r="AO446" i="1"/>
  <c r="AK446" i="1"/>
  <c r="AJ446" i="1"/>
  <c r="AH446" i="1"/>
  <c r="AG446" i="1"/>
  <c r="AF446" i="1"/>
  <c r="AC446" i="1"/>
  <c r="AB446" i="1"/>
  <c r="Z446" i="1"/>
  <c r="J446" i="1"/>
  <c r="AL446" i="1" s="1"/>
  <c r="I446" i="1"/>
  <c r="BJ445" i="1"/>
  <c r="BF445" i="1"/>
  <c r="BD445" i="1"/>
  <c r="AP445" i="1"/>
  <c r="AO445" i="1"/>
  <c r="AL445" i="1"/>
  <c r="AK445" i="1"/>
  <c r="AT437" i="1" s="1"/>
  <c r="AJ445" i="1"/>
  <c r="AH445" i="1"/>
  <c r="AG445" i="1"/>
  <c r="AF445" i="1"/>
  <c r="AC445" i="1"/>
  <c r="AB445" i="1"/>
  <c r="Z445" i="1"/>
  <c r="J445" i="1"/>
  <c r="BJ442" i="1"/>
  <c r="BF442" i="1"/>
  <c r="BD442" i="1"/>
  <c r="AP442" i="1"/>
  <c r="AO442" i="1"/>
  <c r="AL442" i="1"/>
  <c r="AK442" i="1"/>
  <c r="AJ442" i="1"/>
  <c r="AH442" i="1"/>
  <c r="AG442" i="1"/>
  <c r="AF442" i="1"/>
  <c r="AC442" i="1"/>
  <c r="AB442" i="1"/>
  <c r="Z442" i="1"/>
  <c r="J442" i="1"/>
  <c r="BJ441" i="1"/>
  <c r="BI441" i="1"/>
  <c r="AE441" i="1" s="1"/>
  <c r="BH441" i="1"/>
  <c r="AD441" i="1" s="1"/>
  <c r="BF441" i="1"/>
  <c r="BD441" i="1"/>
  <c r="AX441" i="1"/>
  <c r="AW441" i="1"/>
  <c r="BC441" i="1" s="1"/>
  <c r="AV441" i="1"/>
  <c r="AP441" i="1"/>
  <c r="AO441" i="1"/>
  <c r="AL441" i="1"/>
  <c r="AK441" i="1"/>
  <c r="AJ441" i="1"/>
  <c r="AH441" i="1"/>
  <c r="AG441" i="1"/>
  <c r="AF441" i="1"/>
  <c r="AC441" i="1"/>
  <c r="AB441" i="1"/>
  <c r="Z441" i="1"/>
  <c r="J441" i="1"/>
  <c r="I441" i="1"/>
  <c r="H441" i="1"/>
  <c r="BJ439" i="1"/>
  <c r="BI439" i="1"/>
  <c r="AE439" i="1" s="1"/>
  <c r="BH439" i="1"/>
  <c r="AD439" i="1" s="1"/>
  <c r="BF439" i="1"/>
  <c r="BD439" i="1"/>
  <c r="AP439" i="1"/>
  <c r="AX439" i="1" s="1"/>
  <c r="AO439" i="1"/>
  <c r="AW439" i="1" s="1"/>
  <c r="AV439" i="1" s="1"/>
  <c r="AK439" i="1"/>
  <c r="AJ439" i="1"/>
  <c r="AH439" i="1"/>
  <c r="AG439" i="1"/>
  <c r="AF439" i="1"/>
  <c r="AC439" i="1"/>
  <c r="AB439" i="1"/>
  <c r="Z439" i="1"/>
  <c r="J439" i="1"/>
  <c r="AL439" i="1" s="1"/>
  <c r="I439" i="1"/>
  <c r="H439" i="1"/>
  <c r="BJ438" i="1"/>
  <c r="BI438" i="1"/>
  <c r="BH438" i="1"/>
  <c r="AD438" i="1" s="1"/>
  <c r="BF438" i="1"/>
  <c r="BD438" i="1"/>
  <c r="AP438" i="1"/>
  <c r="AX438" i="1" s="1"/>
  <c r="BC438" i="1" s="1"/>
  <c r="AO438" i="1"/>
  <c r="AW438" i="1" s="1"/>
  <c r="AK438" i="1"/>
  <c r="AJ438" i="1"/>
  <c r="AH438" i="1"/>
  <c r="AG438" i="1"/>
  <c r="AF438" i="1"/>
  <c r="AE438" i="1"/>
  <c r="AC438" i="1"/>
  <c r="AB438" i="1"/>
  <c r="Z438" i="1"/>
  <c r="J438" i="1"/>
  <c r="I438" i="1"/>
  <c r="H438" i="1"/>
  <c r="BJ435" i="1"/>
  <c r="BF435" i="1"/>
  <c r="BD435" i="1"/>
  <c r="AP435" i="1"/>
  <c r="AO435" i="1"/>
  <c r="AL435" i="1"/>
  <c r="AK435" i="1"/>
  <c r="AT428" i="1" s="1"/>
  <c r="AJ435" i="1"/>
  <c r="AH435" i="1"/>
  <c r="AG435" i="1"/>
  <c r="AF435" i="1"/>
  <c r="AE435" i="1"/>
  <c r="AD435" i="1"/>
  <c r="AC435" i="1"/>
  <c r="AB435" i="1"/>
  <c r="Z435" i="1"/>
  <c r="J435" i="1"/>
  <c r="BJ434" i="1"/>
  <c r="BI434" i="1"/>
  <c r="BF434" i="1"/>
  <c r="BD434" i="1"/>
  <c r="AX434" i="1"/>
  <c r="AP434" i="1"/>
  <c r="AO434" i="1"/>
  <c r="H434" i="1" s="1"/>
  <c r="AL434" i="1"/>
  <c r="AK434" i="1"/>
  <c r="AJ434" i="1"/>
  <c r="AH434" i="1"/>
  <c r="AG434" i="1"/>
  <c r="AF434" i="1"/>
  <c r="AE434" i="1"/>
  <c r="AD434" i="1"/>
  <c r="AC434" i="1"/>
  <c r="AB434" i="1"/>
  <c r="Z434" i="1"/>
  <c r="J434" i="1"/>
  <c r="I434" i="1"/>
  <c r="BJ433" i="1"/>
  <c r="BI433" i="1"/>
  <c r="BH433" i="1"/>
  <c r="BF433" i="1"/>
  <c r="BD433" i="1"/>
  <c r="AX433" i="1"/>
  <c r="AP433" i="1"/>
  <c r="I433" i="1" s="1"/>
  <c r="AO433" i="1"/>
  <c r="H433" i="1" s="1"/>
  <c r="AK433" i="1"/>
  <c r="AJ433" i="1"/>
  <c r="AH433" i="1"/>
  <c r="AG433" i="1"/>
  <c r="AF433" i="1"/>
  <c r="AE433" i="1"/>
  <c r="AD433" i="1"/>
  <c r="AC433" i="1"/>
  <c r="AB433" i="1"/>
  <c r="Z433" i="1"/>
  <c r="J433" i="1"/>
  <c r="AL433" i="1" s="1"/>
  <c r="BJ432" i="1"/>
  <c r="Z432" i="1" s="1"/>
  <c r="BH432" i="1"/>
  <c r="BF432" i="1"/>
  <c r="BD432" i="1"/>
  <c r="AW432" i="1"/>
  <c r="AP432" i="1"/>
  <c r="AX432" i="1" s="1"/>
  <c r="AO432" i="1"/>
  <c r="H432" i="1" s="1"/>
  <c r="AK432" i="1"/>
  <c r="AJ432" i="1"/>
  <c r="AS428" i="1" s="1"/>
  <c r="AH432" i="1"/>
  <c r="AG432" i="1"/>
  <c r="AF432" i="1"/>
  <c r="AE432" i="1"/>
  <c r="AD432" i="1"/>
  <c r="AC432" i="1"/>
  <c r="AB432" i="1"/>
  <c r="J432" i="1"/>
  <c r="AL432" i="1" s="1"/>
  <c r="BJ430" i="1"/>
  <c r="BF430" i="1"/>
  <c r="BD430" i="1"/>
  <c r="AX430" i="1"/>
  <c r="AW430" i="1"/>
  <c r="BC430" i="1" s="1"/>
  <c r="AV430" i="1"/>
  <c r="AP430" i="1"/>
  <c r="AO430" i="1"/>
  <c r="BH430" i="1" s="1"/>
  <c r="AL430" i="1"/>
  <c r="AK430" i="1"/>
  <c r="AJ430" i="1"/>
  <c r="AH430" i="1"/>
  <c r="AG430" i="1"/>
  <c r="AF430" i="1"/>
  <c r="AE430" i="1"/>
  <c r="AD430" i="1"/>
  <c r="AC430" i="1"/>
  <c r="AB430" i="1"/>
  <c r="Z430" i="1"/>
  <c r="J430" i="1"/>
  <c r="H430" i="1"/>
  <c r="BJ429" i="1"/>
  <c r="BI429" i="1"/>
  <c r="BH429" i="1"/>
  <c r="BF429" i="1"/>
  <c r="BD429" i="1"/>
  <c r="AX429" i="1"/>
  <c r="AW429" i="1"/>
  <c r="AP429" i="1"/>
  <c r="AO429" i="1"/>
  <c r="AK429" i="1"/>
  <c r="AJ429" i="1"/>
  <c r="AH429" i="1"/>
  <c r="AG429" i="1"/>
  <c r="AF429" i="1"/>
  <c r="AE429" i="1"/>
  <c r="AD429" i="1"/>
  <c r="AC429" i="1"/>
  <c r="AB429" i="1"/>
  <c r="Z429" i="1"/>
  <c r="J429" i="1"/>
  <c r="I429" i="1"/>
  <c r="H429" i="1"/>
  <c r="BJ427" i="1"/>
  <c r="BI427" i="1"/>
  <c r="BH427" i="1"/>
  <c r="BF427" i="1"/>
  <c r="BD427" i="1"/>
  <c r="AP427" i="1"/>
  <c r="AX427" i="1" s="1"/>
  <c r="BC427" i="1" s="1"/>
  <c r="AO427" i="1"/>
  <c r="AW427" i="1" s="1"/>
  <c r="AL427" i="1"/>
  <c r="AU426" i="1" s="1"/>
  <c r="AK427" i="1"/>
  <c r="AT426" i="1" s="1"/>
  <c r="AJ427" i="1"/>
  <c r="AS426" i="1" s="1"/>
  <c r="AH427" i="1"/>
  <c r="AG427" i="1"/>
  <c r="AF427" i="1"/>
  <c r="AE427" i="1"/>
  <c r="AD427" i="1"/>
  <c r="AC427" i="1"/>
  <c r="AB427" i="1"/>
  <c r="Z427" i="1"/>
  <c r="J427" i="1"/>
  <c r="J426" i="1" s="1"/>
  <c r="G35" i="2" s="1"/>
  <c r="I35" i="2" s="1"/>
  <c r="I427" i="1"/>
  <c r="I426" i="1" s="1"/>
  <c r="F35" i="2" s="1"/>
  <c r="H427" i="1"/>
  <c r="H426" i="1" s="1"/>
  <c r="E35" i="2" s="1"/>
  <c r="BJ424" i="1"/>
  <c r="BF424" i="1"/>
  <c r="BD424" i="1"/>
  <c r="AP424" i="1"/>
  <c r="AO424" i="1"/>
  <c r="AL424" i="1"/>
  <c r="AK424" i="1"/>
  <c r="AJ424" i="1"/>
  <c r="AH424" i="1"/>
  <c r="AG424" i="1"/>
  <c r="AF424" i="1"/>
  <c r="AE424" i="1"/>
  <c r="AD424" i="1"/>
  <c r="Z424" i="1"/>
  <c r="J424" i="1"/>
  <c r="BJ420" i="1"/>
  <c r="BF420" i="1"/>
  <c r="BD420" i="1"/>
  <c r="AP420" i="1"/>
  <c r="AO420" i="1"/>
  <c r="AL420" i="1"/>
  <c r="AK420" i="1"/>
  <c r="AJ420" i="1"/>
  <c r="AH420" i="1"/>
  <c r="AG420" i="1"/>
  <c r="AF420" i="1"/>
  <c r="AE420" i="1"/>
  <c r="AD420" i="1"/>
  <c r="Z420" i="1"/>
  <c r="J420" i="1"/>
  <c r="BJ418" i="1"/>
  <c r="BI418" i="1"/>
  <c r="AC418" i="1" s="1"/>
  <c r="BH418" i="1"/>
  <c r="AB418" i="1" s="1"/>
  <c r="BF418" i="1"/>
  <c r="BD418" i="1"/>
  <c r="AX418" i="1"/>
  <c r="AW418" i="1"/>
  <c r="BC418" i="1" s="1"/>
  <c r="AV418" i="1"/>
  <c r="AP418" i="1"/>
  <c r="AO418" i="1"/>
  <c r="AK418" i="1"/>
  <c r="AJ418" i="1"/>
  <c r="AH418" i="1"/>
  <c r="AG418" i="1"/>
  <c r="AF418" i="1"/>
  <c r="AE418" i="1"/>
  <c r="AD418" i="1"/>
  <c r="Z418" i="1"/>
  <c r="J418" i="1"/>
  <c r="AL418" i="1" s="1"/>
  <c r="I418" i="1"/>
  <c r="H418" i="1"/>
  <c r="BJ414" i="1"/>
  <c r="BH414" i="1"/>
  <c r="AB414" i="1" s="1"/>
  <c r="BF414" i="1"/>
  <c r="BD414" i="1"/>
  <c r="AW414" i="1"/>
  <c r="AP414" i="1"/>
  <c r="AO414" i="1"/>
  <c r="AK414" i="1"/>
  <c r="AJ414" i="1"/>
  <c r="AH414" i="1"/>
  <c r="AG414" i="1"/>
  <c r="AF414" i="1"/>
  <c r="AE414" i="1"/>
  <c r="AD414" i="1"/>
  <c r="Z414" i="1"/>
  <c r="J414" i="1"/>
  <c r="H414" i="1"/>
  <c r="BJ410" i="1"/>
  <c r="BH410" i="1"/>
  <c r="AB410" i="1" s="1"/>
  <c r="BF410" i="1"/>
  <c r="BD410" i="1"/>
  <c r="AX410" i="1"/>
  <c r="AP410" i="1"/>
  <c r="BI410" i="1" s="1"/>
  <c r="AC410" i="1" s="1"/>
  <c r="AO410" i="1"/>
  <c r="AW410" i="1" s="1"/>
  <c r="AL410" i="1"/>
  <c r="AK410" i="1"/>
  <c r="AJ410" i="1"/>
  <c r="AH410" i="1"/>
  <c r="AG410" i="1"/>
  <c r="AF410" i="1"/>
  <c r="AE410" i="1"/>
  <c r="AD410" i="1"/>
  <c r="Z410" i="1"/>
  <c r="J410" i="1"/>
  <c r="I410" i="1"/>
  <c r="H410" i="1"/>
  <c r="BJ406" i="1"/>
  <c r="BI406" i="1"/>
  <c r="BH406" i="1"/>
  <c r="BF406" i="1"/>
  <c r="BD406" i="1"/>
  <c r="BC406" i="1"/>
  <c r="AX406" i="1"/>
  <c r="AW406" i="1"/>
  <c r="AV406" i="1"/>
  <c r="AP406" i="1"/>
  <c r="AO406" i="1"/>
  <c r="AK406" i="1"/>
  <c r="AJ406" i="1"/>
  <c r="AH406" i="1"/>
  <c r="AG406" i="1"/>
  <c r="AF406" i="1"/>
  <c r="AE406" i="1"/>
  <c r="AD406" i="1"/>
  <c r="AC406" i="1"/>
  <c r="AB406" i="1"/>
  <c r="Z406" i="1"/>
  <c r="J406" i="1"/>
  <c r="AL406" i="1" s="1"/>
  <c r="I406" i="1"/>
  <c r="H406" i="1"/>
  <c r="BJ404" i="1"/>
  <c r="BI404" i="1"/>
  <c r="BH404" i="1"/>
  <c r="AB404" i="1" s="1"/>
  <c r="BF404" i="1"/>
  <c r="BD404" i="1"/>
  <c r="AW404" i="1"/>
  <c r="AP404" i="1"/>
  <c r="AX404" i="1" s="1"/>
  <c r="AV404" i="1" s="1"/>
  <c r="AO404" i="1"/>
  <c r="AK404" i="1"/>
  <c r="AJ404" i="1"/>
  <c r="AH404" i="1"/>
  <c r="AG404" i="1"/>
  <c r="AF404" i="1"/>
  <c r="AE404" i="1"/>
  <c r="AD404" i="1"/>
  <c r="AC404" i="1"/>
  <c r="Z404" i="1"/>
  <c r="J404" i="1"/>
  <c r="AL404" i="1" s="1"/>
  <c r="I404" i="1"/>
  <c r="H404" i="1"/>
  <c r="BJ402" i="1"/>
  <c r="BI402" i="1"/>
  <c r="BF402" i="1"/>
  <c r="BD402" i="1"/>
  <c r="AW402" i="1"/>
  <c r="AP402" i="1"/>
  <c r="AX402" i="1" s="1"/>
  <c r="AV402" i="1" s="1"/>
  <c r="AO402" i="1"/>
  <c r="BH402" i="1" s="1"/>
  <c r="AK402" i="1"/>
  <c r="AJ402" i="1"/>
  <c r="AH402" i="1"/>
  <c r="AG402" i="1"/>
  <c r="AF402" i="1"/>
  <c r="AE402" i="1"/>
  <c r="AD402" i="1"/>
  <c r="AC402" i="1"/>
  <c r="AB402" i="1"/>
  <c r="Z402" i="1"/>
  <c r="J402" i="1"/>
  <c r="AL402" i="1" s="1"/>
  <c r="I402" i="1"/>
  <c r="BJ399" i="1"/>
  <c r="BF399" i="1"/>
  <c r="BD399" i="1"/>
  <c r="AP399" i="1"/>
  <c r="AO399" i="1"/>
  <c r="AL399" i="1"/>
  <c r="AK399" i="1"/>
  <c r="AJ399" i="1"/>
  <c r="AH399" i="1"/>
  <c r="AG399" i="1"/>
  <c r="AF399" i="1"/>
  <c r="AE399" i="1"/>
  <c r="AD399" i="1"/>
  <c r="Z399" i="1"/>
  <c r="J399" i="1"/>
  <c r="BJ396" i="1"/>
  <c r="BI396" i="1"/>
  <c r="AC396" i="1" s="1"/>
  <c r="BF396" i="1"/>
  <c r="BD396" i="1"/>
  <c r="AP396" i="1"/>
  <c r="AX396" i="1" s="1"/>
  <c r="AO396" i="1"/>
  <c r="AL396" i="1"/>
  <c r="AK396" i="1"/>
  <c r="AJ396" i="1"/>
  <c r="AH396" i="1"/>
  <c r="AG396" i="1"/>
  <c r="AF396" i="1"/>
  <c r="AE396" i="1"/>
  <c r="AD396" i="1"/>
  <c r="Z396" i="1"/>
  <c r="J396" i="1"/>
  <c r="I396" i="1"/>
  <c r="H396" i="1"/>
  <c r="BJ393" i="1"/>
  <c r="BI393" i="1"/>
  <c r="AC393" i="1" s="1"/>
  <c r="BH393" i="1"/>
  <c r="BF393" i="1"/>
  <c r="BD393" i="1"/>
  <c r="AW393" i="1"/>
  <c r="AP393" i="1"/>
  <c r="AO393" i="1"/>
  <c r="AK393" i="1"/>
  <c r="AJ393" i="1"/>
  <c r="AH393" i="1"/>
  <c r="AG393" i="1"/>
  <c r="AF393" i="1"/>
  <c r="AE393" i="1"/>
  <c r="AD393" i="1"/>
  <c r="AB393" i="1"/>
  <c r="Z393" i="1"/>
  <c r="J393" i="1"/>
  <c r="H393" i="1"/>
  <c r="BJ389" i="1"/>
  <c r="BI389" i="1"/>
  <c r="BH389" i="1"/>
  <c r="BF389" i="1"/>
  <c r="BD389" i="1"/>
  <c r="AW389" i="1"/>
  <c r="BC389" i="1" s="1"/>
  <c r="AV389" i="1"/>
  <c r="AP389" i="1"/>
  <c r="AX389" i="1" s="1"/>
  <c r="AO389" i="1"/>
  <c r="AK389" i="1"/>
  <c r="AJ389" i="1"/>
  <c r="AH389" i="1"/>
  <c r="AG389" i="1"/>
  <c r="AF389" i="1"/>
  <c r="AE389" i="1"/>
  <c r="AD389" i="1"/>
  <c r="AC389" i="1"/>
  <c r="AB389" i="1"/>
  <c r="Z389" i="1"/>
  <c r="J389" i="1"/>
  <c r="AL389" i="1" s="1"/>
  <c r="I389" i="1"/>
  <c r="H389" i="1"/>
  <c r="BJ386" i="1"/>
  <c r="BF386" i="1"/>
  <c r="BD386" i="1"/>
  <c r="AP386" i="1"/>
  <c r="AO386" i="1"/>
  <c r="AL386" i="1"/>
  <c r="AU385" i="1" s="1"/>
  <c r="AK386" i="1"/>
  <c r="AT385" i="1" s="1"/>
  <c r="AJ386" i="1"/>
  <c r="AS385" i="1" s="1"/>
  <c r="AH386" i="1"/>
  <c r="AG386" i="1"/>
  <c r="AF386" i="1"/>
  <c r="AE386" i="1"/>
  <c r="AD386" i="1"/>
  <c r="Z386" i="1"/>
  <c r="J386" i="1"/>
  <c r="J385" i="1"/>
  <c r="BJ383" i="1"/>
  <c r="BI383" i="1"/>
  <c r="AC383" i="1" s="1"/>
  <c r="BH383" i="1"/>
  <c r="AB383" i="1" s="1"/>
  <c r="BF383" i="1"/>
  <c r="BD383" i="1"/>
  <c r="AX383" i="1"/>
  <c r="AV383" i="1" s="1"/>
  <c r="AW383" i="1"/>
  <c r="AP383" i="1"/>
  <c r="I383" i="1" s="1"/>
  <c r="AO383" i="1"/>
  <c r="H383" i="1" s="1"/>
  <c r="AK383" i="1"/>
  <c r="AJ383" i="1"/>
  <c r="AH383" i="1"/>
  <c r="AG383" i="1"/>
  <c r="AF383" i="1"/>
  <c r="AE383" i="1"/>
  <c r="AD383" i="1"/>
  <c r="Z383" i="1"/>
  <c r="J383" i="1"/>
  <c r="AL383" i="1" s="1"/>
  <c r="AU382" i="1"/>
  <c r="AT382" i="1"/>
  <c r="AS382" i="1"/>
  <c r="J382" i="1"/>
  <c r="G31" i="2" s="1"/>
  <c r="I31" i="2" s="1"/>
  <c r="I382" i="1"/>
  <c r="F31" i="2" s="1"/>
  <c r="H382" i="1"/>
  <c r="E31" i="2" s="1"/>
  <c r="BJ379" i="1"/>
  <c r="BF379" i="1"/>
  <c r="BD379" i="1"/>
  <c r="AW379" i="1"/>
  <c r="AP379" i="1"/>
  <c r="AO379" i="1"/>
  <c r="AL379" i="1"/>
  <c r="AK379" i="1"/>
  <c r="AJ379" i="1"/>
  <c r="AH379" i="1"/>
  <c r="AG379" i="1"/>
  <c r="AF379" i="1"/>
  <c r="AE379" i="1"/>
  <c r="AD379" i="1"/>
  <c r="Z379" i="1"/>
  <c r="J379" i="1"/>
  <c r="BJ375" i="1"/>
  <c r="BF375" i="1"/>
  <c r="BD375" i="1"/>
  <c r="AP375" i="1"/>
  <c r="AO375" i="1"/>
  <c r="AL375" i="1"/>
  <c r="AK375" i="1"/>
  <c r="AJ375" i="1"/>
  <c r="AS371" i="1" s="1"/>
  <c r="AH375" i="1"/>
  <c r="AG375" i="1"/>
  <c r="AF375" i="1"/>
  <c r="AE375" i="1"/>
  <c r="AD375" i="1"/>
  <c r="Z375" i="1"/>
  <c r="J375" i="1"/>
  <c r="BJ372" i="1"/>
  <c r="BF372" i="1"/>
  <c r="BD372" i="1"/>
  <c r="AP372" i="1"/>
  <c r="AO372" i="1"/>
  <c r="AL372" i="1"/>
  <c r="AK372" i="1"/>
  <c r="AJ372" i="1"/>
  <c r="AH372" i="1"/>
  <c r="AG372" i="1"/>
  <c r="AF372" i="1"/>
  <c r="AE372" i="1"/>
  <c r="AD372" i="1"/>
  <c r="Z372" i="1"/>
  <c r="J372" i="1"/>
  <c r="J371" i="1"/>
  <c r="G30" i="2" s="1"/>
  <c r="I30" i="2" s="1"/>
  <c r="BJ369" i="1"/>
  <c r="BI369" i="1"/>
  <c r="AE369" i="1" s="1"/>
  <c r="BH369" i="1"/>
  <c r="AD369" i="1" s="1"/>
  <c r="BF369" i="1"/>
  <c r="BD369" i="1"/>
  <c r="AX369" i="1"/>
  <c r="AW369" i="1"/>
  <c r="BC369" i="1" s="1"/>
  <c r="AV369" i="1"/>
  <c r="AP369" i="1"/>
  <c r="AO369" i="1"/>
  <c r="H369" i="1" s="1"/>
  <c r="H368" i="1" s="1"/>
  <c r="E29" i="2" s="1"/>
  <c r="AK369" i="1"/>
  <c r="AJ369" i="1"/>
  <c r="AS368" i="1" s="1"/>
  <c r="AH369" i="1"/>
  <c r="AG369" i="1"/>
  <c r="AF369" i="1"/>
  <c r="AC369" i="1"/>
  <c r="AB369" i="1"/>
  <c r="Z369" i="1"/>
  <c r="J369" i="1"/>
  <c r="AL369" i="1" s="1"/>
  <c r="AU368" i="1" s="1"/>
  <c r="I369" i="1"/>
  <c r="AT368" i="1"/>
  <c r="J368" i="1"/>
  <c r="G29" i="2" s="1"/>
  <c r="I29" i="2" s="1"/>
  <c r="I368" i="1"/>
  <c r="F29" i="2" s="1"/>
  <c r="BJ363" i="1"/>
  <c r="BH363" i="1"/>
  <c r="AD363" i="1" s="1"/>
  <c r="BF363" i="1"/>
  <c r="BD363" i="1"/>
  <c r="AX363" i="1"/>
  <c r="BC363" i="1" s="1"/>
  <c r="AP363" i="1"/>
  <c r="BI363" i="1" s="1"/>
  <c r="AO363" i="1"/>
  <c r="AW363" i="1" s="1"/>
  <c r="AK363" i="1"/>
  <c r="AJ363" i="1"/>
  <c r="AH363" i="1"/>
  <c r="AG363" i="1"/>
  <c r="AF363" i="1"/>
  <c r="AE363" i="1"/>
  <c r="AC363" i="1"/>
  <c r="AB363" i="1"/>
  <c r="Z363" i="1"/>
  <c r="J363" i="1"/>
  <c r="AL363" i="1" s="1"/>
  <c r="I363" i="1"/>
  <c r="H363" i="1"/>
  <c r="BJ360" i="1"/>
  <c r="BI360" i="1"/>
  <c r="AE360" i="1" s="1"/>
  <c r="BF360" i="1"/>
  <c r="BD360" i="1"/>
  <c r="AX360" i="1"/>
  <c r="AW360" i="1"/>
  <c r="AP360" i="1"/>
  <c r="AO360" i="1"/>
  <c r="AL360" i="1"/>
  <c r="AK360" i="1"/>
  <c r="AJ360" i="1"/>
  <c r="AH360" i="1"/>
  <c r="AG360" i="1"/>
  <c r="AF360" i="1"/>
  <c r="AC360" i="1"/>
  <c r="AB360" i="1"/>
  <c r="Z360" i="1"/>
  <c r="J360" i="1"/>
  <c r="I360" i="1"/>
  <c r="BJ342" i="1"/>
  <c r="BH342" i="1"/>
  <c r="AD342" i="1" s="1"/>
  <c r="BF342" i="1"/>
  <c r="BD342" i="1"/>
  <c r="AX342" i="1"/>
  <c r="AW342" i="1"/>
  <c r="AV342" i="1" s="1"/>
  <c r="AP342" i="1"/>
  <c r="BI342" i="1" s="1"/>
  <c r="AO342" i="1"/>
  <c r="AK342" i="1"/>
  <c r="AJ342" i="1"/>
  <c r="AH342" i="1"/>
  <c r="AG342" i="1"/>
  <c r="AF342" i="1"/>
  <c r="AE342" i="1"/>
  <c r="AC342" i="1"/>
  <c r="AB342" i="1"/>
  <c r="Z342" i="1"/>
  <c r="J342" i="1"/>
  <c r="AL342" i="1" s="1"/>
  <c r="I342" i="1"/>
  <c r="I341" i="1" s="1"/>
  <c r="F28" i="2" s="1"/>
  <c r="H342" i="1"/>
  <c r="AT341" i="1"/>
  <c r="AS341" i="1"/>
  <c r="BJ338" i="1"/>
  <c r="BH338" i="1"/>
  <c r="BF338" i="1"/>
  <c r="BD338" i="1"/>
  <c r="AW338" i="1"/>
  <c r="AP338" i="1"/>
  <c r="BI338" i="1" s="1"/>
  <c r="AO338" i="1"/>
  <c r="AK338" i="1"/>
  <c r="AJ338" i="1"/>
  <c r="AH338" i="1"/>
  <c r="AG338" i="1"/>
  <c r="AF338" i="1"/>
  <c r="AE338" i="1"/>
  <c r="AD338" i="1"/>
  <c r="AC338" i="1"/>
  <c r="AB338" i="1"/>
  <c r="Z338" i="1"/>
  <c r="J338" i="1"/>
  <c r="AL338" i="1" s="1"/>
  <c r="H338" i="1"/>
  <c r="BJ335" i="1"/>
  <c r="BI335" i="1"/>
  <c r="BH335" i="1"/>
  <c r="BF335" i="1"/>
  <c r="BD335" i="1"/>
  <c r="AW335" i="1"/>
  <c r="AP335" i="1"/>
  <c r="AX335" i="1" s="1"/>
  <c r="AO335" i="1"/>
  <c r="AK335" i="1"/>
  <c r="AT334" i="1" s="1"/>
  <c r="AJ335" i="1"/>
  <c r="AS334" i="1" s="1"/>
  <c r="AH335" i="1"/>
  <c r="AG335" i="1"/>
  <c r="AF335" i="1"/>
  <c r="AE335" i="1"/>
  <c r="AD335" i="1"/>
  <c r="AC335" i="1"/>
  <c r="AB335" i="1"/>
  <c r="Z335" i="1"/>
  <c r="J335" i="1"/>
  <c r="I335" i="1"/>
  <c r="H335" i="1"/>
  <c r="BJ333" i="1"/>
  <c r="BF333" i="1"/>
  <c r="BD333" i="1"/>
  <c r="AP333" i="1"/>
  <c r="AO333" i="1"/>
  <c r="AL333" i="1"/>
  <c r="AK333" i="1"/>
  <c r="AJ333" i="1"/>
  <c r="AH333" i="1"/>
  <c r="AG333" i="1"/>
  <c r="AF333" i="1"/>
  <c r="AE333" i="1"/>
  <c r="AD333" i="1"/>
  <c r="AC333" i="1"/>
  <c r="AB333" i="1"/>
  <c r="Z333" i="1"/>
  <c r="J333" i="1"/>
  <c r="BJ326" i="1"/>
  <c r="BF326" i="1"/>
  <c r="BD326" i="1"/>
  <c r="AX326" i="1"/>
  <c r="AP326" i="1"/>
  <c r="AO326" i="1"/>
  <c r="AL326" i="1"/>
  <c r="AK326" i="1"/>
  <c r="AJ326" i="1"/>
  <c r="AH326" i="1"/>
  <c r="AG326" i="1"/>
  <c r="AF326" i="1"/>
  <c r="AC326" i="1"/>
  <c r="AB326" i="1"/>
  <c r="Z326" i="1"/>
  <c r="J326" i="1"/>
  <c r="BJ321" i="1"/>
  <c r="BF321" i="1"/>
  <c r="BD321" i="1"/>
  <c r="AX321" i="1"/>
  <c r="AW321" i="1"/>
  <c r="AV321" i="1" s="1"/>
  <c r="AP321" i="1"/>
  <c r="AO321" i="1"/>
  <c r="AK321" i="1"/>
  <c r="AJ321" i="1"/>
  <c r="AH321" i="1"/>
  <c r="AG321" i="1"/>
  <c r="AF321" i="1"/>
  <c r="AC321" i="1"/>
  <c r="AB321" i="1"/>
  <c r="Z321" i="1"/>
  <c r="J321" i="1"/>
  <c r="AL321" i="1" s="1"/>
  <c r="BJ319" i="1"/>
  <c r="BI319" i="1"/>
  <c r="AE319" i="1" s="1"/>
  <c r="BH319" i="1"/>
  <c r="AD319" i="1" s="1"/>
  <c r="BF319" i="1"/>
  <c r="BD319" i="1"/>
  <c r="AX319" i="1"/>
  <c r="BC319" i="1" s="1"/>
  <c r="AP319" i="1"/>
  <c r="AO319" i="1"/>
  <c r="AW319" i="1" s="1"/>
  <c r="AK319" i="1"/>
  <c r="AJ319" i="1"/>
  <c r="AH319" i="1"/>
  <c r="AG319" i="1"/>
  <c r="AF319" i="1"/>
  <c r="AC319" i="1"/>
  <c r="AB319" i="1"/>
  <c r="Z319" i="1"/>
  <c r="J319" i="1"/>
  <c r="AL319" i="1" s="1"/>
  <c r="I319" i="1"/>
  <c r="H319" i="1"/>
  <c r="BJ313" i="1"/>
  <c r="BI313" i="1"/>
  <c r="AE313" i="1" s="1"/>
  <c r="BF313" i="1"/>
  <c r="BD313" i="1"/>
  <c r="AP313" i="1"/>
  <c r="AX313" i="1" s="1"/>
  <c r="AO313" i="1"/>
  <c r="AL313" i="1"/>
  <c r="AK313" i="1"/>
  <c r="AJ313" i="1"/>
  <c r="AH313" i="1"/>
  <c r="AG313" i="1"/>
  <c r="AF313" i="1"/>
  <c r="AC313" i="1"/>
  <c r="AB313" i="1"/>
  <c r="Z313" i="1"/>
  <c r="J313" i="1"/>
  <c r="I313" i="1"/>
  <c r="BJ308" i="1"/>
  <c r="BF308" i="1"/>
  <c r="BD308" i="1"/>
  <c r="AW308" i="1"/>
  <c r="AP308" i="1"/>
  <c r="AO308" i="1"/>
  <c r="AL308" i="1"/>
  <c r="AK308" i="1"/>
  <c r="AJ308" i="1"/>
  <c r="AH308" i="1"/>
  <c r="AG308" i="1"/>
  <c r="AF308" i="1"/>
  <c r="AC308" i="1"/>
  <c r="AB308" i="1"/>
  <c r="Z308" i="1"/>
  <c r="J308" i="1"/>
  <c r="BJ299" i="1"/>
  <c r="BF299" i="1"/>
  <c r="BD299" i="1"/>
  <c r="AX299" i="1"/>
  <c r="AW299" i="1"/>
  <c r="BC299" i="1" s="1"/>
  <c r="AP299" i="1"/>
  <c r="AO299" i="1"/>
  <c r="H299" i="1" s="1"/>
  <c r="AL299" i="1"/>
  <c r="AK299" i="1"/>
  <c r="AJ299" i="1"/>
  <c r="AH299" i="1"/>
  <c r="AG299" i="1"/>
  <c r="AF299" i="1"/>
  <c r="AC299" i="1"/>
  <c r="AB299" i="1"/>
  <c r="Z299" i="1"/>
  <c r="J299" i="1"/>
  <c r="BJ292" i="1"/>
  <c r="BI292" i="1"/>
  <c r="AE292" i="1" s="1"/>
  <c r="BH292" i="1"/>
  <c r="AD292" i="1" s="1"/>
  <c r="BF292" i="1"/>
  <c r="BD292" i="1"/>
  <c r="AX292" i="1"/>
  <c r="BC292" i="1" s="1"/>
  <c r="AP292" i="1"/>
  <c r="I292" i="1" s="1"/>
  <c r="AO292" i="1"/>
  <c r="AW292" i="1" s="1"/>
  <c r="AV292" i="1" s="1"/>
  <c r="AL292" i="1"/>
  <c r="AK292" i="1"/>
  <c r="AJ292" i="1"/>
  <c r="AH292" i="1"/>
  <c r="AG292" i="1"/>
  <c r="AF292" i="1"/>
  <c r="AC292" i="1"/>
  <c r="AB292" i="1"/>
  <c r="Z292" i="1"/>
  <c r="J292" i="1"/>
  <c r="BJ287" i="1"/>
  <c r="BI287" i="1"/>
  <c r="AE287" i="1" s="1"/>
  <c r="BF287" i="1"/>
  <c r="BD287" i="1"/>
  <c r="AP287" i="1"/>
  <c r="I287" i="1" s="1"/>
  <c r="AO287" i="1"/>
  <c r="BH287" i="1" s="1"/>
  <c r="AD287" i="1" s="1"/>
  <c r="AL287" i="1"/>
  <c r="AK287" i="1"/>
  <c r="AJ287" i="1"/>
  <c r="AH287" i="1"/>
  <c r="AG287" i="1"/>
  <c r="AF287" i="1"/>
  <c r="AC287" i="1"/>
  <c r="AB287" i="1"/>
  <c r="Z287" i="1"/>
  <c r="J287" i="1"/>
  <c r="BJ283" i="1"/>
  <c r="BI283" i="1"/>
  <c r="AE283" i="1" s="1"/>
  <c r="BH283" i="1"/>
  <c r="AD283" i="1" s="1"/>
  <c r="BF283" i="1"/>
  <c r="BD283" i="1"/>
  <c r="AP283" i="1"/>
  <c r="I283" i="1" s="1"/>
  <c r="AO283" i="1"/>
  <c r="AW283" i="1" s="1"/>
  <c r="AK283" i="1"/>
  <c r="AJ283" i="1"/>
  <c r="AH283" i="1"/>
  <c r="AG283" i="1"/>
  <c r="AF283" i="1"/>
  <c r="AC283" i="1"/>
  <c r="AB283" i="1"/>
  <c r="Z283" i="1"/>
  <c r="J283" i="1"/>
  <c r="AL283" i="1" s="1"/>
  <c r="H283" i="1"/>
  <c r="BJ278" i="1"/>
  <c r="BI278" i="1"/>
  <c r="AE278" i="1" s="1"/>
  <c r="BH278" i="1"/>
  <c r="AD278" i="1" s="1"/>
  <c r="BF278" i="1"/>
  <c r="BD278" i="1"/>
  <c r="AX278" i="1"/>
  <c r="AP278" i="1"/>
  <c r="AO278" i="1"/>
  <c r="AK278" i="1"/>
  <c r="AJ278" i="1"/>
  <c r="AH278" i="1"/>
  <c r="AG278" i="1"/>
  <c r="AF278" i="1"/>
  <c r="AC278" i="1"/>
  <c r="AB278" i="1"/>
  <c r="Z278" i="1"/>
  <c r="J278" i="1"/>
  <c r="I278" i="1"/>
  <c r="BJ276" i="1"/>
  <c r="Z276" i="1" s="1"/>
  <c r="BH276" i="1"/>
  <c r="BF276" i="1"/>
  <c r="BD276" i="1"/>
  <c r="AP276" i="1"/>
  <c r="BI276" i="1" s="1"/>
  <c r="AO276" i="1"/>
  <c r="AW276" i="1" s="1"/>
  <c r="AL276" i="1"/>
  <c r="AK276" i="1"/>
  <c r="AJ276" i="1"/>
  <c r="AH276" i="1"/>
  <c r="AG276" i="1"/>
  <c r="AF276" i="1"/>
  <c r="AE276" i="1"/>
  <c r="AD276" i="1"/>
  <c r="AC276" i="1"/>
  <c r="AB276" i="1"/>
  <c r="J276" i="1"/>
  <c r="I276" i="1"/>
  <c r="H276" i="1"/>
  <c r="BJ271" i="1"/>
  <c r="BI271" i="1"/>
  <c r="AE271" i="1" s="1"/>
  <c r="BF271" i="1"/>
  <c r="BD271" i="1"/>
  <c r="AW271" i="1"/>
  <c r="AP271" i="1"/>
  <c r="AX271" i="1" s="1"/>
  <c r="AO271" i="1"/>
  <c r="BH271" i="1" s="1"/>
  <c r="AD271" i="1" s="1"/>
  <c r="AL271" i="1"/>
  <c r="AK271" i="1"/>
  <c r="AJ271" i="1"/>
  <c r="AH271" i="1"/>
  <c r="AG271" i="1"/>
  <c r="AF271" i="1"/>
  <c r="AC271" i="1"/>
  <c r="AB271" i="1"/>
  <c r="Z271" i="1"/>
  <c r="J271" i="1"/>
  <c r="I271" i="1"/>
  <c r="H271" i="1"/>
  <c r="BJ267" i="1"/>
  <c r="BI267" i="1"/>
  <c r="AE267" i="1" s="1"/>
  <c r="BH267" i="1"/>
  <c r="BF267" i="1"/>
  <c r="BD267" i="1"/>
  <c r="AX267" i="1"/>
  <c r="AP267" i="1"/>
  <c r="AO267" i="1"/>
  <c r="AW267" i="1" s="1"/>
  <c r="AV267" i="1" s="1"/>
  <c r="AK267" i="1"/>
  <c r="AJ267" i="1"/>
  <c r="AH267" i="1"/>
  <c r="AG267" i="1"/>
  <c r="AF267" i="1"/>
  <c r="AD267" i="1"/>
  <c r="AC267" i="1"/>
  <c r="AB267" i="1"/>
  <c r="Z267" i="1"/>
  <c r="J267" i="1"/>
  <c r="AL267" i="1" s="1"/>
  <c r="I267" i="1"/>
  <c r="H267" i="1"/>
  <c r="BJ262" i="1"/>
  <c r="BI262" i="1"/>
  <c r="BF262" i="1"/>
  <c r="BD262" i="1"/>
  <c r="AP262" i="1"/>
  <c r="AX262" i="1" s="1"/>
  <c r="AO262" i="1"/>
  <c r="AW262" i="1" s="1"/>
  <c r="AK262" i="1"/>
  <c r="AJ262" i="1"/>
  <c r="AH262" i="1"/>
  <c r="AG262" i="1"/>
  <c r="AF262" i="1"/>
  <c r="AE262" i="1"/>
  <c r="AC262" i="1"/>
  <c r="AB262" i="1"/>
  <c r="Z262" i="1"/>
  <c r="J262" i="1"/>
  <c r="AL262" i="1" s="1"/>
  <c r="I262" i="1"/>
  <c r="BJ257" i="1"/>
  <c r="BF257" i="1"/>
  <c r="BD257" i="1"/>
  <c r="AP257" i="1"/>
  <c r="AX257" i="1" s="1"/>
  <c r="AO257" i="1"/>
  <c r="AL257" i="1"/>
  <c r="AK257" i="1"/>
  <c r="AJ257" i="1"/>
  <c r="AH257" i="1"/>
  <c r="AG257" i="1"/>
  <c r="AF257" i="1"/>
  <c r="AC257" i="1"/>
  <c r="AB257" i="1"/>
  <c r="Z257" i="1"/>
  <c r="J257" i="1"/>
  <c r="BJ255" i="1"/>
  <c r="BF255" i="1"/>
  <c r="BD255" i="1"/>
  <c r="AX255" i="1"/>
  <c r="AP255" i="1"/>
  <c r="BI255" i="1" s="1"/>
  <c r="AO255" i="1"/>
  <c r="AL255" i="1"/>
  <c r="AK255" i="1"/>
  <c r="AJ255" i="1"/>
  <c r="AH255" i="1"/>
  <c r="AG255" i="1"/>
  <c r="AF255" i="1"/>
  <c r="AE255" i="1"/>
  <c r="AC255" i="1"/>
  <c r="AB255" i="1"/>
  <c r="Z255" i="1"/>
  <c r="J255" i="1"/>
  <c r="I255" i="1"/>
  <c r="BJ252" i="1"/>
  <c r="BF252" i="1"/>
  <c r="BD252" i="1"/>
  <c r="AP252" i="1"/>
  <c r="AO252" i="1"/>
  <c r="AK252" i="1"/>
  <c r="AJ252" i="1"/>
  <c r="AH252" i="1"/>
  <c r="AG252" i="1"/>
  <c r="AF252" i="1"/>
  <c r="AC252" i="1"/>
  <c r="AB252" i="1"/>
  <c r="Z252" i="1"/>
  <c r="J252" i="1"/>
  <c r="AL252" i="1" s="1"/>
  <c r="BJ247" i="1"/>
  <c r="BF247" i="1"/>
  <c r="BD247" i="1"/>
  <c r="AP247" i="1"/>
  <c r="AO247" i="1"/>
  <c r="AK247" i="1"/>
  <c r="AJ247" i="1"/>
  <c r="AH247" i="1"/>
  <c r="AG247" i="1"/>
  <c r="AF247" i="1"/>
  <c r="AC247" i="1"/>
  <c r="AB247" i="1"/>
  <c r="Z247" i="1"/>
  <c r="J247" i="1"/>
  <c r="AL247" i="1" s="1"/>
  <c r="BJ245" i="1"/>
  <c r="Z245" i="1" s="1"/>
  <c r="BF245" i="1"/>
  <c r="BD245" i="1"/>
  <c r="AP245" i="1"/>
  <c r="AO245" i="1"/>
  <c r="AL245" i="1"/>
  <c r="AK245" i="1"/>
  <c r="AJ245" i="1"/>
  <c r="AH245" i="1"/>
  <c r="AG245" i="1"/>
  <c r="AF245" i="1"/>
  <c r="AE245" i="1"/>
  <c r="AD245" i="1"/>
  <c r="AC245" i="1"/>
  <c r="AB245" i="1"/>
  <c r="J245" i="1"/>
  <c r="BJ241" i="1"/>
  <c r="BH241" i="1"/>
  <c r="AD241" i="1" s="1"/>
  <c r="BF241" i="1"/>
  <c r="BD241" i="1"/>
  <c r="AW241" i="1"/>
  <c r="AP241" i="1"/>
  <c r="AO241" i="1"/>
  <c r="AL241" i="1"/>
  <c r="AK241" i="1"/>
  <c r="AJ241" i="1"/>
  <c r="AH241" i="1"/>
  <c r="AG241" i="1"/>
  <c r="AF241" i="1"/>
  <c r="AC241" i="1"/>
  <c r="AB241" i="1"/>
  <c r="Z241" i="1"/>
  <c r="J241" i="1"/>
  <c r="H241" i="1"/>
  <c r="BJ236" i="1"/>
  <c r="BI236" i="1"/>
  <c r="AE236" i="1" s="1"/>
  <c r="BF236" i="1"/>
  <c r="BD236" i="1"/>
  <c r="AP236" i="1"/>
  <c r="I236" i="1" s="1"/>
  <c r="AO236" i="1"/>
  <c r="H236" i="1" s="1"/>
  <c r="AK236" i="1"/>
  <c r="AJ236" i="1"/>
  <c r="AH236" i="1"/>
  <c r="AG236" i="1"/>
  <c r="AF236" i="1"/>
  <c r="AC236" i="1"/>
  <c r="AB236" i="1"/>
  <c r="Z236" i="1"/>
  <c r="J236" i="1"/>
  <c r="AL236" i="1" s="1"/>
  <c r="BJ230" i="1"/>
  <c r="BH230" i="1"/>
  <c r="AD230" i="1" s="1"/>
  <c r="BF230" i="1"/>
  <c r="BD230" i="1"/>
  <c r="AW230" i="1"/>
  <c r="BC230" i="1" s="1"/>
  <c r="AP230" i="1"/>
  <c r="AX230" i="1" s="1"/>
  <c r="AV230" i="1" s="1"/>
  <c r="AO230" i="1"/>
  <c r="AK230" i="1"/>
  <c r="AJ230" i="1"/>
  <c r="AH230" i="1"/>
  <c r="AG230" i="1"/>
  <c r="AF230" i="1"/>
  <c r="AC230" i="1"/>
  <c r="AB230" i="1"/>
  <c r="Z230" i="1"/>
  <c r="J230" i="1"/>
  <c r="AL230" i="1" s="1"/>
  <c r="H230" i="1"/>
  <c r="BJ224" i="1"/>
  <c r="BH224" i="1"/>
  <c r="AD224" i="1" s="1"/>
  <c r="BF224" i="1"/>
  <c r="BD224" i="1"/>
  <c r="AX224" i="1"/>
  <c r="BC224" i="1" s="1"/>
  <c r="AP224" i="1"/>
  <c r="BI224" i="1" s="1"/>
  <c r="AO224" i="1"/>
  <c r="AW224" i="1" s="1"/>
  <c r="AK224" i="1"/>
  <c r="AJ224" i="1"/>
  <c r="AH224" i="1"/>
  <c r="AG224" i="1"/>
  <c r="AF224" i="1"/>
  <c r="AE224" i="1"/>
  <c r="AC224" i="1"/>
  <c r="AB224" i="1"/>
  <c r="Z224" i="1"/>
  <c r="J224" i="1"/>
  <c r="AL224" i="1" s="1"/>
  <c r="I224" i="1"/>
  <c r="H224" i="1"/>
  <c r="BJ222" i="1"/>
  <c r="BI222" i="1"/>
  <c r="AE222" i="1" s="1"/>
  <c r="BH222" i="1"/>
  <c r="BF222" i="1"/>
  <c r="BD222" i="1"/>
  <c r="AW222" i="1"/>
  <c r="AP222" i="1"/>
  <c r="I222" i="1" s="1"/>
  <c r="AO222" i="1"/>
  <c r="AL222" i="1"/>
  <c r="AK222" i="1"/>
  <c r="AJ222" i="1"/>
  <c r="AH222" i="1"/>
  <c r="AG222" i="1"/>
  <c r="AF222" i="1"/>
  <c r="AD222" i="1"/>
  <c r="AC222" i="1"/>
  <c r="AB222" i="1"/>
  <c r="Z222" i="1"/>
  <c r="J222" i="1"/>
  <c r="H222" i="1"/>
  <c r="BJ218" i="1"/>
  <c r="BI218" i="1"/>
  <c r="AE218" i="1" s="1"/>
  <c r="BH218" i="1"/>
  <c r="AD218" i="1" s="1"/>
  <c r="BF218" i="1"/>
  <c r="BD218" i="1"/>
  <c r="AW218" i="1"/>
  <c r="AP218" i="1"/>
  <c r="AX218" i="1" s="1"/>
  <c r="AV218" i="1" s="1"/>
  <c r="AO218" i="1"/>
  <c r="AK218" i="1"/>
  <c r="AJ218" i="1"/>
  <c r="AH218" i="1"/>
  <c r="AG218" i="1"/>
  <c r="AF218" i="1"/>
  <c r="AC218" i="1"/>
  <c r="AB218" i="1"/>
  <c r="Z218" i="1"/>
  <c r="J218" i="1"/>
  <c r="AL218" i="1" s="1"/>
  <c r="I218" i="1"/>
  <c r="H218" i="1"/>
  <c r="BJ214" i="1"/>
  <c r="BF214" i="1"/>
  <c r="BD214" i="1"/>
  <c r="AP214" i="1"/>
  <c r="AX214" i="1" s="1"/>
  <c r="AO214" i="1"/>
  <c r="AL214" i="1"/>
  <c r="AK214" i="1"/>
  <c r="AJ214" i="1"/>
  <c r="AH214" i="1"/>
  <c r="AG214" i="1"/>
  <c r="AF214" i="1"/>
  <c r="AC214" i="1"/>
  <c r="AB214" i="1"/>
  <c r="Z214" i="1"/>
  <c r="J214" i="1"/>
  <c r="BJ209" i="1"/>
  <c r="BF209" i="1"/>
  <c r="BD209" i="1"/>
  <c r="AW209" i="1"/>
  <c r="AP209" i="1"/>
  <c r="AO209" i="1"/>
  <c r="AK209" i="1"/>
  <c r="AJ209" i="1"/>
  <c r="AH209" i="1"/>
  <c r="AG209" i="1"/>
  <c r="AF209" i="1"/>
  <c r="AC209" i="1"/>
  <c r="AB209" i="1"/>
  <c r="Z209" i="1"/>
  <c r="J209" i="1"/>
  <c r="AL209" i="1" s="1"/>
  <c r="BJ204" i="1"/>
  <c r="BH204" i="1"/>
  <c r="AD204" i="1" s="1"/>
  <c r="BF204" i="1"/>
  <c r="BD204" i="1"/>
  <c r="AW204" i="1"/>
  <c r="AP204" i="1"/>
  <c r="AO204" i="1"/>
  <c r="AL204" i="1"/>
  <c r="AK204" i="1"/>
  <c r="AJ204" i="1"/>
  <c r="AH204" i="1"/>
  <c r="AG204" i="1"/>
  <c r="AF204" i="1"/>
  <c r="AC204" i="1"/>
  <c r="AB204" i="1"/>
  <c r="Z204" i="1"/>
  <c r="J204" i="1"/>
  <c r="H204" i="1"/>
  <c r="BJ197" i="1"/>
  <c r="BF197" i="1"/>
  <c r="BD197" i="1"/>
  <c r="AP197" i="1"/>
  <c r="AX197" i="1" s="1"/>
  <c r="AO197" i="1"/>
  <c r="AK197" i="1"/>
  <c r="AJ197" i="1"/>
  <c r="AH197" i="1"/>
  <c r="AG197" i="1"/>
  <c r="AF197" i="1"/>
  <c r="AC197" i="1"/>
  <c r="AB197" i="1"/>
  <c r="Z197" i="1"/>
  <c r="J197" i="1"/>
  <c r="AL197" i="1" s="1"/>
  <c r="BJ195" i="1"/>
  <c r="BI195" i="1"/>
  <c r="BH195" i="1"/>
  <c r="BF195" i="1"/>
  <c r="BD195" i="1"/>
  <c r="AX195" i="1"/>
  <c r="AW195" i="1"/>
  <c r="BC195" i="1" s="1"/>
  <c r="AV195" i="1"/>
  <c r="AP195" i="1"/>
  <c r="AO195" i="1"/>
  <c r="AK195" i="1"/>
  <c r="AJ195" i="1"/>
  <c r="AH195" i="1"/>
  <c r="AG195" i="1"/>
  <c r="AF195" i="1"/>
  <c r="AE195" i="1"/>
  <c r="AD195" i="1"/>
  <c r="AC195" i="1"/>
  <c r="AB195" i="1"/>
  <c r="Z195" i="1"/>
  <c r="J195" i="1"/>
  <c r="AL195" i="1" s="1"/>
  <c r="I195" i="1"/>
  <c r="H195" i="1"/>
  <c r="BJ194" i="1"/>
  <c r="BI194" i="1"/>
  <c r="AE194" i="1" s="1"/>
  <c r="BH194" i="1"/>
  <c r="AD194" i="1" s="1"/>
  <c r="BF194" i="1"/>
  <c r="BD194" i="1"/>
  <c r="AX194" i="1"/>
  <c r="AP194" i="1"/>
  <c r="AO194" i="1"/>
  <c r="AW194" i="1" s="1"/>
  <c r="AK194" i="1"/>
  <c r="AJ194" i="1"/>
  <c r="AH194" i="1"/>
  <c r="AG194" i="1"/>
  <c r="AF194" i="1"/>
  <c r="AC194" i="1"/>
  <c r="AB194" i="1"/>
  <c r="Z194" i="1"/>
  <c r="J194" i="1"/>
  <c r="AL194" i="1" s="1"/>
  <c r="I194" i="1"/>
  <c r="H194" i="1"/>
  <c r="BJ192" i="1"/>
  <c r="BI192" i="1"/>
  <c r="BH192" i="1"/>
  <c r="BF192" i="1"/>
  <c r="BD192" i="1"/>
  <c r="BC192" i="1"/>
  <c r="AX192" i="1"/>
  <c r="AW192" i="1"/>
  <c r="AV192" i="1"/>
  <c r="AP192" i="1"/>
  <c r="I192" i="1" s="1"/>
  <c r="AO192" i="1"/>
  <c r="AL192" i="1"/>
  <c r="AK192" i="1"/>
  <c r="AJ192" i="1"/>
  <c r="AH192" i="1"/>
  <c r="AG192" i="1"/>
  <c r="AF192" i="1"/>
  <c r="AE192" i="1"/>
  <c r="AD192" i="1"/>
  <c r="AC192" i="1"/>
  <c r="AB192" i="1"/>
  <c r="Z192" i="1"/>
  <c r="J192" i="1"/>
  <c r="H192" i="1"/>
  <c r="BJ190" i="1"/>
  <c r="BF190" i="1"/>
  <c r="BD190" i="1"/>
  <c r="AX190" i="1"/>
  <c r="AW190" i="1"/>
  <c r="BC190" i="1" s="1"/>
  <c r="AV190" i="1"/>
  <c r="AP190" i="1"/>
  <c r="AO190" i="1"/>
  <c r="AL190" i="1"/>
  <c r="AK190" i="1"/>
  <c r="AJ190" i="1"/>
  <c r="AH190" i="1"/>
  <c r="AG190" i="1"/>
  <c r="AF190" i="1"/>
  <c r="AC190" i="1"/>
  <c r="AB190" i="1"/>
  <c r="Z190" i="1"/>
  <c r="J190" i="1"/>
  <c r="BJ187" i="1"/>
  <c r="BI187" i="1"/>
  <c r="AE187" i="1" s="1"/>
  <c r="BF187" i="1"/>
  <c r="BD187" i="1"/>
  <c r="AX187" i="1"/>
  <c r="AW187" i="1"/>
  <c r="AV187" i="1" s="1"/>
  <c r="AP187" i="1"/>
  <c r="AO187" i="1"/>
  <c r="BH187" i="1" s="1"/>
  <c r="AD187" i="1" s="1"/>
  <c r="AK187" i="1"/>
  <c r="AJ187" i="1"/>
  <c r="AH187" i="1"/>
  <c r="AG187" i="1"/>
  <c r="AF187" i="1"/>
  <c r="AC187" i="1"/>
  <c r="AB187" i="1"/>
  <c r="Z187" i="1"/>
  <c r="J187" i="1"/>
  <c r="AL187" i="1" s="1"/>
  <c r="I187" i="1"/>
  <c r="BJ186" i="1"/>
  <c r="BI186" i="1"/>
  <c r="BH186" i="1"/>
  <c r="BF186" i="1"/>
  <c r="BD186" i="1"/>
  <c r="AX186" i="1"/>
  <c r="AV186" i="1" s="1"/>
  <c r="AW186" i="1"/>
  <c r="AP186" i="1"/>
  <c r="AO186" i="1"/>
  <c r="AK186" i="1"/>
  <c r="AJ186" i="1"/>
  <c r="AH186" i="1"/>
  <c r="AG186" i="1"/>
  <c r="AF186" i="1"/>
  <c r="AE186" i="1"/>
  <c r="AD186" i="1"/>
  <c r="AC186" i="1"/>
  <c r="AB186" i="1"/>
  <c r="Z186" i="1"/>
  <c r="J186" i="1"/>
  <c r="AL186" i="1" s="1"/>
  <c r="I186" i="1"/>
  <c r="H186" i="1"/>
  <c r="BJ181" i="1"/>
  <c r="BI181" i="1"/>
  <c r="AE181" i="1" s="1"/>
  <c r="BH181" i="1"/>
  <c r="BF181" i="1"/>
  <c r="BD181" i="1"/>
  <c r="AX181" i="1"/>
  <c r="AW181" i="1"/>
  <c r="BC181" i="1" s="1"/>
  <c r="AV181" i="1"/>
  <c r="AP181" i="1"/>
  <c r="I181" i="1" s="1"/>
  <c r="AO181" i="1"/>
  <c r="AK181" i="1"/>
  <c r="AJ181" i="1"/>
  <c r="AH181" i="1"/>
  <c r="AG181" i="1"/>
  <c r="AF181" i="1"/>
  <c r="AD181" i="1"/>
  <c r="AC181" i="1"/>
  <c r="AB181" i="1"/>
  <c r="Z181" i="1"/>
  <c r="J181" i="1"/>
  <c r="AL181" i="1" s="1"/>
  <c r="H181" i="1"/>
  <c r="BJ177" i="1"/>
  <c r="BF177" i="1"/>
  <c r="BD177" i="1"/>
  <c r="AP177" i="1"/>
  <c r="AO177" i="1"/>
  <c r="AL177" i="1"/>
  <c r="AK177" i="1"/>
  <c r="AJ177" i="1"/>
  <c r="AH177" i="1"/>
  <c r="AG177" i="1"/>
  <c r="AF177" i="1"/>
  <c r="AC177" i="1"/>
  <c r="AB177" i="1"/>
  <c r="Z177" i="1"/>
  <c r="J177" i="1"/>
  <c r="BJ171" i="1"/>
  <c r="BF171" i="1"/>
  <c r="BD171" i="1"/>
  <c r="AP171" i="1"/>
  <c r="AO171" i="1"/>
  <c r="AL171" i="1"/>
  <c r="AK171" i="1"/>
  <c r="AJ171" i="1"/>
  <c r="AH171" i="1"/>
  <c r="AG171" i="1"/>
  <c r="AF171" i="1"/>
  <c r="AC171" i="1"/>
  <c r="AB171" i="1"/>
  <c r="Z171" i="1"/>
  <c r="J171" i="1"/>
  <c r="BJ165" i="1"/>
  <c r="BI165" i="1"/>
  <c r="AE165" i="1" s="1"/>
  <c r="BH165" i="1"/>
  <c r="AD165" i="1" s="1"/>
  <c r="BF165" i="1"/>
  <c r="BD165" i="1"/>
  <c r="AX165" i="1"/>
  <c r="BC165" i="1" s="1"/>
  <c r="AW165" i="1"/>
  <c r="AV165" i="1"/>
  <c r="AP165" i="1"/>
  <c r="AO165" i="1"/>
  <c r="AK165" i="1"/>
  <c r="AJ165" i="1"/>
  <c r="AH165" i="1"/>
  <c r="AG165" i="1"/>
  <c r="AF165" i="1"/>
  <c r="AC165" i="1"/>
  <c r="AB165" i="1"/>
  <c r="Z165" i="1"/>
  <c r="J165" i="1"/>
  <c r="AL165" i="1" s="1"/>
  <c r="I165" i="1"/>
  <c r="H165" i="1"/>
  <c r="BJ163" i="1"/>
  <c r="BI163" i="1"/>
  <c r="AE163" i="1" s="1"/>
  <c r="BH163" i="1"/>
  <c r="AD163" i="1" s="1"/>
  <c r="BF163" i="1"/>
  <c r="BD163" i="1"/>
  <c r="AW163" i="1"/>
  <c r="BC163" i="1" s="1"/>
  <c r="AV163" i="1"/>
  <c r="AP163" i="1"/>
  <c r="AX163" i="1" s="1"/>
  <c r="AO163" i="1"/>
  <c r="AK163" i="1"/>
  <c r="AJ163" i="1"/>
  <c r="AH163" i="1"/>
  <c r="AG163" i="1"/>
  <c r="AF163" i="1"/>
  <c r="AC163" i="1"/>
  <c r="AB163" i="1"/>
  <c r="Z163" i="1"/>
  <c r="J163" i="1"/>
  <c r="I163" i="1"/>
  <c r="H163" i="1"/>
  <c r="BJ159" i="1"/>
  <c r="BH159" i="1"/>
  <c r="AD159" i="1" s="1"/>
  <c r="BF159" i="1"/>
  <c r="BD159" i="1"/>
  <c r="AX159" i="1"/>
  <c r="AP159" i="1"/>
  <c r="BI159" i="1" s="1"/>
  <c r="AO159" i="1"/>
  <c r="AW159" i="1" s="1"/>
  <c r="AL159" i="1"/>
  <c r="AK159" i="1"/>
  <c r="AJ159" i="1"/>
  <c r="AH159" i="1"/>
  <c r="AG159" i="1"/>
  <c r="AF159" i="1"/>
  <c r="AE159" i="1"/>
  <c r="AC159" i="1"/>
  <c r="AB159" i="1"/>
  <c r="Z159" i="1"/>
  <c r="J159" i="1"/>
  <c r="I159" i="1"/>
  <c r="H159" i="1"/>
  <c r="BJ155" i="1"/>
  <c r="BI155" i="1"/>
  <c r="AE155" i="1" s="1"/>
  <c r="BF155" i="1"/>
  <c r="BD155" i="1"/>
  <c r="AW155" i="1"/>
  <c r="AP155" i="1"/>
  <c r="AX155" i="1" s="1"/>
  <c r="AO155" i="1"/>
  <c r="BH155" i="1" s="1"/>
  <c r="AL155" i="1"/>
  <c r="AK155" i="1"/>
  <c r="AJ155" i="1"/>
  <c r="AH155" i="1"/>
  <c r="AG155" i="1"/>
  <c r="AF155" i="1"/>
  <c r="AD155" i="1"/>
  <c r="AC155" i="1"/>
  <c r="AB155" i="1"/>
  <c r="Z155" i="1"/>
  <c r="J155" i="1"/>
  <c r="I155" i="1"/>
  <c r="H155" i="1"/>
  <c r="BJ153" i="1"/>
  <c r="BI153" i="1"/>
  <c r="AE153" i="1" s="1"/>
  <c r="BF153" i="1"/>
  <c r="BD153" i="1"/>
  <c r="AX153" i="1"/>
  <c r="AP153" i="1"/>
  <c r="AO153" i="1"/>
  <c r="AK153" i="1"/>
  <c r="AJ153" i="1"/>
  <c r="AH153" i="1"/>
  <c r="AG153" i="1"/>
  <c r="AF153" i="1"/>
  <c r="AC153" i="1"/>
  <c r="AB153" i="1"/>
  <c r="Z153" i="1"/>
  <c r="J153" i="1"/>
  <c r="AL153" i="1" s="1"/>
  <c r="I153" i="1"/>
  <c r="BJ151" i="1"/>
  <c r="Z151" i="1" s="1"/>
  <c r="BH151" i="1"/>
  <c r="BF151" i="1"/>
  <c r="BD151" i="1"/>
  <c r="AP151" i="1"/>
  <c r="AO151" i="1"/>
  <c r="AL151" i="1"/>
  <c r="AK151" i="1"/>
  <c r="AJ151" i="1"/>
  <c r="AH151" i="1"/>
  <c r="AG151" i="1"/>
  <c r="AF151" i="1"/>
  <c r="AE151" i="1"/>
  <c r="AD151" i="1"/>
  <c r="AC151" i="1"/>
  <c r="AB151" i="1"/>
  <c r="J151" i="1"/>
  <c r="BJ150" i="1"/>
  <c r="BI150" i="1"/>
  <c r="AE150" i="1" s="1"/>
  <c r="BH150" i="1"/>
  <c r="AD150" i="1" s="1"/>
  <c r="BF150" i="1"/>
  <c r="BD150" i="1"/>
  <c r="AP150" i="1"/>
  <c r="I150" i="1" s="1"/>
  <c r="AO150" i="1"/>
  <c r="AW150" i="1" s="1"/>
  <c r="AK150" i="1"/>
  <c r="AJ150" i="1"/>
  <c r="AH150" i="1"/>
  <c r="AG150" i="1"/>
  <c r="AF150" i="1"/>
  <c r="AC150" i="1"/>
  <c r="AB150" i="1"/>
  <c r="Z150" i="1"/>
  <c r="J150" i="1"/>
  <c r="AL150" i="1" s="1"/>
  <c r="H150" i="1"/>
  <c r="BJ148" i="1"/>
  <c r="BI148" i="1"/>
  <c r="AE148" i="1" s="1"/>
  <c r="BH148" i="1"/>
  <c r="BF148" i="1"/>
  <c r="BD148" i="1"/>
  <c r="AX148" i="1"/>
  <c r="AW148" i="1"/>
  <c r="AV148" i="1" s="1"/>
  <c r="AP148" i="1"/>
  <c r="AO148" i="1"/>
  <c r="AK148" i="1"/>
  <c r="AJ148" i="1"/>
  <c r="AH148" i="1"/>
  <c r="AG148" i="1"/>
  <c r="AF148" i="1"/>
  <c r="AD148" i="1"/>
  <c r="AC148" i="1"/>
  <c r="AB148" i="1"/>
  <c r="Z148" i="1"/>
  <c r="J148" i="1"/>
  <c r="AL148" i="1" s="1"/>
  <c r="I148" i="1"/>
  <c r="H148" i="1"/>
  <c r="BJ146" i="1"/>
  <c r="BI146" i="1"/>
  <c r="BH146" i="1"/>
  <c r="AD146" i="1" s="1"/>
  <c r="BF146" i="1"/>
  <c r="BD146" i="1"/>
  <c r="AX146" i="1"/>
  <c r="AP146" i="1"/>
  <c r="AO146" i="1"/>
  <c r="AW146" i="1" s="1"/>
  <c r="AK146" i="1"/>
  <c r="AJ146" i="1"/>
  <c r="AH146" i="1"/>
  <c r="AG146" i="1"/>
  <c r="AF146" i="1"/>
  <c r="AE146" i="1"/>
  <c r="AC146" i="1"/>
  <c r="AB146" i="1"/>
  <c r="Z146" i="1"/>
  <c r="J146" i="1"/>
  <c r="AL146" i="1" s="1"/>
  <c r="I146" i="1"/>
  <c r="H146" i="1"/>
  <c r="BJ145" i="1"/>
  <c r="BI145" i="1"/>
  <c r="BF145" i="1"/>
  <c r="BD145" i="1"/>
  <c r="AX145" i="1"/>
  <c r="AP145" i="1"/>
  <c r="AO145" i="1"/>
  <c r="AL145" i="1"/>
  <c r="AK145" i="1"/>
  <c r="AJ145" i="1"/>
  <c r="AH145" i="1"/>
  <c r="AG145" i="1"/>
  <c r="AF145" i="1"/>
  <c r="AE145" i="1"/>
  <c r="AC145" i="1"/>
  <c r="AB145" i="1"/>
  <c r="Z145" i="1"/>
  <c r="J145" i="1"/>
  <c r="I145" i="1"/>
  <c r="BJ144" i="1"/>
  <c r="BF144" i="1"/>
  <c r="BD144" i="1"/>
  <c r="AP144" i="1"/>
  <c r="AO144" i="1"/>
  <c r="AL144" i="1"/>
  <c r="AK144" i="1"/>
  <c r="AJ144" i="1"/>
  <c r="AH144" i="1"/>
  <c r="AG144" i="1"/>
  <c r="AF144" i="1"/>
  <c r="AC144" i="1"/>
  <c r="AB144" i="1"/>
  <c r="Z144" i="1"/>
  <c r="J144" i="1"/>
  <c r="BJ143" i="1"/>
  <c r="BF143" i="1"/>
  <c r="BD143" i="1"/>
  <c r="AP143" i="1"/>
  <c r="AO143" i="1"/>
  <c r="BH143" i="1" s="1"/>
  <c r="AD143" i="1" s="1"/>
  <c r="AL143" i="1"/>
  <c r="AK143" i="1"/>
  <c r="AJ143" i="1"/>
  <c r="AH143" i="1"/>
  <c r="AG143" i="1"/>
  <c r="AF143" i="1"/>
  <c r="AC143" i="1"/>
  <c r="AB143" i="1"/>
  <c r="Z143" i="1"/>
  <c r="J143" i="1"/>
  <c r="H143" i="1"/>
  <c r="BJ142" i="1"/>
  <c r="BI142" i="1"/>
  <c r="AE142" i="1" s="1"/>
  <c r="BH142" i="1"/>
  <c r="AD142" i="1" s="1"/>
  <c r="BF142" i="1"/>
  <c r="BD142" i="1"/>
  <c r="AX142" i="1"/>
  <c r="AW142" i="1"/>
  <c r="BC142" i="1" s="1"/>
  <c r="AV142" i="1"/>
  <c r="AP142" i="1"/>
  <c r="I142" i="1" s="1"/>
  <c r="AO142" i="1"/>
  <c r="AK142" i="1"/>
  <c r="AJ142" i="1"/>
  <c r="AH142" i="1"/>
  <c r="AG142" i="1"/>
  <c r="AF142" i="1"/>
  <c r="AC142" i="1"/>
  <c r="AB142" i="1"/>
  <c r="Z142" i="1"/>
  <c r="J142" i="1"/>
  <c r="AL142" i="1" s="1"/>
  <c r="H142" i="1"/>
  <c r="BJ141" i="1"/>
  <c r="BI141" i="1"/>
  <c r="AE141" i="1" s="1"/>
  <c r="BH141" i="1"/>
  <c r="AD141" i="1" s="1"/>
  <c r="BF141" i="1"/>
  <c r="BD141" i="1"/>
  <c r="AX141" i="1"/>
  <c r="AP141" i="1"/>
  <c r="AO141" i="1"/>
  <c r="AK141" i="1"/>
  <c r="AJ141" i="1"/>
  <c r="AH141" i="1"/>
  <c r="AG141" i="1"/>
  <c r="AF141" i="1"/>
  <c r="AC141" i="1"/>
  <c r="AB141" i="1"/>
  <c r="Z141" i="1"/>
  <c r="J141" i="1"/>
  <c r="AL141" i="1" s="1"/>
  <c r="I141" i="1"/>
  <c r="BJ140" i="1"/>
  <c r="BI140" i="1"/>
  <c r="AE140" i="1" s="1"/>
  <c r="BH140" i="1"/>
  <c r="BF140" i="1"/>
  <c r="BD140" i="1"/>
  <c r="AW140" i="1"/>
  <c r="AP140" i="1"/>
  <c r="AX140" i="1" s="1"/>
  <c r="AV140" i="1" s="1"/>
  <c r="AO140" i="1"/>
  <c r="H140" i="1" s="1"/>
  <c r="AK140" i="1"/>
  <c r="AJ140" i="1"/>
  <c r="AH140" i="1"/>
  <c r="AG140" i="1"/>
  <c r="AF140" i="1"/>
  <c r="AD140" i="1"/>
  <c r="AC140" i="1"/>
  <c r="AB140" i="1"/>
  <c r="Z140" i="1"/>
  <c r="J140" i="1"/>
  <c r="AL140" i="1" s="1"/>
  <c r="I140" i="1"/>
  <c r="BJ138" i="1"/>
  <c r="BI138" i="1"/>
  <c r="BF138" i="1"/>
  <c r="BD138" i="1"/>
  <c r="AW138" i="1"/>
  <c r="AP138" i="1"/>
  <c r="AX138" i="1" s="1"/>
  <c r="AO138" i="1"/>
  <c r="BH138" i="1" s="1"/>
  <c r="AK138" i="1"/>
  <c r="AJ138" i="1"/>
  <c r="AH138" i="1"/>
  <c r="AG138" i="1"/>
  <c r="AF138" i="1"/>
  <c r="AE138" i="1"/>
  <c r="AD138" i="1"/>
  <c r="AC138" i="1"/>
  <c r="AB138" i="1"/>
  <c r="Z138" i="1"/>
  <c r="J138" i="1"/>
  <c r="AL138" i="1" s="1"/>
  <c r="I138" i="1"/>
  <c r="BJ137" i="1"/>
  <c r="BI137" i="1"/>
  <c r="BF137" i="1"/>
  <c r="BD137" i="1"/>
  <c r="AX137" i="1"/>
  <c r="AP137" i="1"/>
  <c r="AO137" i="1"/>
  <c r="AL137" i="1"/>
  <c r="AK137" i="1"/>
  <c r="AJ137" i="1"/>
  <c r="AH137" i="1"/>
  <c r="AG137" i="1"/>
  <c r="AF137" i="1"/>
  <c r="AE137" i="1"/>
  <c r="AC137" i="1"/>
  <c r="AB137" i="1"/>
  <c r="Z137" i="1"/>
  <c r="J137" i="1"/>
  <c r="I137" i="1"/>
  <c r="J136" i="1"/>
  <c r="G22" i="2" s="1"/>
  <c r="I22" i="2" s="1"/>
  <c r="BJ135" i="1"/>
  <c r="Z135" i="1" s="1"/>
  <c r="BH135" i="1"/>
  <c r="BF135" i="1"/>
  <c r="BD135" i="1"/>
  <c r="AW135" i="1"/>
  <c r="AP135" i="1"/>
  <c r="BI135" i="1" s="1"/>
  <c r="AO135" i="1"/>
  <c r="AK135" i="1"/>
  <c r="AJ135" i="1"/>
  <c r="AS132" i="1" s="1"/>
  <c r="AH135" i="1"/>
  <c r="AG135" i="1"/>
  <c r="AF135" i="1"/>
  <c r="AE135" i="1"/>
  <c r="AD135" i="1"/>
  <c r="AC135" i="1"/>
  <c r="AB135" i="1"/>
  <c r="J135" i="1"/>
  <c r="AL135" i="1" s="1"/>
  <c r="H135" i="1"/>
  <c r="BJ133" i="1"/>
  <c r="BI133" i="1"/>
  <c r="BH133" i="1"/>
  <c r="BF133" i="1"/>
  <c r="BD133" i="1"/>
  <c r="BC133" i="1"/>
  <c r="AP133" i="1"/>
  <c r="AX133" i="1" s="1"/>
  <c r="AO133" i="1"/>
  <c r="AW133" i="1" s="1"/>
  <c r="AV133" i="1" s="1"/>
  <c r="AK133" i="1"/>
  <c r="AJ133" i="1"/>
  <c r="AH133" i="1"/>
  <c r="AG133" i="1"/>
  <c r="AF133" i="1"/>
  <c r="AE133" i="1"/>
  <c r="AD133" i="1"/>
  <c r="AC133" i="1"/>
  <c r="AB133" i="1"/>
  <c r="Z133" i="1"/>
  <c r="J133" i="1"/>
  <c r="I133" i="1"/>
  <c r="H133" i="1"/>
  <c r="H132" i="1" s="1"/>
  <c r="E21" i="2" s="1"/>
  <c r="AT132" i="1"/>
  <c r="BJ131" i="1"/>
  <c r="BF131" i="1"/>
  <c r="BD131" i="1"/>
  <c r="AP131" i="1"/>
  <c r="AO131" i="1"/>
  <c r="AL131" i="1"/>
  <c r="AU128" i="1" s="1"/>
  <c r="AK131" i="1"/>
  <c r="AJ131" i="1"/>
  <c r="AS128" i="1" s="1"/>
  <c r="AH131" i="1"/>
  <c r="AG131" i="1"/>
  <c r="AF131" i="1"/>
  <c r="AE131" i="1"/>
  <c r="AD131" i="1"/>
  <c r="AC131" i="1"/>
  <c r="AB131" i="1"/>
  <c r="Z131" i="1"/>
  <c r="J131" i="1"/>
  <c r="BJ129" i="1"/>
  <c r="BF129" i="1"/>
  <c r="BD129" i="1"/>
  <c r="AP129" i="1"/>
  <c r="AX129" i="1" s="1"/>
  <c r="AO129" i="1"/>
  <c r="AK129" i="1"/>
  <c r="AT128" i="1" s="1"/>
  <c r="AJ129" i="1"/>
  <c r="AH129" i="1"/>
  <c r="AG129" i="1"/>
  <c r="AF129" i="1"/>
  <c r="AC129" i="1"/>
  <c r="AB129" i="1"/>
  <c r="Z129" i="1"/>
  <c r="J129" i="1"/>
  <c r="AL129" i="1" s="1"/>
  <c r="J128" i="1"/>
  <c r="G20" i="2" s="1"/>
  <c r="I20" i="2" s="1"/>
  <c r="BJ127" i="1"/>
  <c r="BI127" i="1"/>
  <c r="BH127" i="1"/>
  <c r="BF127" i="1"/>
  <c r="BD127" i="1"/>
  <c r="AW127" i="1"/>
  <c r="BC127" i="1" s="1"/>
  <c r="AV127" i="1"/>
  <c r="AP127" i="1"/>
  <c r="AX127" i="1" s="1"/>
  <c r="AO127" i="1"/>
  <c r="AK127" i="1"/>
  <c r="AJ127" i="1"/>
  <c r="AH127" i="1"/>
  <c r="AG127" i="1"/>
  <c r="AF127" i="1"/>
  <c r="AE127" i="1"/>
  <c r="AD127" i="1"/>
  <c r="AC127" i="1"/>
  <c r="AB127" i="1"/>
  <c r="Z127" i="1"/>
  <c r="J127" i="1"/>
  <c r="AL127" i="1" s="1"/>
  <c r="I127" i="1"/>
  <c r="H127" i="1"/>
  <c r="BJ124" i="1"/>
  <c r="BH124" i="1"/>
  <c r="AD124" i="1" s="1"/>
  <c r="BF124" i="1"/>
  <c r="BD124" i="1"/>
  <c r="AP124" i="1"/>
  <c r="BI124" i="1" s="1"/>
  <c r="AO124" i="1"/>
  <c r="AW124" i="1" s="1"/>
  <c r="AK124" i="1"/>
  <c r="AT123" i="1" s="1"/>
  <c r="AJ124" i="1"/>
  <c r="AS123" i="1" s="1"/>
  <c r="AH124" i="1"/>
  <c r="AG124" i="1"/>
  <c r="AF124" i="1"/>
  <c r="AE124" i="1"/>
  <c r="AC124" i="1"/>
  <c r="AB124" i="1"/>
  <c r="Z124" i="1"/>
  <c r="J124" i="1"/>
  <c r="I124" i="1"/>
  <c r="I123" i="1" s="1"/>
  <c r="F19" i="2" s="1"/>
  <c r="H124" i="1"/>
  <c r="BJ122" i="1"/>
  <c r="BH122" i="1"/>
  <c r="BF122" i="1"/>
  <c r="BD122" i="1"/>
  <c r="AX122" i="1"/>
  <c r="AW122" i="1"/>
  <c r="BC122" i="1" s="1"/>
  <c r="AP122" i="1"/>
  <c r="BI122" i="1" s="1"/>
  <c r="AO122" i="1"/>
  <c r="AL122" i="1"/>
  <c r="AK122" i="1"/>
  <c r="AJ122" i="1"/>
  <c r="AS115" i="1" s="1"/>
  <c r="AH122" i="1"/>
  <c r="AG122" i="1"/>
  <c r="AF122" i="1"/>
  <c r="AE122" i="1"/>
  <c r="AD122" i="1"/>
  <c r="AC122" i="1"/>
  <c r="AB122" i="1"/>
  <c r="Z122" i="1"/>
  <c r="J122" i="1"/>
  <c r="I122" i="1"/>
  <c r="H122" i="1"/>
  <c r="BJ116" i="1"/>
  <c r="BI116" i="1"/>
  <c r="AE116" i="1" s="1"/>
  <c r="BF116" i="1"/>
  <c r="BD116" i="1"/>
  <c r="AP116" i="1"/>
  <c r="AX116" i="1" s="1"/>
  <c r="AO116" i="1"/>
  <c r="H116" i="1" s="1"/>
  <c r="H115" i="1" s="1"/>
  <c r="E18" i="2" s="1"/>
  <c r="AK116" i="1"/>
  <c r="AJ116" i="1"/>
  <c r="AH116" i="1"/>
  <c r="AG116" i="1"/>
  <c r="AF116" i="1"/>
  <c r="AC116" i="1"/>
  <c r="AB116" i="1"/>
  <c r="Z116" i="1"/>
  <c r="J116" i="1"/>
  <c r="AL116" i="1" s="1"/>
  <c r="AU115" i="1"/>
  <c r="J115" i="1"/>
  <c r="G18" i="2" s="1"/>
  <c r="I18" i="2" s="1"/>
  <c r="BJ114" i="1"/>
  <c r="BI114" i="1"/>
  <c r="BF114" i="1"/>
  <c r="BD114" i="1"/>
  <c r="AX114" i="1"/>
  <c r="AP114" i="1"/>
  <c r="AO114" i="1"/>
  <c r="AL114" i="1"/>
  <c r="AK114" i="1"/>
  <c r="AJ114" i="1"/>
  <c r="AH114" i="1"/>
  <c r="AG114" i="1"/>
  <c r="AF114" i="1"/>
  <c r="AE114" i="1"/>
  <c r="AD114" i="1"/>
  <c r="AC114" i="1"/>
  <c r="Z114" i="1"/>
  <c r="J114" i="1"/>
  <c r="I114" i="1"/>
  <c r="BJ113" i="1"/>
  <c r="BH113" i="1"/>
  <c r="BF113" i="1"/>
  <c r="BD113" i="1"/>
  <c r="AW113" i="1"/>
  <c r="AP113" i="1"/>
  <c r="AO113" i="1"/>
  <c r="H113" i="1" s="1"/>
  <c r="AL113" i="1"/>
  <c r="AK113" i="1"/>
  <c r="AJ113" i="1"/>
  <c r="AH113" i="1"/>
  <c r="AG113" i="1"/>
  <c r="AF113" i="1"/>
  <c r="AE113" i="1"/>
  <c r="AD113" i="1"/>
  <c r="AB113" i="1"/>
  <c r="Z113" i="1"/>
  <c r="J113" i="1"/>
  <c r="BJ112" i="1"/>
  <c r="BI112" i="1"/>
  <c r="AC112" i="1" s="1"/>
  <c r="BH112" i="1"/>
  <c r="AB112" i="1" s="1"/>
  <c r="BF112" i="1"/>
  <c r="BD112" i="1"/>
  <c r="AW112" i="1"/>
  <c r="AP112" i="1"/>
  <c r="AX112" i="1" s="1"/>
  <c r="AV112" i="1" s="1"/>
  <c r="AO112" i="1"/>
  <c r="AL112" i="1"/>
  <c r="AK112" i="1"/>
  <c r="AJ112" i="1"/>
  <c r="AH112" i="1"/>
  <c r="AG112" i="1"/>
  <c r="AF112" i="1"/>
  <c r="AE112" i="1"/>
  <c r="AD112" i="1"/>
  <c r="Z112" i="1"/>
  <c r="J112" i="1"/>
  <c r="I112" i="1"/>
  <c r="H112" i="1"/>
  <c r="BJ110" i="1"/>
  <c r="BI110" i="1"/>
  <c r="BH110" i="1"/>
  <c r="AB110" i="1" s="1"/>
  <c r="BF110" i="1"/>
  <c r="BD110" i="1"/>
  <c r="AX110" i="1"/>
  <c r="BC110" i="1" s="1"/>
  <c r="AW110" i="1"/>
  <c r="AP110" i="1"/>
  <c r="AO110" i="1"/>
  <c r="AK110" i="1"/>
  <c r="AJ110" i="1"/>
  <c r="AH110" i="1"/>
  <c r="AG110" i="1"/>
  <c r="AF110" i="1"/>
  <c r="AE110" i="1"/>
  <c r="AD110" i="1"/>
  <c r="AC110" i="1"/>
  <c r="Z110" i="1"/>
  <c r="J110" i="1"/>
  <c r="AL110" i="1" s="1"/>
  <c r="I110" i="1"/>
  <c r="H110" i="1"/>
  <c r="BJ108" i="1"/>
  <c r="BI108" i="1"/>
  <c r="BH108" i="1"/>
  <c r="BF108" i="1"/>
  <c r="BD108" i="1"/>
  <c r="AX108" i="1"/>
  <c r="AP108" i="1"/>
  <c r="AO108" i="1"/>
  <c r="AW108" i="1" s="1"/>
  <c r="AK108" i="1"/>
  <c r="AJ108" i="1"/>
  <c r="AH108" i="1"/>
  <c r="AG108" i="1"/>
  <c r="AF108" i="1"/>
  <c r="AE108" i="1"/>
  <c r="AD108" i="1"/>
  <c r="AC108" i="1"/>
  <c r="AB108" i="1"/>
  <c r="Z108" i="1"/>
  <c r="J108" i="1"/>
  <c r="I108" i="1"/>
  <c r="H108" i="1"/>
  <c r="BJ106" i="1"/>
  <c r="BH106" i="1"/>
  <c r="AB106" i="1" s="1"/>
  <c r="BF106" i="1"/>
  <c r="BD106" i="1"/>
  <c r="AW106" i="1"/>
  <c r="AP106" i="1"/>
  <c r="AO106" i="1"/>
  <c r="H106" i="1" s="1"/>
  <c r="AL106" i="1"/>
  <c r="AK106" i="1"/>
  <c r="AT105" i="1" s="1"/>
  <c r="AJ106" i="1"/>
  <c r="AS105" i="1" s="1"/>
  <c r="AH106" i="1"/>
  <c r="AG106" i="1"/>
  <c r="AF106" i="1"/>
  <c r="AE106" i="1"/>
  <c r="AD106" i="1"/>
  <c r="Z106" i="1"/>
  <c r="J106" i="1"/>
  <c r="BJ99" i="1"/>
  <c r="BF99" i="1"/>
  <c r="BD99" i="1"/>
  <c r="AP99" i="1"/>
  <c r="I99" i="1" s="1"/>
  <c r="I98" i="1" s="1"/>
  <c r="F16" i="2" s="1"/>
  <c r="AO99" i="1"/>
  <c r="H99" i="1" s="1"/>
  <c r="H98" i="1" s="1"/>
  <c r="E16" i="2" s="1"/>
  <c r="AK99" i="1"/>
  <c r="AJ99" i="1"/>
  <c r="AH99" i="1"/>
  <c r="AG99" i="1"/>
  <c r="AF99" i="1"/>
  <c r="AE99" i="1"/>
  <c r="AD99" i="1"/>
  <c r="Z99" i="1"/>
  <c r="J99" i="1"/>
  <c r="AL99" i="1" s="1"/>
  <c r="AU98" i="1"/>
  <c r="AT98" i="1"/>
  <c r="AS98" i="1"/>
  <c r="J98" i="1"/>
  <c r="G16" i="2" s="1"/>
  <c r="I16" i="2" s="1"/>
  <c r="BJ95" i="1"/>
  <c r="BF95" i="1"/>
  <c r="BD95" i="1"/>
  <c r="AX95" i="1"/>
  <c r="AW95" i="1"/>
  <c r="AV95" i="1" s="1"/>
  <c r="AP95" i="1"/>
  <c r="BI95" i="1" s="1"/>
  <c r="AO95" i="1"/>
  <c r="BH95" i="1" s="1"/>
  <c r="AL95" i="1"/>
  <c r="AK95" i="1"/>
  <c r="AJ95" i="1"/>
  <c r="AH95" i="1"/>
  <c r="AG95" i="1"/>
  <c r="AF95" i="1"/>
  <c r="AE95" i="1"/>
  <c r="AD95" i="1"/>
  <c r="AC95" i="1"/>
  <c r="AB95" i="1"/>
  <c r="Z95" i="1"/>
  <c r="J95" i="1"/>
  <c r="BJ93" i="1"/>
  <c r="BF93" i="1"/>
  <c r="BD93" i="1"/>
  <c r="AX93" i="1"/>
  <c r="AW93" i="1"/>
  <c r="BC93" i="1" s="1"/>
  <c r="AV93" i="1"/>
  <c r="AP93" i="1"/>
  <c r="AO93" i="1"/>
  <c r="AL93" i="1"/>
  <c r="AK93" i="1"/>
  <c r="AJ93" i="1"/>
  <c r="AH93" i="1"/>
  <c r="AG93" i="1"/>
  <c r="AF93" i="1"/>
  <c r="AE93" i="1"/>
  <c r="AD93" i="1"/>
  <c r="Z93" i="1"/>
  <c r="J93" i="1"/>
  <c r="BJ79" i="1"/>
  <c r="BF79" i="1"/>
  <c r="BD79" i="1"/>
  <c r="AX79" i="1"/>
  <c r="AW79" i="1"/>
  <c r="BC79" i="1" s="1"/>
  <c r="AV79" i="1"/>
  <c r="AP79" i="1"/>
  <c r="BI79" i="1" s="1"/>
  <c r="AC79" i="1" s="1"/>
  <c r="AO79" i="1"/>
  <c r="BH79" i="1" s="1"/>
  <c r="AB79" i="1" s="1"/>
  <c r="AL79" i="1"/>
  <c r="AK79" i="1"/>
  <c r="AJ79" i="1"/>
  <c r="AS61" i="1" s="1"/>
  <c r="AH79" i="1"/>
  <c r="AG79" i="1"/>
  <c r="AF79" i="1"/>
  <c r="AE79" i="1"/>
  <c r="AD79" i="1"/>
  <c r="Z79" i="1"/>
  <c r="J79" i="1"/>
  <c r="I79" i="1"/>
  <c r="BJ77" i="1"/>
  <c r="BI77" i="1"/>
  <c r="AC77" i="1" s="1"/>
  <c r="BH77" i="1"/>
  <c r="AB77" i="1" s="1"/>
  <c r="BF77" i="1"/>
  <c r="BD77" i="1"/>
  <c r="AP77" i="1"/>
  <c r="AX77" i="1" s="1"/>
  <c r="AO77" i="1"/>
  <c r="AW77" i="1" s="1"/>
  <c r="AK77" i="1"/>
  <c r="AJ77" i="1"/>
  <c r="AH77" i="1"/>
  <c r="AG77" i="1"/>
  <c r="AF77" i="1"/>
  <c r="AE77" i="1"/>
  <c r="AD77" i="1"/>
  <c r="Z77" i="1"/>
  <c r="J77" i="1"/>
  <c r="AL77" i="1" s="1"/>
  <c r="I77" i="1"/>
  <c r="H77" i="1"/>
  <c r="BJ70" i="1"/>
  <c r="BI70" i="1"/>
  <c r="AC70" i="1" s="1"/>
  <c r="BF70" i="1"/>
  <c r="BD70" i="1"/>
  <c r="AP70" i="1"/>
  <c r="AX70" i="1" s="1"/>
  <c r="AO70" i="1"/>
  <c r="BH70" i="1" s="1"/>
  <c r="AL70" i="1"/>
  <c r="AK70" i="1"/>
  <c r="AJ70" i="1"/>
  <c r="AH70" i="1"/>
  <c r="AG70" i="1"/>
  <c r="AF70" i="1"/>
  <c r="AE70" i="1"/>
  <c r="AD70" i="1"/>
  <c r="AB70" i="1"/>
  <c r="Z70" i="1"/>
  <c r="J70" i="1"/>
  <c r="I70" i="1"/>
  <c r="H70" i="1"/>
  <c r="BJ66" i="1"/>
  <c r="BI66" i="1"/>
  <c r="AC66" i="1" s="1"/>
  <c r="BF66" i="1"/>
  <c r="BD66" i="1"/>
  <c r="AP66" i="1"/>
  <c r="I66" i="1" s="1"/>
  <c r="AO66" i="1"/>
  <c r="AL66" i="1"/>
  <c r="AK66" i="1"/>
  <c r="AT61" i="1" s="1"/>
  <c r="AJ66" i="1"/>
  <c r="AH66" i="1"/>
  <c r="AG66" i="1"/>
  <c r="AF66" i="1"/>
  <c r="AE66" i="1"/>
  <c r="AD66" i="1"/>
  <c r="Z66" i="1"/>
  <c r="J66" i="1"/>
  <c r="BJ62" i="1"/>
  <c r="BF62" i="1"/>
  <c r="BD62" i="1"/>
  <c r="AX62" i="1"/>
  <c r="AP62" i="1"/>
  <c r="AO62" i="1"/>
  <c r="AL62" i="1"/>
  <c r="AK62" i="1"/>
  <c r="AJ62" i="1"/>
  <c r="AH62" i="1"/>
  <c r="AG62" i="1"/>
  <c r="AF62" i="1"/>
  <c r="AE62" i="1"/>
  <c r="AD62" i="1"/>
  <c r="Z62" i="1"/>
  <c r="J62" i="1"/>
  <c r="J61" i="1"/>
  <c r="G15" i="2" s="1"/>
  <c r="I15" i="2" s="1"/>
  <c r="BJ58" i="1"/>
  <c r="BH58" i="1"/>
  <c r="BF58" i="1"/>
  <c r="BD58" i="1"/>
  <c r="AX58" i="1"/>
  <c r="BC58" i="1" s="1"/>
  <c r="AV58" i="1"/>
  <c r="AP58" i="1"/>
  <c r="BI58" i="1" s="1"/>
  <c r="AO58" i="1"/>
  <c r="AW58" i="1" s="1"/>
  <c r="AK58" i="1"/>
  <c r="AJ58" i="1"/>
  <c r="AH58" i="1"/>
  <c r="AG58" i="1"/>
  <c r="AF58" i="1"/>
  <c r="AE58" i="1"/>
  <c r="AD58" i="1"/>
  <c r="AC58" i="1"/>
  <c r="AB58" i="1"/>
  <c r="Z58" i="1"/>
  <c r="J58" i="1"/>
  <c r="AL58" i="1" s="1"/>
  <c r="I58" i="1"/>
  <c r="H58" i="1"/>
  <c r="BJ55" i="1"/>
  <c r="BI55" i="1"/>
  <c r="BF55" i="1"/>
  <c r="BD55" i="1"/>
  <c r="AP55" i="1"/>
  <c r="AX55" i="1" s="1"/>
  <c r="AO55" i="1"/>
  <c r="BH55" i="1" s="1"/>
  <c r="AL55" i="1"/>
  <c r="AK55" i="1"/>
  <c r="AJ55" i="1"/>
  <c r="AH55" i="1"/>
  <c r="AG55" i="1"/>
  <c r="AF55" i="1"/>
  <c r="AE55" i="1"/>
  <c r="AD55" i="1"/>
  <c r="AC55" i="1"/>
  <c r="AB55" i="1"/>
  <c r="Z55" i="1"/>
  <c r="J55" i="1"/>
  <c r="I55" i="1"/>
  <c r="H55" i="1"/>
  <c r="BJ52" i="1"/>
  <c r="BF52" i="1"/>
  <c r="BD52" i="1"/>
  <c r="AP52" i="1"/>
  <c r="AO52" i="1"/>
  <c r="AK52" i="1"/>
  <c r="AJ52" i="1"/>
  <c r="AH52" i="1"/>
  <c r="AG52" i="1"/>
  <c r="AF52" i="1"/>
  <c r="AE52" i="1"/>
  <c r="AD52" i="1"/>
  <c r="Z52" i="1"/>
  <c r="J52" i="1"/>
  <c r="AL52" i="1" s="1"/>
  <c r="BJ50" i="1"/>
  <c r="BF50" i="1"/>
  <c r="BD50" i="1"/>
  <c r="AP50" i="1"/>
  <c r="AO50" i="1"/>
  <c r="AW50" i="1" s="1"/>
  <c r="AL50" i="1"/>
  <c r="AK50" i="1"/>
  <c r="AJ50" i="1"/>
  <c r="AH50" i="1"/>
  <c r="AG50" i="1"/>
  <c r="AF50" i="1"/>
  <c r="AE50" i="1"/>
  <c r="AD50" i="1"/>
  <c r="Z50" i="1"/>
  <c r="J50" i="1"/>
  <c r="BJ47" i="1"/>
  <c r="BF47" i="1"/>
  <c r="BD47" i="1"/>
  <c r="AP47" i="1"/>
  <c r="BI47" i="1" s="1"/>
  <c r="AC47" i="1" s="1"/>
  <c r="AO47" i="1"/>
  <c r="AW47" i="1" s="1"/>
  <c r="AL47" i="1"/>
  <c r="AK47" i="1"/>
  <c r="AJ47" i="1"/>
  <c r="AH47" i="1"/>
  <c r="AG47" i="1"/>
  <c r="AF47" i="1"/>
  <c r="AE47" i="1"/>
  <c r="AD47" i="1"/>
  <c r="Z47" i="1"/>
  <c r="J47" i="1"/>
  <c r="BJ44" i="1"/>
  <c r="BF44" i="1"/>
  <c r="BD44" i="1"/>
  <c r="AW44" i="1"/>
  <c r="AP44" i="1"/>
  <c r="BI44" i="1" s="1"/>
  <c r="AC44" i="1" s="1"/>
  <c r="AO44" i="1"/>
  <c r="BH44" i="1" s="1"/>
  <c r="AL44" i="1"/>
  <c r="AK44" i="1"/>
  <c r="AJ44" i="1"/>
  <c r="AH44" i="1"/>
  <c r="AG44" i="1"/>
  <c r="AF44" i="1"/>
  <c r="AE44" i="1"/>
  <c r="AD44" i="1"/>
  <c r="AB44" i="1"/>
  <c r="Z44" i="1"/>
  <c r="J44" i="1"/>
  <c r="H44" i="1"/>
  <c r="BJ40" i="1"/>
  <c r="BI40" i="1"/>
  <c r="BH40" i="1"/>
  <c r="BF40" i="1"/>
  <c r="BD40" i="1"/>
  <c r="AP40" i="1"/>
  <c r="AX40" i="1" s="1"/>
  <c r="AO40" i="1"/>
  <c r="AW40" i="1" s="1"/>
  <c r="AK40" i="1"/>
  <c r="AJ40" i="1"/>
  <c r="AH40" i="1"/>
  <c r="AG40" i="1"/>
  <c r="AF40" i="1"/>
  <c r="AE40" i="1"/>
  <c r="AD40" i="1"/>
  <c r="AC40" i="1"/>
  <c r="AB40" i="1"/>
  <c r="Z40" i="1"/>
  <c r="J40" i="1"/>
  <c r="AL40" i="1" s="1"/>
  <c r="I40" i="1"/>
  <c r="H40" i="1"/>
  <c r="BJ38" i="1"/>
  <c r="BF38" i="1"/>
  <c r="BD38" i="1"/>
  <c r="AP38" i="1"/>
  <c r="AX38" i="1" s="1"/>
  <c r="AO38" i="1"/>
  <c r="AL38" i="1"/>
  <c r="AK38" i="1"/>
  <c r="AJ38" i="1"/>
  <c r="AH38" i="1"/>
  <c r="AG38" i="1"/>
  <c r="AF38" i="1"/>
  <c r="AE38" i="1"/>
  <c r="AD38" i="1"/>
  <c r="Z38" i="1"/>
  <c r="J38" i="1"/>
  <c r="BJ31" i="1"/>
  <c r="BF31" i="1"/>
  <c r="BD31" i="1"/>
  <c r="AP31" i="1"/>
  <c r="AO31" i="1"/>
  <c r="AL31" i="1"/>
  <c r="AK31" i="1"/>
  <c r="AJ31" i="1"/>
  <c r="AH31" i="1"/>
  <c r="AG31" i="1"/>
  <c r="AF31" i="1"/>
  <c r="AE31" i="1"/>
  <c r="AD31" i="1"/>
  <c r="Z31" i="1"/>
  <c r="J31" i="1"/>
  <c r="BJ26" i="1"/>
  <c r="BF26" i="1"/>
  <c r="BD26" i="1"/>
  <c r="AX26" i="1"/>
  <c r="AP26" i="1"/>
  <c r="BI26" i="1" s="1"/>
  <c r="AC26" i="1" s="1"/>
  <c r="AO26" i="1"/>
  <c r="BH26" i="1" s="1"/>
  <c r="AB26" i="1" s="1"/>
  <c r="AL26" i="1"/>
  <c r="AU25" i="1" s="1"/>
  <c r="AK26" i="1"/>
  <c r="AT25" i="1" s="1"/>
  <c r="AJ26" i="1"/>
  <c r="AH26" i="1"/>
  <c r="AG26" i="1"/>
  <c r="AF26" i="1"/>
  <c r="AE26" i="1"/>
  <c r="AD26" i="1"/>
  <c r="Z26" i="1"/>
  <c r="J26" i="1"/>
  <c r="AS25" i="1"/>
  <c r="J25" i="1"/>
  <c r="G14" i="2" s="1"/>
  <c r="I14" i="2" s="1"/>
  <c r="BJ24" i="1"/>
  <c r="BI24" i="1"/>
  <c r="BH24" i="1"/>
  <c r="AB24" i="1" s="1"/>
  <c r="BF24" i="1"/>
  <c r="BD24" i="1"/>
  <c r="AP24" i="1"/>
  <c r="AX24" i="1" s="1"/>
  <c r="AO24" i="1"/>
  <c r="AW24" i="1" s="1"/>
  <c r="AK24" i="1"/>
  <c r="AJ24" i="1"/>
  <c r="AH24" i="1"/>
  <c r="AG24" i="1"/>
  <c r="AF24" i="1"/>
  <c r="AE24" i="1"/>
  <c r="AD24" i="1"/>
  <c r="AC24" i="1"/>
  <c r="Z24" i="1"/>
  <c r="J24" i="1"/>
  <c r="AL24" i="1" s="1"/>
  <c r="I24" i="1"/>
  <c r="H24" i="1"/>
  <c r="BJ22" i="1"/>
  <c r="BF22" i="1"/>
  <c r="BD22" i="1"/>
  <c r="AP22" i="1"/>
  <c r="AX22" i="1" s="1"/>
  <c r="AO22" i="1"/>
  <c r="AK22" i="1"/>
  <c r="AT21" i="1" s="1"/>
  <c r="AJ22" i="1"/>
  <c r="AS21" i="1" s="1"/>
  <c r="AH22" i="1"/>
  <c r="AG22" i="1"/>
  <c r="AF22" i="1"/>
  <c r="AE22" i="1"/>
  <c r="AD22" i="1"/>
  <c r="Z22" i="1"/>
  <c r="J22" i="1"/>
  <c r="BJ19" i="1"/>
  <c r="BI19" i="1"/>
  <c r="AC19" i="1" s="1"/>
  <c r="BF19" i="1"/>
  <c r="BD19" i="1"/>
  <c r="AX19" i="1"/>
  <c r="AW19" i="1"/>
  <c r="AV19" i="1" s="1"/>
  <c r="AP19" i="1"/>
  <c r="AO19" i="1"/>
  <c r="BH19" i="1" s="1"/>
  <c r="AB19" i="1" s="1"/>
  <c r="AK19" i="1"/>
  <c r="AJ19" i="1"/>
  <c r="AH19" i="1"/>
  <c r="AG19" i="1"/>
  <c r="AF19" i="1"/>
  <c r="AE19" i="1"/>
  <c r="AD19" i="1"/>
  <c r="Z19" i="1"/>
  <c r="J19" i="1"/>
  <c r="AL19" i="1" s="1"/>
  <c r="I19" i="1"/>
  <c r="BJ16" i="1"/>
  <c r="BI16" i="1"/>
  <c r="BH16" i="1"/>
  <c r="BF16" i="1"/>
  <c r="BD16" i="1"/>
  <c r="AX16" i="1"/>
  <c r="AW16" i="1"/>
  <c r="AV16" i="1" s="1"/>
  <c r="AP16" i="1"/>
  <c r="AO16" i="1"/>
  <c r="H16" i="1" s="1"/>
  <c r="AK16" i="1"/>
  <c r="AJ16" i="1"/>
  <c r="AH16" i="1"/>
  <c r="AG16" i="1"/>
  <c r="AF16" i="1"/>
  <c r="AE16" i="1"/>
  <c r="AD16" i="1"/>
  <c r="AC16" i="1"/>
  <c r="AB16" i="1"/>
  <c r="Z16" i="1"/>
  <c r="J16" i="1"/>
  <c r="AL16" i="1" s="1"/>
  <c r="I16" i="1"/>
  <c r="BJ14" i="1"/>
  <c r="BI14" i="1"/>
  <c r="AC14" i="1" s="1"/>
  <c r="BH14" i="1"/>
  <c r="AB14" i="1" s="1"/>
  <c r="BF14" i="1"/>
  <c r="BD14" i="1"/>
  <c r="AP14" i="1"/>
  <c r="AX14" i="1" s="1"/>
  <c r="AO14" i="1"/>
  <c r="AW14" i="1" s="1"/>
  <c r="AK14" i="1"/>
  <c r="AJ14" i="1"/>
  <c r="AH14" i="1"/>
  <c r="AG14" i="1"/>
  <c r="AF14" i="1"/>
  <c r="AE14" i="1"/>
  <c r="AD14" i="1"/>
  <c r="Z14" i="1"/>
  <c r="J14" i="1"/>
  <c r="I14" i="1"/>
  <c r="H14" i="1"/>
  <c r="AT13" i="1"/>
  <c r="AU1" i="1"/>
  <c r="AT1" i="1"/>
  <c r="AS1" i="1"/>
  <c r="BC77" i="1" l="1"/>
  <c r="AV77" i="1"/>
  <c r="BC47" i="1"/>
  <c r="BC308" i="1"/>
  <c r="BC560" i="1"/>
  <c r="AV560" i="1"/>
  <c r="BC44" i="1"/>
  <c r="AV559" i="1"/>
  <c r="AU61" i="1"/>
  <c r="BH214" i="1"/>
  <c r="AD214" i="1" s="1"/>
  <c r="H214" i="1"/>
  <c r="AW214" i="1"/>
  <c r="I372" i="1"/>
  <c r="BI372" i="1"/>
  <c r="AC372" i="1" s="1"/>
  <c r="AW452" i="1"/>
  <c r="H452" i="1"/>
  <c r="BH452" i="1"/>
  <c r="BC494" i="1"/>
  <c r="BC542" i="1"/>
  <c r="AV542" i="1"/>
  <c r="H568" i="1"/>
  <c r="BH568" i="1"/>
  <c r="AD568" i="1" s="1"/>
  <c r="AW568" i="1"/>
  <c r="BC19" i="1"/>
  <c r="BI31" i="1"/>
  <c r="AC31" i="1" s="1"/>
  <c r="I31" i="1"/>
  <c r="BH62" i="1"/>
  <c r="AB62" i="1" s="1"/>
  <c r="H62" i="1"/>
  <c r="BH66" i="1"/>
  <c r="AB66" i="1" s="1"/>
  <c r="H66" i="1"/>
  <c r="AW66" i="1"/>
  <c r="BC187" i="1"/>
  <c r="BI241" i="1"/>
  <c r="AE241" i="1" s="1"/>
  <c r="I241" i="1"/>
  <c r="BH245" i="1"/>
  <c r="H245" i="1"/>
  <c r="BH313" i="1"/>
  <c r="AD313" i="1" s="1"/>
  <c r="AW313" i="1"/>
  <c r="H313" i="1"/>
  <c r="BC321" i="1"/>
  <c r="BC342" i="1"/>
  <c r="H388" i="1"/>
  <c r="E33" i="2" s="1"/>
  <c r="BH449" i="1"/>
  <c r="AD449" i="1" s="1"/>
  <c r="H449" i="1"/>
  <c r="BI452" i="1"/>
  <c r="I452" i="1"/>
  <c r="AX452" i="1"/>
  <c r="BC570" i="1"/>
  <c r="J704" i="1"/>
  <c r="AL705" i="1"/>
  <c r="AU704" i="1" s="1"/>
  <c r="AX44" i="1"/>
  <c r="AV44" i="1" s="1"/>
  <c r="I62" i="1"/>
  <c r="BI62" i="1"/>
  <c r="AC62" i="1" s="1"/>
  <c r="AW116" i="1"/>
  <c r="AV194" i="1"/>
  <c r="BC194" i="1"/>
  <c r="BH209" i="1"/>
  <c r="AD209" i="1" s="1"/>
  <c r="H209" i="1"/>
  <c r="AW236" i="1"/>
  <c r="BI245" i="1"/>
  <c r="I245" i="1"/>
  <c r="BH308" i="1"/>
  <c r="AD308" i="1" s="1"/>
  <c r="H308" i="1"/>
  <c r="J341" i="1"/>
  <c r="G28" i="2" s="1"/>
  <c r="I28" i="2" s="1"/>
  <c r="AX372" i="1"/>
  <c r="AL393" i="1"/>
  <c r="AU388" i="1" s="1"/>
  <c r="J388" i="1"/>
  <c r="G33" i="2" s="1"/>
  <c r="I33" i="2" s="1"/>
  <c r="I449" i="1"/>
  <c r="BI449" i="1"/>
  <c r="AE449" i="1" s="1"/>
  <c r="H559" i="1"/>
  <c r="BH559" i="1"/>
  <c r="AD559" i="1" s="1"/>
  <c r="AW677" i="1"/>
  <c r="H677" i="1"/>
  <c r="J695" i="1"/>
  <c r="G57" i="2" s="1"/>
  <c r="I57" i="2" s="1"/>
  <c r="AL696" i="1"/>
  <c r="AU695" i="1" s="1"/>
  <c r="AX31" i="1"/>
  <c r="AX47" i="1"/>
  <c r="AV47" i="1" s="1"/>
  <c r="H93" i="1"/>
  <c r="BH93" i="1"/>
  <c r="AB93" i="1" s="1"/>
  <c r="AL163" i="1"/>
  <c r="AU152" i="1" s="1"/>
  <c r="J152" i="1"/>
  <c r="G23" i="2" s="1"/>
  <c r="I23" i="2" s="1"/>
  <c r="AS196" i="1"/>
  <c r="BI209" i="1"/>
  <c r="AE209" i="1" s="1"/>
  <c r="I209" i="1"/>
  <c r="AX209" i="1"/>
  <c r="BC209" i="1" s="1"/>
  <c r="AX236" i="1"/>
  <c r="AW245" i="1"/>
  <c r="AW287" i="1"/>
  <c r="BI299" i="1"/>
  <c r="AE299" i="1" s="1"/>
  <c r="I299" i="1"/>
  <c r="I277" i="1" s="1"/>
  <c r="F26" i="2" s="1"/>
  <c r="I308" i="1"/>
  <c r="BI308" i="1"/>
  <c r="AE308" i="1" s="1"/>
  <c r="AX308" i="1"/>
  <c r="AW446" i="1"/>
  <c r="H446" i="1"/>
  <c r="BI559" i="1"/>
  <c r="AE559" i="1" s="1"/>
  <c r="I559" i="1"/>
  <c r="AX559" i="1"/>
  <c r="BC559" i="1" s="1"/>
  <c r="AW562" i="1"/>
  <c r="H562" i="1"/>
  <c r="BH562" i="1"/>
  <c r="AD562" i="1" s="1"/>
  <c r="I13" i="1"/>
  <c r="H19" i="1"/>
  <c r="H13" i="1" s="1"/>
  <c r="AW26" i="1"/>
  <c r="AW62" i="1"/>
  <c r="I93" i="1"/>
  <c r="BI93" i="1"/>
  <c r="AC93" i="1" s="1"/>
  <c r="C15" i="4" s="1"/>
  <c r="AV122" i="1"/>
  <c r="H187" i="1"/>
  <c r="AT196" i="1"/>
  <c r="AX204" i="1"/>
  <c r="BI204" i="1"/>
  <c r="AE204" i="1" s="1"/>
  <c r="I204" i="1"/>
  <c r="AX241" i="1"/>
  <c r="AX245" i="1"/>
  <c r="AU246" i="1"/>
  <c r="AX287" i="1"/>
  <c r="AV299" i="1"/>
  <c r="AV308" i="1"/>
  <c r="AW449" i="1"/>
  <c r="AL539" i="1"/>
  <c r="AU538" i="1" s="1"/>
  <c r="J538" i="1"/>
  <c r="G46" i="2" s="1"/>
  <c r="I46" i="2" s="1"/>
  <c r="BH38" i="1"/>
  <c r="AB38" i="1" s="1"/>
  <c r="AW38" i="1"/>
  <c r="H38" i="1"/>
  <c r="BH50" i="1"/>
  <c r="AB50" i="1" s="1"/>
  <c r="H50" i="1"/>
  <c r="AX247" i="1"/>
  <c r="I247" i="1"/>
  <c r="BI247" i="1"/>
  <c r="AE247" i="1" s="1"/>
  <c r="BC360" i="1"/>
  <c r="AV360" i="1"/>
  <c r="AL414" i="1"/>
  <c r="AU413" i="1" s="1"/>
  <c r="J413" i="1"/>
  <c r="G34" i="2" s="1"/>
  <c r="I34" i="2" s="1"/>
  <c r="AW31" i="1"/>
  <c r="BH31" i="1"/>
  <c r="AB31" i="1" s="1"/>
  <c r="H31" i="1"/>
  <c r="J13" i="1"/>
  <c r="AL14" i="1"/>
  <c r="AU13" i="1" s="1"/>
  <c r="BH116" i="1"/>
  <c r="AD116" i="1" s="1"/>
  <c r="I547" i="1"/>
  <c r="C21" i="4"/>
  <c r="BH131" i="1"/>
  <c r="H131" i="1"/>
  <c r="AW131" i="1"/>
  <c r="BC432" i="1"/>
  <c r="AV432" i="1"/>
  <c r="AW445" i="1"/>
  <c r="BH445" i="1"/>
  <c r="AD445" i="1" s="1"/>
  <c r="H445" i="1"/>
  <c r="H462" i="1"/>
  <c r="BH462" i="1"/>
  <c r="AD462" i="1" s="1"/>
  <c r="BH464" i="1"/>
  <c r="AD464" i="1" s="1"/>
  <c r="H464" i="1"/>
  <c r="AW464" i="1"/>
  <c r="BI671" i="1"/>
  <c r="I671" i="1"/>
  <c r="J21" i="1"/>
  <c r="G13" i="2" s="1"/>
  <c r="I13" i="2" s="1"/>
  <c r="BH47" i="1"/>
  <c r="AB47" i="1" s="1"/>
  <c r="BI445" i="1"/>
  <c r="AE445" i="1" s="1"/>
  <c r="I445" i="1"/>
  <c r="AX445" i="1"/>
  <c r="I462" i="1"/>
  <c r="BI462" i="1"/>
  <c r="AE462" i="1" s="1"/>
  <c r="AX462" i="1"/>
  <c r="H47" i="1"/>
  <c r="BH461" i="1"/>
  <c r="AD461" i="1" s="1"/>
  <c r="H461" i="1"/>
  <c r="H26" i="1"/>
  <c r="BH435" i="1"/>
  <c r="H435" i="1"/>
  <c r="BH442" i="1"/>
  <c r="AD442" i="1" s="1"/>
  <c r="H442" i="1"/>
  <c r="H437" i="1" s="1"/>
  <c r="AW442" i="1"/>
  <c r="AW462" i="1"/>
  <c r="AW99" i="1"/>
  <c r="AS136" i="1"/>
  <c r="H428" i="1"/>
  <c r="E36" i="2" s="1"/>
  <c r="BI435" i="1"/>
  <c r="I435" i="1"/>
  <c r="AX435" i="1"/>
  <c r="I442" i="1"/>
  <c r="I437" i="1" s="1"/>
  <c r="BI442" i="1"/>
  <c r="AE442" i="1" s="1"/>
  <c r="AX442" i="1"/>
  <c r="H79" i="1"/>
  <c r="AX99" i="1"/>
  <c r="AV110" i="1"/>
  <c r="AT136" i="1"/>
  <c r="H145" i="1"/>
  <c r="BH145" i="1"/>
  <c r="AD145" i="1" s="1"/>
  <c r="AW145" i="1"/>
  <c r="AV146" i="1"/>
  <c r="BC146" i="1"/>
  <c r="AS152" i="1"/>
  <c r="AS246" i="1"/>
  <c r="BI432" i="1"/>
  <c r="AW460" i="1"/>
  <c r="BH460" i="1"/>
  <c r="AD460" i="1" s="1"/>
  <c r="H460" i="1"/>
  <c r="AW461" i="1"/>
  <c r="C20" i="4"/>
  <c r="H123" i="1"/>
  <c r="E19" i="2" s="1"/>
  <c r="AX135" i="1"/>
  <c r="AV135" i="1" s="1"/>
  <c r="AU136" i="1"/>
  <c r="BH144" i="1"/>
  <c r="AD144" i="1" s="1"/>
  <c r="H144" i="1"/>
  <c r="AT152" i="1"/>
  <c r="BH379" i="1"/>
  <c r="AB379" i="1" s="1"/>
  <c r="H379" i="1"/>
  <c r="J428" i="1"/>
  <c r="G36" i="2" s="1"/>
  <c r="I36" i="2" s="1"/>
  <c r="AL429" i="1"/>
  <c r="AU428" i="1" s="1"/>
  <c r="AW435" i="1"/>
  <c r="AS453" i="1"/>
  <c r="I456" i="1"/>
  <c r="AX456" i="1"/>
  <c r="BI456" i="1"/>
  <c r="AE456" i="1" s="1"/>
  <c r="BI460" i="1"/>
  <c r="AE460" i="1" s="1"/>
  <c r="I460" i="1"/>
  <c r="BI659" i="1"/>
  <c r="AE659" i="1" s="1"/>
  <c r="I659" i="1"/>
  <c r="AX659" i="1"/>
  <c r="BH171" i="1"/>
  <c r="AD171" i="1" s="1"/>
  <c r="H171" i="1"/>
  <c r="H512" i="1"/>
  <c r="BH512" i="1"/>
  <c r="AD512" i="1" s="1"/>
  <c r="BI113" i="1"/>
  <c r="AC113" i="1" s="1"/>
  <c r="I113" i="1"/>
  <c r="J123" i="1"/>
  <c r="G19" i="2" s="1"/>
  <c r="I19" i="2" s="1"/>
  <c r="AL124" i="1"/>
  <c r="AU123" i="1" s="1"/>
  <c r="BI143" i="1"/>
  <c r="AE143" i="1" s="1"/>
  <c r="I143" i="1"/>
  <c r="I136" i="1" s="1"/>
  <c r="F22" i="2" s="1"/>
  <c r="BI151" i="1"/>
  <c r="I151" i="1"/>
  <c r="BC155" i="1"/>
  <c r="AV155" i="1"/>
  <c r="BI171" i="1"/>
  <c r="AE171" i="1" s="1"/>
  <c r="I171" i="1"/>
  <c r="BH177" i="1"/>
  <c r="AD177" i="1" s="1"/>
  <c r="H177" i="1"/>
  <c r="AW177" i="1"/>
  <c r="I252" i="1"/>
  <c r="BI252" i="1"/>
  <c r="AE252" i="1" s="1"/>
  <c r="AX252" i="1"/>
  <c r="BH386" i="1"/>
  <c r="AB386" i="1" s="1"/>
  <c r="H386" i="1"/>
  <c r="H385" i="1" s="1"/>
  <c r="E32" i="2" s="1"/>
  <c r="AW386" i="1"/>
  <c r="BH434" i="1"/>
  <c r="AU453" i="1"/>
  <c r="AX460" i="1"/>
  <c r="BC504" i="1"/>
  <c r="AV504" i="1"/>
  <c r="AV574" i="1"/>
  <c r="BC574" i="1"/>
  <c r="AU575" i="1"/>
  <c r="BI230" i="1"/>
  <c r="AE230" i="1" s="1"/>
  <c r="C17" i="4" s="1"/>
  <c r="H287" i="1"/>
  <c r="BH99" i="1"/>
  <c r="AB99" i="1" s="1"/>
  <c r="BC112" i="1"/>
  <c r="BC140" i="1"/>
  <c r="AW143" i="1"/>
  <c r="AW144" i="1"/>
  <c r="BC148" i="1"/>
  <c r="AX150" i="1"/>
  <c r="BC150" i="1" s="1"/>
  <c r="AX177" i="1"/>
  <c r="BI177" i="1"/>
  <c r="AE177" i="1" s="1"/>
  <c r="I177" i="1"/>
  <c r="J196" i="1"/>
  <c r="G24" i="2" s="1"/>
  <c r="I24" i="2" s="1"/>
  <c r="BH326" i="1"/>
  <c r="AD326" i="1" s="1"/>
  <c r="H326" i="1"/>
  <c r="H333" i="1"/>
  <c r="BH333" i="1"/>
  <c r="AW333" i="1"/>
  <c r="BH454" i="1"/>
  <c r="AD454" i="1" s="1"/>
  <c r="H454" i="1"/>
  <c r="H453" i="1" s="1"/>
  <c r="E39" i="2" s="1"/>
  <c r="BC459" i="1"/>
  <c r="H501" i="1"/>
  <c r="AW501" i="1"/>
  <c r="AW626" i="1"/>
  <c r="H626" i="1"/>
  <c r="BH626" i="1"/>
  <c r="AD626" i="1" s="1"/>
  <c r="BH153" i="1"/>
  <c r="AD153" i="1" s="1"/>
  <c r="H153" i="1"/>
  <c r="AW153" i="1"/>
  <c r="BI99" i="1"/>
  <c r="AC99" i="1" s="1"/>
  <c r="BH114" i="1"/>
  <c r="AB114" i="1" s="1"/>
  <c r="H114" i="1"/>
  <c r="H105" i="1" s="1"/>
  <c r="E17" i="2" s="1"/>
  <c r="AW114" i="1"/>
  <c r="J132" i="1"/>
  <c r="G21" i="2" s="1"/>
  <c r="I21" i="2" s="1"/>
  <c r="AL133" i="1"/>
  <c r="AU132" i="1" s="1"/>
  <c r="I135" i="1"/>
  <c r="I132" i="1" s="1"/>
  <c r="F21" i="2" s="1"/>
  <c r="AX143" i="1"/>
  <c r="AX151" i="1"/>
  <c r="AW171" i="1"/>
  <c r="H321" i="1"/>
  <c r="BH321" i="1"/>
  <c r="AD321" i="1" s="1"/>
  <c r="I326" i="1"/>
  <c r="BI326" i="1"/>
  <c r="AE326" i="1" s="1"/>
  <c r="I333" i="1"/>
  <c r="BI333" i="1"/>
  <c r="AX333" i="1"/>
  <c r="AW375" i="1"/>
  <c r="BH375" i="1"/>
  <c r="AB375" i="1" s="1"/>
  <c r="H375" i="1"/>
  <c r="I454" i="1"/>
  <c r="AX454" i="1"/>
  <c r="BI454" i="1"/>
  <c r="AE454" i="1" s="1"/>
  <c r="BI494" i="1"/>
  <c r="AE494" i="1" s="1"/>
  <c r="I494" i="1"/>
  <c r="I466" i="1" s="1"/>
  <c r="F40" i="2" s="1"/>
  <c r="AX499" i="1"/>
  <c r="I499" i="1"/>
  <c r="AX509" i="1"/>
  <c r="AW512" i="1"/>
  <c r="AW514" i="1"/>
  <c r="BH570" i="1"/>
  <c r="AD570" i="1" s="1"/>
  <c r="H570" i="1"/>
  <c r="BH572" i="1"/>
  <c r="AD572" i="1" s="1"/>
  <c r="H572" i="1"/>
  <c r="AW572" i="1"/>
  <c r="H137" i="1"/>
  <c r="AW137" i="1"/>
  <c r="BH137" i="1"/>
  <c r="AD137" i="1" s="1"/>
  <c r="BC14" i="1"/>
  <c r="AV14" i="1"/>
  <c r="AL22" i="1"/>
  <c r="AU21" i="1" s="1"/>
  <c r="BH190" i="1"/>
  <c r="AD190" i="1" s="1"/>
  <c r="H190" i="1"/>
  <c r="I321" i="1"/>
  <c r="BI321" i="1"/>
  <c r="AE321" i="1" s="1"/>
  <c r="BH360" i="1"/>
  <c r="AD360" i="1" s="1"/>
  <c r="H360" i="1"/>
  <c r="H341" i="1" s="1"/>
  <c r="E28" i="2" s="1"/>
  <c r="AV363" i="1"/>
  <c r="AT371" i="1"/>
  <c r="BI375" i="1"/>
  <c r="AC375" i="1" s="1"/>
  <c r="I375" i="1"/>
  <c r="AX375" i="1"/>
  <c r="BC383" i="1"/>
  <c r="AW454" i="1"/>
  <c r="BC507" i="1"/>
  <c r="AX512" i="1"/>
  <c r="I572" i="1"/>
  <c r="BI572" i="1"/>
  <c r="AE572" i="1" s="1"/>
  <c r="AX572" i="1"/>
  <c r="BI52" i="1"/>
  <c r="AC52" i="1" s="1"/>
  <c r="I52" i="1"/>
  <c r="AX52" i="1"/>
  <c r="BH372" i="1"/>
  <c r="AB372" i="1" s="1"/>
  <c r="H372" i="1"/>
  <c r="H371" i="1" s="1"/>
  <c r="E30" i="2" s="1"/>
  <c r="AW372" i="1"/>
  <c r="H560" i="1"/>
  <c r="H547" i="1" s="1"/>
  <c r="BH560" i="1"/>
  <c r="AD560" i="1" s="1"/>
  <c r="AX50" i="1"/>
  <c r="BC50" i="1" s="1"/>
  <c r="BI50" i="1"/>
  <c r="AC50" i="1" s="1"/>
  <c r="I50" i="1"/>
  <c r="I44" i="1"/>
  <c r="H197" i="1"/>
  <c r="BH197" i="1"/>
  <c r="AD197" i="1" s="1"/>
  <c r="BC271" i="1"/>
  <c r="AV271" i="1"/>
  <c r="BC611" i="1"/>
  <c r="AV611" i="1"/>
  <c r="BC618" i="1"/>
  <c r="AV618" i="1"/>
  <c r="AW129" i="1"/>
  <c r="H129" i="1"/>
  <c r="BH129" i="1"/>
  <c r="AD129" i="1" s="1"/>
  <c r="C16" i="4" s="1"/>
  <c r="BI197" i="1"/>
  <c r="AE197" i="1" s="1"/>
  <c r="I197" i="1"/>
  <c r="I196" i="1" s="1"/>
  <c r="F24" i="2" s="1"/>
  <c r="BH236" i="1"/>
  <c r="AD236" i="1" s="1"/>
  <c r="AW670" i="1"/>
  <c r="H670" i="1"/>
  <c r="I129" i="1"/>
  <c r="I128" i="1" s="1"/>
  <c r="F20" i="2" s="1"/>
  <c r="BI129" i="1"/>
  <c r="AE129" i="1" s="1"/>
  <c r="BI131" i="1"/>
  <c r="I131" i="1"/>
  <c r="AX131" i="1"/>
  <c r="AW197" i="1"/>
  <c r="AX465" i="1"/>
  <c r="BI465" i="1"/>
  <c r="I465" i="1"/>
  <c r="AW558" i="1"/>
  <c r="BH558" i="1"/>
  <c r="AD558" i="1" s="1"/>
  <c r="H558" i="1"/>
  <c r="I230" i="1"/>
  <c r="BC671" i="1"/>
  <c r="I47" i="1"/>
  <c r="BC108" i="1"/>
  <c r="AV108" i="1"/>
  <c r="I116" i="1"/>
  <c r="I115" i="1" s="1"/>
  <c r="F18" i="2" s="1"/>
  <c r="AW434" i="1"/>
  <c r="BC439" i="1"/>
  <c r="BI461" i="1"/>
  <c r="AE461" i="1" s="1"/>
  <c r="I461" i="1"/>
  <c r="AX461" i="1"/>
  <c r="AV584" i="1"/>
  <c r="BC584" i="1"/>
  <c r="BI668" i="1"/>
  <c r="AE668" i="1" s="1"/>
  <c r="I668" i="1"/>
  <c r="AX668" i="1"/>
  <c r="AV668" i="1" s="1"/>
  <c r="AX671" i="1"/>
  <c r="AV671" i="1" s="1"/>
  <c r="C18" i="4"/>
  <c r="I26" i="1"/>
  <c r="BI106" i="1"/>
  <c r="AC106" i="1" s="1"/>
  <c r="I106" i="1"/>
  <c r="I105" i="1" s="1"/>
  <c r="F17" i="2" s="1"/>
  <c r="AX106" i="1"/>
  <c r="H292" i="1"/>
  <c r="BH299" i="1"/>
  <c r="AD299" i="1" s="1"/>
  <c r="AV410" i="1"/>
  <c r="BC410" i="1"/>
  <c r="C27" i="4"/>
  <c r="AS13" i="1"/>
  <c r="AX144" i="1"/>
  <c r="I144" i="1"/>
  <c r="BI144" i="1"/>
  <c r="AE144" i="1" s="1"/>
  <c r="H151" i="1"/>
  <c r="AW151" i="1"/>
  <c r="H252" i="1"/>
  <c r="BH252" i="1"/>
  <c r="AD252" i="1" s="1"/>
  <c r="AW252" i="1"/>
  <c r="J277" i="1"/>
  <c r="G26" i="2" s="1"/>
  <c r="I26" i="2" s="1"/>
  <c r="AL278" i="1"/>
  <c r="AU277" i="1" s="1"/>
  <c r="BI379" i="1"/>
  <c r="AC379" i="1" s="1"/>
  <c r="I379" i="1"/>
  <c r="AX379" i="1"/>
  <c r="AV379" i="1" s="1"/>
  <c r="I432" i="1"/>
  <c r="I428" i="1" s="1"/>
  <c r="F36" i="2" s="1"/>
  <c r="AW509" i="1"/>
  <c r="H509" i="1"/>
  <c r="BC24" i="1"/>
  <c r="AV24" i="1"/>
  <c r="BC40" i="1"/>
  <c r="AV40" i="1"/>
  <c r="AX113" i="1"/>
  <c r="AV113" i="1" s="1"/>
  <c r="AX171" i="1"/>
  <c r="BC16" i="1"/>
  <c r="BH22" i="1"/>
  <c r="AB22" i="1" s="1"/>
  <c r="C14" i="4" s="1"/>
  <c r="H22" i="1"/>
  <c r="H21" i="1" s="1"/>
  <c r="E13" i="2" s="1"/>
  <c r="AW22" i="1"/>
  <c r="BH52" i="1"/>
  <c r="AB52" i="1" s="1"/>
  <c r="H52" i="1"/>
  <c r="AW52" i="1"/>
  <c r="AL108" i="1"/>
  <c r="AU105" i="1" s="1"/>
  <c r="J105" i="1"/>
  <c r="G17" i="2" s="1"/>
  <c r="I17" i="2" s="1"/>
  <c r="BC186" i="1"/>
  <c r="BI190" i="1"/>
  <c r="AE190" i="1" s="1"/>
  <c r="I190" i="1"/>
  <c r="H247" i="1"/>
  <c r="H246" i="1" s="1"/>
  <c r="E25" i="2" s="1"/>
  <c r="BH247" i="1"/>
  <c r="AD247" i="1" s="1"/>
  <c r="AW247" i="1"/>
  <c r="AV319" i="1"/>
  <c r="AW326" i="1"/>
  <c r="AU371" i="1"/>
  <c r="AT466" i="1"/>
  <c r="AV478" i="1"/>
  <c r="AX493" i="1"/>
  <c r="BH524" i="1"/>
  <c r="AD524" i="1" s="1"/>
  <c r="H524" i="1"/>
  <c r="AW524" i="1"/>
  <c r="AV540" i="1"/>
  <c r="BC540" i="1"/>
  <c r="BC544" i="1"/>
  <c r="AV544" i="1"/>
  <c r="AX545" i="1"/>
  <c r="I545" i="1"/>
  <c r="BI545" i="1"/>
  <c r="BI386" i="1"/>
  <c r="AC386" i="1" s="1"/>
  <c r="I386" i="1"/>
  <c r="I385" i="1" s="1"/>
  <c r="F32" i="2" s="1"/>
  <c r="AX386" i="1"/>
  <c r="AS388" i="1"/>
  <c r="AS413" i="1"/>
  <c r="AW424" i="1"/>
  <c r="H424" i="1"/>
  <c r="BH424" i="1"/>
  <c r="AB424" i="1" s="1"/>
  <c r="AV535" i="1"/>
  <c r="BC535" i="1"/>
  <c r="BI537" i="1"/>
  <c r="AG537" i="1" s="1"/>
  <c r="C19" i="4" s="1"/>
  <c r="I537" i="1"/>
  <c r="I536" i="1" s="1"/>
  <c r="F45" i="2" s="1"/>
  <c r="AX537" i="1"/>
  <c r="BI558" i="1"/>
  <c r="AE558" i="1" s="1"/>
  <c r="I558" i="1"/>
  <c r="BI599" i="1"/>
  <c r="AE599" i="1" s="1"/>
  <c r="I599" i="1"/>
  <c r="BI602" i="1"/>
  <c r="AE602" i="1" s="1"/>
  <c r="I602" i="1"/>
  <c r="BC658" i="1"/>
  <c r="AV658" i="1"/>
  <c r="BI667" i="1"/>
  <c r="AE667" i="1" s="1"/>
  <c r="I667" i="1"/>
  <c r="AX667" i="1"/>
  <c r="BC667" i="1" s="1"/>
  <c r="F14" i="4"/>
  <c r="F22" i="4" s="1"/>
  <c r="I18" i="5"/>
  <c r="C28" i="4"/>
  <c r="F28" i="4" s="1"/>
  <c r="BH255" i="1"/>
  <c r="AD255" i="1" s="1"/>
  <c r="H255" i="1"/>
  <c r="BC262" i="1"/>
  <c r="AV262" i="1"/>
  <c r="BC335" i="1"/>
  <c r="AT413" i="1"/>
  <c r="AX424" i="1"/>
  <c r="BI424" i="1"/>
  <c r="AC424" i="1" s="1"/>
  <c r="I424" i="1"/>
  <c r="BC600" i="1"/>
  <c r="AU196" i="1"/>
  <c r="J246" i="1"/>
  <c r="G25" i="2" s="1"/>
  <c r="I25" i="2" s="1"/>
  <c r="AW257" i="1"/>
  <c r="BH257" i="1"/>
  <c r="AD257" i="1" s="1"/>
  <c r="H257" i="1"/>
  <c r="AS547" i="1"/>
  <c r="AX558" i="1"/>
  <c r="BC601" i="1"/>
  <c r="AV631" i="1"/>
  <c r="BC634" i="1"/>
  <c r="AV634" i="1"/>
  <c r="BH720" i="1"/>
  <c r="AD720" i="1" s="1"/>
  <c r="H720" i="1"/>
  <c r="AW720" i="1"/>
  <c r="BI723" i="1"/>
  <c r="AC723" i="1" s="1"/>
  <c r="I723" i="1"/>
  <c r="I722" i="1" s="1"/>
  <c r="F60" i="2" s="1"/>
  <c r="AX723" i="1"/>
  <c r="BC598" i="1"/>
  <c r="AX66" i="1"/>
  <c r="AV138" i="1"/>
  <c r="BC138" i="1"/>
  <c r="AW255" i="1"/>
  <c r="AS277" i="1"/>
  <c r="AX338" i="1"/>
  <c r="AV338" i="1" s="1"/>
  <c r="I393" i="1"/>
  <c r="I388" i="1" s="1"/>
  <c r="F33" i="2" s="1"/>
  <c r="AX393" i="1"/>
  <c r="BC393" i="1" s="1"/>
  <c r="BI420" i="1"/>
  <c r="AC420" i="1" s="1"/>
  <c r="I420" i="1"/>
  <c r="J437" i="1"/>
  <c r="AL438" i="1"/>
  <c r="AU437" i="1" s="1"/>
  <c r="AW554" i="1"/>
  <c r="H554" i="1"/>
  <c r="BH554" i="1"/>
  <c r="AD554" i="1" s="1"/>
  <c r="AV555" i="1"/>
  <c r="BC555" i="1"/>
  <c r="BH592" i="1"/>
  <c r="AD592" i="1" s="1"/>
  <c r="H592" i="1"/>
  <c r="AW592" i="1"/>
  <c r="BI653" i="1"/>
  <c r="AE653" i="1" s="1"/>
  <c r="I653" i="1"/>
  <c r="BC95" i="1"/>
  <c r="BC218" i="1"/>
  <c r="BH262" i="1"/>
  <c r="AD262" i="1" s="1"/>
  <c r="AV393" i="1"/>
  <c r="BI592" i="1"/>
  <c r="AE592" i="1" s="1"/>
  <c r="I592" i="1"/>
  <c r="BI600" i="1"/>
  <c r="AE600" i="1" s="1"/>
  <c r="AX414" i="1"/>
  <c r="AV414" i="1" s="1"/>
  <c r="I414" i="1"/>
  <c r="BC159" i="1"/>
  <c r="H334" i="1"/>
  <c r="E27" i="2" s="1"/>
  <c r="AX420" i="1"/>
  <c r="AV429" i="1"/>
  <c r="AV553" i="1"/>
  <c r="BC553" i="1"/>
  <c r="BH585" i="1"/>
  <c r="AD585" i="1" s="1"/>
  <c r="AW585" i="1"/>
  <c r="H585" i="1"/>
  <c r="BH628" i="1"/>
  <c r="AD628" i="1" s="1"/>
  <c r="H628" i="1"/>
  <c r="AW628" i="1"/>
  <c r="AW652" i="1"/>
  <c r="H652" i="1"/>
  <c r="BH652" i="1"/>
  <c r="AD652" i="1" s="1"/>
  <c r="AX653" i="1"/>
  <c r="H95" i="1"/>
  <c r="AT115" i="1"/>
  <c r="H141" i="1"/>
  <c r="AW141" i="1"/>
  <c r="BC222" i="1"/>
  <c r="AV222" i="1"/>
  <c r="J453" i="1"/>
  <c r="G39" i="2" s="1"/>
  <c r="I39" i="2" s="1"/>
  <c r="AU466" i="1"/>
  <c r="BI542" i="1"/>
  <c r="I542" i="1"/>
  <c r="I538" i="1" s="1"/>
  <c r="F46" i="2" s="1"/>
  <c r="AX543" i="1"/>
  <c r="AV543" i="1" s="1"/>
  <c r="I543" i="1"/>
  <c r="BI543" i="1"/>
  <c r="AT547" i="1"/>
  <c r="AU547" i="1"/>
  <c r="BI585" i="1"/>
  <c r="AE585" i="1" s="1"/>
  <c r="I585" i="1"/>
  <c r="AX585" i="1"/>
  <c r="AX592" i="1"/>
  <c r="BI628" i="1"/>
  <c r="AE628" i="1" s="1"/>
  <c r="I628" i="1"/>
  <c r="AX628" i="1"/>
  <c r="BC732" i="1"/>
  <c r="AV732" i="1"/>
  <c r="BI257" i="1"/>
  <c r="AE257" i="1" s="1"/>
  <c r="I257" i="1"/>
  <c r="BC267" i="1"/>
  <c r="BH396" i="1"/>
  <c r="AB396" i="1" s="1"/>
  <c r="AW396" i="1"/>
  <c r="BH420" i="1"/>
  <c r="AB420" i="1" s="1"/>
  <c r="H420" i="1"/>
  <c r="H413" i="1" s="1"/>
  <c r="E34" i="2" s="1"/>
  <c r="AW420" i="1"/>
  <c r="J466" i="1"/>
  <c r="G40" i="2" s="1"/>
  <c r="I40" i="2" s="1"/>
  <c r="AL522" i="1"/>
  <c r="J518" i="1"/>
  <c r="G41" i="2" s="1"/>
  <c r="I41" i="2" s="1"/>
  <c r="AV557" i="1"/>
  <c r="BC557" i="1"/>
  <c r="AX599" i="1"/>
  <c r="AV599" i="1" s="1"/>
  <c r="AX602" i="1"/>
  <c r="I666" i="1"/>
  <c r="AX666" i="1"/>
  <c r="AV666" i="1" s="1"/>
  <c r="BI666" i="1"/>
  <c r="AE666" i="1" s="1"/>
  <c r="BH686" i="1"/>
  <c r="AB686" i="1" s="1"/>
  <c r="H686" i="1"/>
  <c r="H685" i="1" s="1"/>
  <c r="E53" i="2" s="1"/>
  <c r="AW686" i="1"/>
  <c r="AW55" i="1"/>
  <c r="I38" i="1"/>
  <c r="AW70" i="1"/>
  <c r="AX124" i="1"/>
  <c r="BC124" i="1" s="1"/>
  <c r="I152" i="1"/>
  <c r="F23" i="2" s="1"/>
  <c r="I214" i="1"/>
  <c r="BI214" i="1"/>
  <c r="AE214" i="1" s="1"/>
  <c r="H278" i="1"/>
  <c r="AW278" i="1"/>
  <c r="I22" i="1"/>
  <c r="I21" i="1" s="1"/>
  <c r="F13" i="2" s="1"/>
  <c r="BI22" i="1"/>
  <c r="AC22" i="1" s="1"/>
  <c r="BI38" i="1"/>
  <c r="AC38" i="1" s="1"/>
  <c r="I95" i="1"/>
  <c r="H138" i="1"/>
  <c r="AV159" i="1"/>
  <c r="AX222" i="1"/>
  <c r="AV224" i="1"/>
  <c r="H262" i="1"/>
  <c r="AX276" i="1"/>
  <c r="AT277" i="1"/>
  <c r="J334" i="1"/>
  <c r="G27" i="2" s="1"/>
  <c r="I27" i="2" s="1"/>
  <c r="AL335" i="1"/>
  <c r="AU334" i="1" s="1"/>
  <c r="I338" i="1"/>
  <c r="I334" i="1" s="1"/>
  <c r="F27" i="2" s="1"/>
  <c r="BI414" i="1"/>
  <c r="AC414" i="1" s="1"/>
  <c r="BC429" i="1"/>
  <c r="BI430" i="1"/>
  <c r="I430" i="1"/>
  <c r="H538" i="1"/>
  <c r="E46" i="2" s="1"/>
  <c r="BC590" i="1"/>
  <c r="I600" i="1"/>
  <c r="J616" i="1"/>
  <c r="G50" i="2" s="1"/>
  <c r="I50" i="2" s="1"/>
  <c r="AL617" i="1"/>
  <c r="AU616" i="1" s="1"/>
  <c r="AV427" i="1"/>
  <c r="AS437" i="1"/>
  <c r="BH527" i="1"/>
  <c r="AD527" i="1" s="1"/>
  <c r="H527" i="1"/>
  <c r="AV545" i="1"/>
  <c r="BC545" i="1"/>
  <c r="AV561" i="1"/>
  <c r="BC561" i="1"/>
  <c r="AV563" i="1"/>
  <c r="AX568" i="1"/>
  <c r="BI568" i="1"/>
  <c r="AE568" i="1" s="1"/>
  <c r="I568" i="1"/>
  <c r="AU341" i="1"/>
  <c r="BH399" i="1"/>
  <c r="AB399" i="1" s="1"/>
  <c r="H399" i="1"/>
  <c r="BI626" i="1"/>
  <c r="AE626" i="1" s="1"/>
  <c r="AX626" i="1"/>
  <c r="I626" i="1"/>
  <c r="BI686" i="1"/>
  <c r="AC686" i="1" s="1"/>
  <c r="I686" i="1"/>
  <c r="I685" i="1" s="1"/>
  <c r="F53" i="2" s="1"/>
  <c r="AV335" i="1"/>
  <c r="BI399" i="1"/>
  <c r="AC399" i="1" s="1"/>
  <c r="I399" i="1"/>
  <c r="AX399" i="1"/>
  <c r="BC527" i="1"/>
  <c r="AX694" i="1"/>
  <c r="I694" i="1"/>
  <c r="I693" i="1" s="1"/>
  <c r="F56" i="2" s="1"/>
  <c r="BI694" i="1"/>
  <c r="AV474" i="1"/>
  <c r="BC566" i="1"/>
  <c r="BC605" i="1"/>
  <c r="AV605" i="1"/>
  <c r="AW610" i="1"/>
  <c r="H610" i="1"/>
  <c r="AX612" i="1"/>
  <c r="AV612" i="1" s="1"/>
  <c r="I612" i="1"/>
  <c r="AX686" i="1"/>
  <c r="BC707" i="1"/>
  <c r="AW399" i="1"/>
  <c r="AW467" i="1"/>
  <c r="BC470" i="1"/>
  <c r="AV470" i="1"/>
  <c r="H478" i="1"/>
  <c r="H466" i="1" s="1"/>
  <c r="E40" i="2" s="1"/>
  <c r="BH478" i="1"/>
  <c r="AD478" i="1" s="1"/>
  <c r="BH603" i="1"/>
  <c r="AD603" i="1" s="1"/>
  <c r="H603" i="1"/>
  <c r="AW603" i="1"/>
  <c r="BI611" i="1"/>
  <c r="AE611" i="1" s="1"/>
  <c r="I611" i="1"/>
  <c r="BC612" i="1"/>
  <c r="AS616" i="1"/>
  <c r="BC625" i="1"/>
  <c r="AV625" i="1"/>
  <c r="BC650" i="1"/>
  <c r="AV650" i="1"/>
  <c r="AW660" i="1"/>
  <c r="BH660" i="1"/>
  <c r="AD660" i="1" s="1"/>
  <c r="H660" i="1"/>
  <c r="BC661" i="1"/>
  <c r="AT246" i="1"/>
  <c r="AX283" i="1"/>
  <c r="BC283" i="1" s="1"/>
  <c r="BC404" i="1"/>
  <c r="AX467" i="1"/>
  <c r="AV473" i="1"/>
  <c r="AW476" i="1"/>
  <c r="AV532" i="1"/>
  <c r="J575" i="1"/>
  <c r="G49" i="2" s="1"/>
  <c r="I49" i="2" s="1"/>
  <c r="BI603" i="1"/>
  <c r="AE603" i="1" s="1"/>
  <c r="I603" i="1"/>
  <c r="BC664" i="1"/>
  <c r="H723" i="1"/>
  <c r="H722" i="1" s="1"/>
  <c r="E60" i="2" s="1"/>
  <c r="BH723" i="1"/>
  <c r="AB723" i="1" s="1"/>
  <c r="AW723" i="1"/>
  <c r="AV517" i="1"/>
  <c r="BC517" i="1"/>
  <c r="H537" i="1"/>
  <c r="H536" i="1" s="1"/>
  <c r="E45" i="2" s="1"/>
  <c r="BH537" i="1"/>
  <c r="AF537" i="1" s="1"/>
  <c r="AW537" i="1"/>
  <c r="H667" i="1"/>
  <c r="BH667" i="1"/>
  <c r="AD667" i="1" s="1"/>
  <c r="AV689" i="1"/>
  <c r="AW692" i="1"/>
  <c r="H692" i="1"/>
  <c r="H691" i="1" s="1"/>
  <c r="E55" i="2" s="1"/>
  <c r="BH692" i="1"/>
  <c r="AB692" i="1" s="1"/>
  <c r="BH715" i="1"/>
  <c r="AD715" i="1" s="1"/>
  <c r="H715" i="1"/>
  <c r="AW715" i="1"/>
  <c r="BI720" i="1"/>
  <c r="AE720" i="1" s="1"/>
  <c r="I720" i="1"/>
  <c r="BC727" i="1"/>
  <c r="AV727" i="1"/>
  <c r="AV480" i="1"/>
  <c r="BC480" i="1"/>
  <c r="AW485" i="1"/>
  <c r="BH485" i="1"/>
  <c r="AD485" i="1" s="1"/>
  <c r="H491" i="1"/>
  <c r="AW491" i="1"/>
  <c r="AW549" i="1"/>
  <c r="BH549" i="1"/>
  <c r="AD549" i="1" s="1"/>
  <c r="BH580" i="1"/>
  <c r="AD580" i="1" s="1"/>
  <c r="H580" i="1"/>
  <c r="H575" i="1" s="1"/>
  <c r="E49" i="2" s="1"/>
  <c r="AW580" i="1"/>
  <c r="BI643" i="1"/>
  <c r="AE643" i="1" s="1"/>
  <c r="AX643" i="1"/>
  <c r="AV643" i="1" s="1"/>
  <c r="AV667" i="1"/>
  <c r="AT704" i="1"/>
  <c r="BH719" i="1"/>
  <c r="AD719" i="1" s="1"/>
  <c r="H719" i="1"/>
  <c r="AW719" i="1"/>
  <c r="AT388" i="1"/>
  <c r="BC402" i="1"/>
  <c r="BI549" i="1"/>
  <c r="AE549" i="1" s="1"/>
  <c r="I549" i="1"/>
  <c r="AW665" i="1"/>
  <c r="H665" i="1"/>
  <c r="BH665" i="1"/>
  <c r="AD665" i="1" s="1"/>
  <c r="BC666" i="1"/>
  <c r="I676" i="1"/>
  <c r="F52" i="2" s="1"/>
  <c r="BC700" i="1"/>
  <c r="AV700" i="1"/>
  <c r="BH709" i="1"/>
  <c r="AD709" i="1" s="1"/>
  <c r="H709" i="1"/>
  <c r="H704" i="1" s="1"/>
  <c r="AW709" i="1"/>
  <c r="BH712" i="1"/>
  <c r="AD712" i="1" s="1"/>
  <c r="H712" i="1"/>
  <c r="AW712" i="1"/>
  <c r="AX719" i="1"/>
  <c r="I719" i="1"/>
  <c r="BI719" i="1"/>
  <c r="AE719" i="1" s="1"/>
  <c r="AV438" i="1"/>
  <c r="AL677" i="1"/>
  <c r="AU676" i="1" s="1"/>
  <c r="J676" i="1"/>
  <c r="G52" i="2" s="1"/>
  <c r="I52" i="2" s="1"/>
  <c r="BC697" i="1"/>
  <c r="BI709" i="1"/>
  <c r="AE709" i="1" s="1"/>
  <c r="I709" i="1"/>
  <c r="BI712" i="1"/>
  <c r="AE712" i="1" s="1"/>
  <c r="I712" i="1"/>
  <c r="I704" i="1" s="1"/>
  <c r="AX489" i="1"/>
  <c r="AX549" i="1"/>
  <c r="AW551" i="1"/>
  <c r="AW552" i="1"/>
  <c r="BI636" i="1"/>
  <c r="AE636" i="1" s="1"/>
  <c r="I636" i="1"/>
  <c r="AX636" i="1"/>
  <c r="AV636" i="1" s="1"/>
  <c r="BC641" i="1"/>
  <c r="AV641" i="1"/>
  <c r="H688" i="1"/>
  <c r="E54" i="2" s="1"/>
  <c r="BC699" i="1"/>
  <c r="BI707" i="1"/>
  <c r="AE707" i="1" s="1"/>
  <c r="I707" i="1"/>
  <c r="I725" i="1"/>
  <c r="F61" i="2" s="1"/>
  <c r="BH732" i="1"/>
  <c r="H732" i="1"/>
  <c r="H402" i="1"/>
  <c r="AW433" i="1"/>
  <c r="H494" i="1"/>
  <c r="BH494" i="1"/>
  <c r="AD494" i="1" s="1"/>
  <c r="H495" i="1"/>
  <c r="BH495" i="1"/>
  <c r="AD495" i="1" s="1"/>
  <c r="AW519" i="1"/>
  <c r="BC548" i="1"/>
  <c r="AX551" i="1"/>
  <c r="AX661" i="1"/>
  <c r="I661" i="1"/>
  <c r="AV662" i="1"/>
  <c r="BI664" i="1"/>
  <c r="AE664" i="1" s="1"/>
  <c r="I664" i="1"/>
  <c r="AX664" i="1"/>
  <c r="AV664" i="1" s="1"/>
  <c r="AX706" i="1"/>
  <c r="BC706" i="1" s="1"/>
  <c r="AX709" i="1"/>
  <c r="AX712" i="1"/>
  <c r="AV731" i="1"/>
  <c r="AV497" i="1"/>
  <c r="BI527" i="1"/>
  <c r="AE527" i="1" s="1"/>
  <c r="I527" i="1"/>
  <c r="I523" i="1" s="1"/>
  <c r="F42" i="2" s="1"/>
  <c r="AX527" i="1"/>
  <c r="AV527" i="1" s="1"/>
  <c r="BC529" i="1"/>
  <c r="AV529" i="1"/>
  <c r="AT616" i="1"/>
  <c r="AV619" i="1"/>
  <c r="BC629" i="1"/>
  <c r="AV629" i="1"/>
  <c r="BI634" i="1"/>
  <c r="AE634" i="1" s="1"/>
  <c r="I634" i="1"/>
  <c r="AW639" i="1"/>
  <c r="H639" i="1"/>
  <c r="BI641" i="1"/>
  <c r="AE641" i="1" s="1"/>
  <c r="I641" i="1"/>
  <c r="BH646" i="1"/>
  <c r="AD646" i="1" s="1"/>
  <c r="H646" i="1"/>
  <c r="AW646" i="1"/>
  <c r="BH651" i="1"/>
  <c r="AD651" i="1" s="1"/>
  <c r="H651" i="1"/>
  <c r="BH655" i="1"/>
  <c r="AD655" i="1" s="1"/>
  <c r="H655" i="1"/>
  <c r="BH658" i="1"/>
  <c r="AD658" i="1" s="1"/>
  <c r="H658" i="1"/>
  <c r="BI673" i="1"/>
  <c r="AE673" i="1" s="1"/>
  <c r="I673" i="1"/>
  <c r="I672" i="1" s="1"/>
  <c r="F51" i="2" s="1"/>
  <c r="AX673" i="1"/>
  <c r="J547" i="1"/>
  <c r="AV578" i="1"/>
  <c r="AW617" i="1"/>
  <c r="H617" i="1"/>
  <c r="BH617" i="1"/>
  <c r="AD617" i="1" s="1"/>
  <c r="BH636" i="1"/>
  <c r="AD636" i="1" s="1"/>
  <c r="H636" i="1"/>
  <c r="BI651" i="1"/>
  <c r="AE651" i="1" s="1"/>
  <c r="I651" i="1"/>
  <c r="AX651" i="1"/>
  <c r="BC651" i="1" s="1"/>
  <c r="BI655" i="1"/>
  <c r="AE655" i="1" s="1"/>
  <c r="I655" i="1"/>
  <c r="AX655" i="1"/>
  <c r="BC655" i="1" s="1"/>
  <c r="BC656" i="1"/>
  <c r="AV656" i="1"/>
  <c r="BI657" i="1"/>
  <c r="AE657" i="1" s="1"/>
  <c r="I657" i="1"/>
  <c r="BI580" i="1"/>
  <c r="AE580" i="1" s="1"/>
  <c r="I580" i="1"/>
  <c r="I575" i="1" s="1"/>
  <c r="F49" i="2" s="1"/>
  <c r="BC582" i="1"/>
  <c r="BC586" i="1"/>
  <c r="AV586" i="1"/>
  <c r="AV588" i="1"/>
  <c r="BI680" i="1"/>
  <c r="AC680" i="1" s="1"/>
  <c r="I680" i="1"/>
  <c r="BH683" i="1"/>
  <c r="AB683" i="1" s="1"/>
  <c r="H683" i="1"/>
  <c r="BI699" i="1"/>
  <c r="I699" i="1"/>
  <c r="I695" i="1" s="1"/>
  <c r="F57" i="2" s="1"/>
  <c r="BH700" i="1"/>
  <c r="H700" i="1"/>
  <c r="H695" i="1" s="1"/>
  <c r="E57" i="2" s="1"/>
  <c r="AX501" i="1"/>
  <c r="AU518" i="1"/>
  <c r="BC588" i="1"/>
  <c r="AX680" i="1"/>
  <c r="AW683" i="1"/>
  <c r="J691" i="1"/>
  <c r="G55" i="2" s="1"/>
  <c r="I55" i="2" s="1"/>
  <c r="AL692" i="1"/>
  <c r="AU691" i="1" s="1"/>
  <c r="I700" i="1"/>
  <c r="AX700" i="1"/>
  <c r="BI700" i="1"/>
  <c r="BH729" i="1"/>
  <c r="H729" i="1"/>
  <c r="I584" i="1"/>
  <c r="I598" i="1"/>
  <c r="BH668" i="1"/>
  <c r="AD668" i="1" s="1"/>
  <c r="H668" i="1"/>
  <c r="I683" i="1"/>
  <c r="AX683" i="1"/>
  <c r="I688" i="1"/>
  <c r="F54" i="2" s="1"/>
  <c r="J725" i="1"/>
  <c r="G61" i="2" s="1"/>
  <c r="I61" i="2" s="1"/>
  <c r="AL726" i="1"/>
  <c r="AU725" i="1" s="1"/>
  <c r="H730" i="1"/>
  <c r="H725" i="1" s="1"/>
  <c r="E61" i="2" s="1"/>
  <c r="AW730" i="1"/>
  <c r="BC594" i="1"/>
  <c r="AV594" i="1"/>
  <c r="H654" i="1"/>
  <c r="BH659" i="1"/>
  <c r="AD659" i="1" s="1"/>
  <c r="H659" i="1"/>
  <c r="BH673" i="1"/>
  <c r="AD673" i="1" s="1"/>
  <c r="H673" i="1"/>
  <c r="H672" i="1" s="1"/>
  <c r="E51" i="2" s="1"/>
  <c r="AW673" i="1"/>
  <c r="BI646" i="1"/>
  <c r="AE646" i="1" s="1"/>
  <c r="I646" i="1"/>
  <c r="AX646" i="1"/>
  <c r="BC647" i="1"/>
  <c r="AV647" i="1"/>
  <c r="AW659" i="1"/>
  <c r="AV661" i="1"/>
  <c r="AW694" i="1"/>
  <c r="AX702" i="1"/>
  <c r="AV702" i="1" s="1"/>
  <c r="AW713" i="1"/>
  <c r="BI715" i="1"/>
  <c r="AE715" i="1" s="1"/>
  <c r="I715" i="1"/>
  <c r="BH620" i="1"/>
  <c r="AD620" i="1" s="1"/>
  <c r="H620" i="1"/>
  <c r="AS704" i="1"/>
  <c r="BI581" i="1"/>
  <c r="AE581" i="1" s="1"/>
  <c r="BI594" i="1"/>
  <c r="AE594" i="1" s="1"/>
  <c r="BI620" i="1"/>
  <c r="AE620" i="1" s="1"/>
  <c r="I620" i="1"/>
  <c r="I616" i="1" s="1"/>
  <c r="F50" i="2" s="1"/>
  <c r="AX620" i="1"/>
  <c r="BC620" i="1" s="1"/>
  <c r="BC623" i="1"/>
  <c r="AV623" i="1"/>
  <c r="AS575" i="1"/>
  <c r="I581" i="1"/>
  <c r="I594" i="1"/>
  <c r="I605" i="1"/>
  <c r="AX619" i="1"/>
  <c r="BC619" i="1" s="1"/>
  <c r="BH664" i="1"/>
  <c r="AD664" i="1" s="1"/>
  <c r="H664" i="1"/>
  <c r="H694" i="1"/>
  <c r="H693" i="1" s="1"/>
  <c r="E56" i="2" s="1"/>
  <c r="AV576" i="1"/>
  <c r="AV581" i="1"/>
  <c r="E59" i="2" l="1"/>
  <c r="H703" i="1"/>
  <c r="E58" i="2" s="1"/>
  <c r="E12" i="2"/>
  <c r="E38" i="2"/>
  <c r="E48" i="2"/>
  <c r="F38" i="2"/>
  <c r="I436" i="1"/>
  <c r="F37" i="2" s="1"/>
  <c r="F59" i="2"/>
  <c r="I703" i="1"/>
  <c r="F58" i="2" s="1"/>
  <c r="C22" i="4"/>
  <c r="H21" i="5" s="1"/>
  <c r="I21" i="5" s="1"/>
  <c r="AV680" i="1"/>
  <c r="BC680" i="1"/>
  <c r="BC514" i="1"/>
  <c r="AV514" i="1"/>
  <c r="BC461" i="1"/>
  <c r="AV461" i="1"/>
  <c r="BC131" i="1"/>
  <c r="AV131" i="1"/>
  <c r="G59" i="2"/>
  <c r="I59" i="2" s="1"/>
  <c r="J703" i="1"/>
  <c r="G58" i="2" s="1"/>
  <c r="AV70" i="1"/>
  <c r="BC70" i="1"/>
  <c r="H61" i="1"/>
  <c r="E15" i="2" s="1"/>
  <c r="H128" i="1"/>
  <c r="E20" i="2" s="1"/>
  <c r="BC456" i="1"/>
  <c r="AV456" i="1"/>
  <c r="BC460" i="1"/>
  <c r="AV460" i="1"/>
  <c r="BC543" i="1"/>
  <c r="BC467" i="1"/>
  <c r="AV467" i="1"/>
  <c r="AV283" i="1"/>
  <c r="BC372" i="1"/>
  <c r="AV372" i="1"/>
  <c r="AV276" i="1"/>
  <c r="BC276" i="1"/>
  <c r="BC435" i="1"/>
  <c r="AV435" i="1"/>
  <c r="AV99" i="1"/>
  <c r="BC99" i="1"/>
  <c r="BC568" i="1"/>
  <c r="AV568" i="1"/>
  <c r="BC22" i="1"/>
  <c r="AV22" i="1"/>
  <c r="I453" i="1"/>
  <c r="F39" i="2" s="1"/>
  <c r="BC646" i="1"/>
  <c r="AV646" i="1"/>
  <c r="BC665" i="1"/>
  <c r="AV665" i="1"/>
  <c r="AV651" i="1"/>
  <c r="G38" i="2"/>
  <c r="I38" i="2" s="1"/>
  <c r="J436" i="1"/>
  <c r="G37" i="2" s="1"/>
  <c r="BC153" i="1"/>
  <c r="AV153" i="1"/>
  <c r="AV313" i="1"/>
  <c r="BC313" i="1"/>
  <c r="BC493" i="1"/>
  <c r="AV493" i="1"/>
  <c r="AV375" i="1"/>
  <c r="BC375" i="1"/>
  <c r="AV209" i="1"/>
  <c r="AV653" i="1"/>
  <c r="BC653" i="1"/>
  <c r="BC414" i="1"/>
  <c r="BC599" i="1"/>
  <c r="BC137" i="1"/>
  <c r="AV137" i="1"/>
  <c r="BC338" i="1"/>
  <c r="BC144" i="1"/>
  <c r="AV144" i="1"/>
  <c r="BC379" i="1"/>
  <c r="BC241" i="1"/>
  <c r="AV241" i="1"/>
  <c r="BC446" i="1"/>
  <c r="AV446" i="1"/>
  <c r="AV150" i="1"/>
  <c r="BC551" i="1"/>
  <c r="AV551" i="1"/>
  <c r="BC580" i="1"/>
  <c r="AV580" i="1"/>
  <c r="BC694" i="1"/>
  <c r="AV694" i="1"/>
  <c r="BC549" i="1"/>
  <c r="AV549" i="1"/>
  <c r="BC236" i="1"/>
  <c r="AV236" i="1"/>
  <c r="BC723" i="1"/>
  <c r="AV723" i="1"/>
  <c r="H196" i="1"/>
  <c r="E24" i="2" s="1"/>
  <c r="H136" i="1"/>
  <c r="E22" i="2" s="1"/>
  <c r="AV143" i="1"/>
  <c r="BC143" i="1"/>
  <c r="BC135" i="1"/>
  <c r="BC116" i="1"/>
  <c r="AV116" i="1"/>
  <c r="BC585" i="1"/>
  <c r="AV585" i="1"/>
  <c r="BC26" i="1"/>
  <c r="AV26" i="1"/>
  <c r="BC489" i="1"/>
  <c r="AV489" i="1"/>
  <c r="F12" i="2"/>
  <c r="BC449" i="1"/>
  <c r="AV449" i="1"/>
  <c r="BC562" i="1"/>
  <c r="AV562" i="1"/>
  <c r="AV620" i="1"/>
  <c r="BC719" i="1"/>
  <c r="AV719" i="1"/>
  <c r="AV610" i="1"/>
  <c r="BC610" i="1"/>
  <c r="AV124" i="1"/>
  <c r="BC572" i="1"/>
  <c r="AV572" i="1"/>
  <c r="H25" i="1"/>
  <c r="E14" i="2" s="1"/>
  <c r="H676" i="1"/>
  <c r="E52" i="2" s="1"/>
  <c r="BC113" i="1"/>
  <c r="BC257" i="1"/>
  <c r="AV257" i="1"/>
  <c r="AV141" i="1"/>
  <c r="BC141" i="1"/>
  <c r="BC673" i="1"/>
  <c r="AV673" i="1"/>
  <c r="BC278" i="1"/>
  <c r="AV278" i="1"/>
  <c r="BC424" i="1"/>
  <c r="AV424" i="1"/>
  <c r="AV434" i="1"/>
  <c r="BC434" i="1"/>
  <c r="BC454" i="1"/>
  <c r="AV454" i="1"/>
  <c r="BC626" i="1"/>
  <c r="AV626" i="1"/>
  <c r="BC204" i="1"/>
  <c r="AV204" i="1"/>
  <c r="BC677" i="1"/>
  <c r="AV677" i="1"/>
  <c r="I61" i="1"/>
  <c r="F15" i="2" s="1"/>
  <c r="AV452" i="1"/>
  <c r="BC452" i="1"/>
  <c r="BC245" i="1"/>
  <c r="AV245" i="1"/>
  <c r="BC62" i="1"/>
  <c r="AV62" i="1"/>
  <c r="BC55" i="1"/>
  <c r="AV55" i="1"/>
  <c r="BC720" i="1"/>
  <c r="AV720" i="1"/>
  <c r="I413" i="1"/>
  <c r="F34" i="2" s="1"/>
  <c r="H277" i="1"/>
  <c r="E26" i="2" s="1"/>
  <c r="AV628" i="1"/>
  <c r="BC628" i="1"/>
  <c r="AV706" i="1"/>
  <c r="AV501" i="1"/>
  <c r="BC501" i="1"/>
  <c r="BC177" i="1"/>
  <c r="AV177" i="1"/>
  <c r="AV445" i="1"/>
  <c r="BC445" i="1"/>
  <c r="I246" i="1"/>
  <c r="F25" i="2" s="1"/>
  <c r="BC730" i="1"/>
  <c r="AV730" i="1"/>
  <c r="AV476" i="1"/>
  <c r="BC476" i="1"/>
  <c r="BC509" i="1"/>
  <c r="AV509" i="1"/>
  <c r="BC171" i="1"/>
  <c r="AV171" i="1"/>
  <c r="BC713" i="1"/>
  <c r="AV713" i="1"/>
  <c r="BC333" i="1"/>
  <c r="AV333" i="1"/>
  <c r="BC38" i="1"/>
  <c r="AV38" i="1"/>
  <c r="BC702" i="1"/>
  <c r="BC692" i="1"/>
  <c r="AV692" i="1"/>
  <c r="BC129" i="1"/>
  <c r="AV129" i="1"/>
  <c r="BC499" i="1"/>
  <c r="AV499" i="1"/>
  <c r="F48" i="2"/>
  <c r="I546" i="1"/>
  <c r="F47" i="2" s="1"/>
  <c r="BC686" i="1"/>
  <c r="AV686" i="1"/>
  <c r="BC399" i="1"/>
  <c r="AV399" i="1"/>
  <c r="BC52" i="1"/>
  <c r="AV52" i="1"/>
  <c r="BC252" i="1"/>
  <c r="AV252" i="1"/>
  <c r="BC660" i="1"/>
  <c r="AV660" i="1"/>
  <c r="BC151" i="1"/>
  <c r="AV151" i="1"/>
  <c r="BC465" i="1"/>
  <c r="AV465" i="1"/>
  <c r="BC145" i="1"/>
  <c r="AV145" i="1"/>
  <c r="BC464" i="1"/>
  <c r="AV464" i="1"/>
  <c r="AV655" i="1"/>
  <c r="BC643" i="1"/>
  <c r="BC639" i="1"/>
  <c r="AV639" i="1"/>
  <c r="H616" i="1"/>
  <c r="E50" i="2" s="1"/>
  <c r="BC617" i="1"/>
  <c r="AV617" i="1"/>
  <c r="BC715" i="1"/>
  <c r="AV715" i="1"/>
  <c r="BC603" i="1"/>
  <c r="AV603" i="1"/>
  <c r="BC247" i="1"/>
  <c r="AV247" i="1"/>
  <c r="BC670" i="1"/>
  <c r="AV670" i="1"/>
  <c r="AV50" i="1"/>
  <c r="G48" i="2"/>
  <c r="I48" i="2" s="1"/>
  <c r="J546" i="1"/>
  <c r="G47" i="2" s="1"/>
  <c r="BC709" i="1"/>
  <c r="AV709" i="1"/>
  <c r="BC214" i="1"/>
  <c r="AV214" i="1"/>
  <c r="BC552" i="1"/>
  <c r="AV552" i="1"/>
  <c r="BC592" i="1"/>
  <c r="AV592" i="1"/>
  <c r="BC106" i="1"/>
  <c r="AV106" i="1"/>
  <c r="BC512" i="1"/>
  <c r="AV512" i="1"/>
  <c r="BC519" i="1"/>
  <c r="AV519" i="1"/>
  <c r="BC396" i="1"/>
  <c r="AV396" i="1"/>
  <c r="I25" i="1"/>
  <c r="F14" i="2" s="1"/>
  <c r="BC659" i="1"/>
  <c r="AV659" i="1"/>
  <c r="AV433" i="1"/>
  <c r="BC433" i="1"/>
  <c r="AV537" i="1"/>
  <c r="BC537" i="1"/>
  <c r="BC558" i="1"/>
  <c r="AV558" i="1"/>
  <c r="BC114" i="1"/>
  <c r="AV114" i="1"/>
  <c r="J733" i="1"/>
  <c r="G12" i="2"/>
  <c r="I12" i="2" s="1"/>
  <c r="G62" i="2" s="1"/>
  <c r="J12" i="1"/>
  <c r="G11" i="2" s="1"/>
  <c r="BC491" i="1"/>
  <c r="AV491" i="1"/>
  <c r="BC554" i="1"/>
  <c r="AV554" i="1"/>
  <c r="BC462" i="1"/>
  <c r="AV462" i="1"/>
  <c r="BC524" i="1"/>
  <c r="AV524" i="1"/>
  <c r="BC386" i="1"/>
  <c r="AV386" i="1"/>
  <c r="BC442" i="1"/>
  <c r="AV442" i="1"/>
  <c r="H523" i="1"/>
  <c r="E42" i="2" s="1"/>
  <c r="BC31" i="1"/>
  <c r="AV31" i="1"/>
  <c r="AV485" i="1"/>
  <c r="BC485" i="1"/>
  <c r="BC197" i="1"/>
  <c r="AV197" i="1"/>
  <c r="BC602" i="1"/>
  <c r="AV602" i="1"/>
  <c r="H152" i="1"/>
  <c r="E23" i="2" s="1"/>
  <c r="BC652" i="1"/>
  <c r="AV652" i="1"/>
  <c r="BC326" i="1"/>
  <c r="AV326" i="1"/>
  <c r="AV712" i="1"/>
  <c r="BC712" i="1"/>
  <c r="BC255" i="1"/>
  <c r="AV255" i="1"/>
  <c r="BC683" i="1"/>
  <c r="AV683" i="1"/>
  <c r="BC636" i="1"/>
  <c r="BC420" i="1"/>
  <c r="AV420" i="1"/>
  <c r="BC668" i="1"/>
  <c r="AV287" i="1"/>
  <c r="BC287" i="1"/>
  <c r="BC66" i="1"/>
  <c r="AV66" i="1"/>
  <c r="I371" i="1"/>
  <c r="F30" i="2" s="1"/>
  <c r="I12" i="1" l="1"/>
  <c r="F11" i="2" s="1"/>
  <c r="H436" i="1"/>
  <c r="E37" i="2" s="1"/>
  <c r="H546" i="1"/>
  <c r="E47" i="2" s="1"/>
  <c r="H12" i="1"/>
  <c r="E11" i="2" s="1"/>
  <c r="I27" i="5"/>
  <c r="F29" i="5" s="1"/>
  <c r="I14" i="4"/>
  <c r="I22" i="4" s="1"/>
  <c r="C29" i="4" s="1"/>
  <c r="F29" i="4" l="1"/>
  <c r="I28" i="4"/>
  <c r="I29" i="4" s="1"/>
</calcChain>
</file>

<file path=xl/sharedStrings.xml><?xml version="1.0" encoding="utf-8"?>
<sst xmlns="http://schemas.openxmlformats.org/spreadsheetml/2006/main" count="9032" uniqueCount="1439">
  <si>
    <t>Slepý stavební rozpočet</t>
  </si>
  <si>
    <t>Název stavby:</t>
  </si>
  <si>
    <t>Změna účelu užívání - Centrum duševního zdraví, Nerudova 1156, Bohumín</t>
  </si>
  <si>
    <t>Doba výstavby:</t>
  </si>
  <si>
    <t xml:space="preserve"> </t>
  </si>
  <si>
    <t>Objednatel:</t>
  </si>
  <si>
    <t>Město Bohumín, Masarykova 158, Bohumín</t>
  </si>
  <si>
    <t>Druh stavby:</t>
  </si>
  <si>
    <t>stavební část, ÚT, ZTI, VZT</t>
  </si>
  <si>
    <t>Začátek výstavby:</t>
  </si>
  <si>
    <t>Projektant:</t>
  </si>
  <si>
    <t>ENERGETING.CZ, s.r.o.</t>
  </si>
  <si>
    <t>Lokalita:</t>
  </si>
  <si>
    <t>Nerudova č. p. 1156, Nový Bohumín, 735 81 Bohumín</t>
  </si>
  <si>
    <t>Konec výstavby:</t>
  </si>
  <si>
    <t>Zhotovitel:</t>
  </si>
  <si>
    <t> </t>
  </si>
  <si>
    <t>JKSO:</t>
  </si>
  <si>
    <t>8011323</t>
  </si>
  <si>
    <t>Zpracováno dne:</t>
  </si>
  <si>
    <t>13.03.2025</t>
  </si>
  <si>
    <t>Zpracoval:</t>
  </si>
  <si>
    <t>Bc. Slowiková</t>
  </si>
  <si>
    <t>Č</t>
  </si>
  <si>
    <t>Kód</t>
  </si>
  <si>
    <t>Zkrácený popis</t>
  </si>
  <si>
    <t>MJ</t>
  </si>
  <si>
    <t>Množství</t>
  </si>
  <si>
    <t>Cena/MJ</t>
  </si>
  <si>
    <t>Náklady (Kč)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</si>
  <si>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</si>
  <si>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</si>
  <si>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</si>
  <si>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</si>
  <si>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</si>
  <si>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</si>
  <si>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</si>
  <si>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</si>
  <si>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</si>
  <si>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</si>
  <si>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</si>
  <si>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</si>
  <si>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</si>
  <si>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</si>
  <si>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</si>
  <si>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</si>
  <si>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</si>
  <si>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</si>
  <si>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</si>
  <si>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</si>
  <si>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</si>
  <si>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</si>
  <si>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</si>
  <si>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stavební část</t>
  </si>
  <si>
    <t>18</t>
  </si>
  <si>
    <t>Povrchové úpravy terénu</t>
  </si>
  <si>
    <t>1</t>
  </si>
  <si>
    <t>180402111R00</t>
  </si>
  <si>
    <t>Založení trávníku parkového výsevem v rovině</t>
  </si>
  <si>
    <t>m2</t>
  </si>
  <si>
    <t>RTS I / 2025</t>
  </si>
  <si>
    <t>18_</t>
  </si>
  <si>
    <t>1_1_</t>
  </si>
  <si>
    <t>1_</t>
  </si>
  <si>
    <t>P</t>
  </si>
  <si>
    <t>5*1,5</t>
  </si>
  <si>
    <t>2</t>
  </si>
  <si>
    <t>00572400</t>
  </si>
  <si>
    <t>Směs travní parková I. běžná zátěž</t>
  </si>
  <si>
    <t>kg</t>
  </si>
  <si>
    <t>M</t>
  </si>
  <si>
    <t>1 kg/25 m2</t>
  </si>
  <si>
    <t>(7,5/25)*1</t>
  </si>
  <si>
    <t>3</t>
  </si>
  <si>
    <t>183403153R00</t>
  </si>
  <si>
    <t>Obdělání půdy hrabáním, v rovině</t>
  </si>
  <si>
    <t>31</t>
  </si>
  <si>
    <t>Zdi podpěrné a volné</t>
  </si>
  <si>
    <t>4</t>
  </si>
  <si>
    <t>317120014RAI</t>
  </si>
  <si>
    <t>Osazení překladů prefa, otvor šířky do 375 cm</t>
  </si>
  <si>
    <t>kus</t>
  </si>
  <si>
    <t>31_</t>
  </si>
  <si>
    <t>1_3_</t>
  </si>
  <si>
    <t>bez dodávky - překlad ve specifikaci</t>
  </si>
  <si>
    <t>5</t>
  </si>
  <si>
    <t>59321213</t>
  </si>
  <si>
    <t>Překlad železobetonový vylehčený RZP 239/14/14 V, rozměr 2390 x 140 x 140 mm</t>
  </si>
  <si>
    <t>34</t>
  </si>
  <si>
    <t>Stěny a příčky</t>
  </si>
  <si>
    <t>6</t>
  </si>
  <si>
    <t>346481111RT2</t>
  </si>
  <si>
    <t>Zaplentování rýh, nosníků rabicovým pletivem</t>
  </si>
  <si>
    <t>34_</t>
  </si>
  <si>
    <t>s použitím suché maltové směsi</t>
  </si>
  <si>
    <t>2*0,3+1,0+1,3</t>
  </si>
  <si>
    <t>SV a TV za výlevkou</t>
  </si>
  <si>
    <t>2*4,0+0,7*3+2*1,1</t>
  </si>
  <si>
    <t>SV a TV pro WC1, U2 a napojení na stávající potrubí</t>
  </si>
  <si>
    <t>0,5</t>
  </si>
  <si>
    <t>pro připojovací potrubí umyvadla U2</t>
  </si>
  <si>
    <t>7</t>
  </si>
  <si>
    <t>342261213RS1</t>
  </si>
  <si>
    <t>Příčka sádrokarton. ocel.kce, 2x oplášť. tl.150 mm</t>
  </si>
  <si>
    <t>desky standard tl. 12,5 mm, izol. minerál tl. 8 cm</t>
  </si>
  <si>
    <t>(2*5,9+2,4+5,1+2,8+1,7)*3,0</t>
  </si>
  <si>
    <t>--odečet otvorů--</t>
  </si>
  <si>
    <t>-(0,9*2,05)*3</t>
  </si>
  <si>
    <t>dveře 90/205</t>
  </si>
  <si>
    <t>-(0,9*0,9)*1</t>
  </si>
  <si>
    <t>vnitřní okno 90/90</t>
  </si>
  <si>
    <t>-(0,9*(2,05+0,85))</t>
  </si>
  <si>
    <t>dveře 90/205 s nadsvětlíkem 90/85</t>
  </si>
  <si>
    <t>8</t>
  </si>
  <si>
    <t>342254511R00</t>
  </si>
  <si>
    <t>Příčky z desek pórobetonových tl. 75 mm</t>
  </si>
  <si>
    <t>3,0*1,2</t>
  </si>
  <si>
    <t>9</t>
  </si>
  <si>
    <t>342254811R00</t>
  </si>
  <si>
    <t>Příčky z desek pórobetonových tl. 150 mm</t>
  </si>
  <si>
    <t>2,55*2,3</t>
  </si>
  <si>
    <t>plocha</t>
  </si>
  <si>
    <t>-(0,9*2,05+0,8*2,05)</t>
  </si>
  <si>
    <t>odečet dveří</t>
  </si>
  <si>
    <t>-(2,39*0,14)</t>
  </si>
  <si>
    <t>odečet překladu</t>
  </si>
  <si>
    <t>10</t>
  </si>
  <si>
    <t>340271407R00</t>
  </si>
  <si>
    <t>Zazdívka otvorů pl.0,25 m2, pórobet.tvár.,tl.7,5cm</t>
  </si>
  <si>
    <t>zazdění otvoru v obvodové příčce šachty, 500x200 mm</t>
  </si>
  <si>
    <t>dozdívka kapesy po vybouraném překladu, 140x210 mm</t>
  </si>
  <si>
    <t>11</t>
  </si>
  <si>
    <t>340271415R00</t>
  </si>
  <si>
    <t>Zazdívka otvorů pl.0,25 m2, pórobet.tvár.,tl.15 cm</t>
  </si>
  <si>
    <t>zazdění otvoru po mřížce, 300x150 mm</t>
  </si>
  <si>
    <t>12</t>
  </si>
  <si>
    <t>340271615R00</t>
  </si>
  <si>
    <t>Zazdívka otvorů pl.do 4 m2, pórobet.tvár.,tl.15 cm</t>
  </si>
  <si>
    <t>m3</t>
  </si>
  <si>
    <t>0,8*2,2*0,15</t>
  </si>
  <si>
    <t>zazdění dveří 80/220</t>
  </si>
  <si>
    <t>13</t>
  </si>
  <si>
    <t>342266211RT1</t>
  </si>
  <si>
    <t>Obklad stěn sádrokartonem lepený na zdivo</t>
  </si>
  <si>
    <t>desky standard tl. 12,5 mm</t>
  </si>
  <si>
    <t>3,0*2,5-(1,35*2,0)</t>
  </si>
  <si>
    <t>zakrytí vstupních dveří, plocha stěny - dveře</t>
  </si>
  <si>
    <t>14</t>
  </si>
  <si>
    <t>1,35*2,0</t>
  </si>
  <si>
    <t>zakrytí vstupních dveří</t>
  </si>
  <si>
    <t>15</t>
  </si>
  <si>
    <t>59591016</t>
  </si>
  <si>
    <t>Deska sádrokartonová WHITE tl. 12,5 mm</t>
  </si>
  <si>
    <t>odečet plochy 3 vrstev SDK desek</t>
  </si>
  <si>
    <t>-3*1,35*2,0</t>
  </si>
  <si>
    <t>61</t>
  </si>
  <si>
    <t>Úprava povrchů vnitřní</t>
  </si>
  <si>
    <t>16</t>
  </si>
  <si>
    <t>614471712R00</t>
  </si>
  <si>
    <t>Vyspravení beton. konstrukcí cem. maltou tl. 20 mm</t>
  </si>
  <si>
    <t>61_</t>
  </si>
  <si>
    <t>1_6_</t>
  </si>
  <si>
    <t>2*((3*(0,07*4))*0,15)</t>
  </si>
  <si>
    <t>oprava po průrazech do/z provozovny ve stávajících stěnách</t>
  </si>
  <si>
    <t>2*3,14*(0,125/2)</t>
  </si>
  <si>
    <t>oprava po průrazu pro VZT potrubí d 125 ve stávající stěně</t>
  </si>
  <si>
    <t>2*3,14*(0,1/2)</t>
  </si>
  <si>
    <t>oprava po průrazu pro VZT potrubí d 100 v nové příčce</t>
  </si>
  <si>
    <t>17</t>
  </si>
  <si>
    <t>612420016RAA</t>
  </si>
  <si>
    <t>Omítka stěn vnitřní vápenocementová štuková</t>
  </si>
  <si>
    <t>montáž a demontáž pomocného lešení</t>
  </si>
  <si>
    <t>(2*0,8*2,2)+(2*0,3*0,15)+2*(2*0,14*0,21)+(2*0,14*0,25)</t>
  </si>
  <si>
    <t>dozdívky</t>
  </si>
  <si>
    <t>(2*1,2*1,1)+2*(2,55*2,3-(0,9*2,05)-(0,8*2,05))</t>
  </si>
  <si>
    <t>nové pórobetonové stěny nad obkladem</t>
  </si>
  <si>
    <t>612445302R00</t>
  </si>
  <si>
    <t>Stěrka sádrová pro celoplošné nanesení na SDK konstrukce, penetrace, tl. 2 mm</t>
  </si>
  <si>
    <t>bez odečtu plochy obkladu = rezerva</t>
  </si>
  <si>
    <t>3,0*2,5</t>
  </si>
  <si>
    <t>19</t>
  </si>
  <si>
    <t>612401191R00</t>
  </si>
  <si>
    <t>Omítka malých ploch vnitřních stěn do 0,09 m2</t>
  </si>
  <si>
    <t>4*1</t>
  </si>
  <si>
    <t>oprava po demontáži kotev OT, do 1800 mm 4ks</t>
  </si>
  <si>
    <t>20</t>
  </si>
  <si>
    <t>610991111R00</t>
  </si>
  <si>
    <t>Zakrývání výplní vnitřních otvorů</t>
  </si>
  <si>
    <t>--okna+parapety a dveře--</t>
  </si>
  <si>
    <t>(1,8*(2,1+0,2))*1</t>
  </si>
  <si>
    <t>okno 180/210</t>
  </si>
  <si>
    <t>(2,4*(0,9+0,2))*1</t>
  </si>
  <si>
    <t>okno 240/90</t>
  </si>
  <si>
    <t>(1,2*(0,9+0,2))*2</t>
  </si>
  <si>
    <t>okno 120/90</t>
  </si>
  <si>
    <t>(1,0*(0,9+0,2))*1</t>
  </si>
  <si>
    <t>okno 100/90</t>
  </si>
  <si>
    <t>1,5*2,85</t>
  </si>
  <si>
    <t>vstupní dveře 150/285</t>
  </si>
  <si>
    <t>2*((0,9*2,05)*9)</t>
  </si>
  <si>
    <t>2*((0,9*2,85)+(0,9*0,9))</t>
  </si>
  <si>
    <t>dveře 90/285 a inter. okno 90/90</t>
  </si>
  <si>
    <t>2*(0,8*2,05)</t>
  </si>
  <si>
    <t>dveře 80/205</t>
  </si>
  <si>
    <t>2*((0,7*2,05)*3)</t>
  </si>
  <si>
    <t>dveře 70/205</t>
  </si>
  <si>
    <t>2*(2,75*2,8)</t>
  </si>
  <si>
    <t>prostlená stěna 275/280</t>
  </si>
  <si>
    <t>(1,2*(1,8+0,2))*3</t>
  </si>
  <si>
    <t>okno 120/180</t>
  </si>
  <si>
    <t>(0,9*(1,8+0,2))*1</t>
  </si>
  <si>
    <t>okno 90/180</t>
  </si>
  <si>
    <t>21</t>
  </si>
  <si>
    <t>612473186R00</t>
  </si>
  <si>
    <t>Příplatek za zabudované rohovníky, stěny</t>
  </si>
  <si>
    <t>m</t>
  </si>
  <si>
    <t>3,0*19</t>
  </si>
  <si>
    <t>rohy, koty a napojení SDK příček na stěny</t>
  </si>
  <si>
    <t>22</t>
  </si>
  <si>
    <t>553926032</t>
  </si>
  <si>
    <t>Lišta omítková rohová interiér</t>
  </si>
  <si>
    <t>;ztratné 5%; 2,85</t>
  </si>
  <si>
    <t>63</t>
  </si>
  <si>
    <t>Podlahy a podlahové konstrukce</t>
  </si>
  <si>
    <t>23</t>
  </si>
  <si>
    <t>632415102RT2</t>
  </si>
  <si>
    <t>Potěr samonivelační ručně tl. 2 mm</t>
  </si>
  <si>
    <t>63_</t>
  </si>
  <si>
    <t>vyrovnávací, 1x penetrace</t>
  </si>
  <si>
    <t>6,4*3,1+0,15*1,3</t>
  </si>
  <si>
    <t>pod novou DL. 2 - plocha pod vybouraným pódiem</t>
  </si>
  <si>
    <t>(2,0*0,95+0,9*2,4+0,25*1,9)</t>
  </si>
  <si>
    <t>pod novou DL. 3 - WC imobilní</t>
  </si>
  <si>
    <t>0,3*1,6</t>
  </si>
  <si>
    <t>oprava dlažby DL. 3 - terapeutická místnost 2</t>
  </si>
  <si>
    <t>(1,0*1,0)+(0,15*(1,8+1,15+0,55))+(1,6*2,4+0,6*1,2-(0,6*0,6)/2)</t>
  </si>
  <si>
    <t>pod nové PVC v ploše vybourané dlažby</t>
  </si>
  <si>
    <t>64</t>
  </si>
  <si>
    <t>Výplně otvorů</t>
  </si>
  <si>
    <t>24</t>
  </si>
  <si>
    <t>or. cena</t>
  </si>
  <si>
    <t>Osazení zárubní dveřních ocelových, pl. do 2,5 m2</t>
  </si>
  <si>
    <t>2025</t>
  </si>
  <si>
    <t>64_</t>
  </si>
  <si>
    <t>včetně dodávky zárubně 700 x 1970 x 150 mm, s odnímatelnou prahovou spojkou</t>
  </si>
  <si>
    <t>25</t>
  </si>
  <si>
    <t>včetně dodávky zárubně 800 x 1970 x 150 mm, s odnímatelnou prahovou spojkou</t>
  </si>
  <si>
    <t>26</t>
  </si>
  <si>
    <t>642942214R00</t>
  </si>
  <si>
    <t>Osazení zárubně do sádrokarton. příčky tl. 150 mm</t>
  </si>
  <si>
    <t>3+1+1</t>
  </si>
  <si>
    <t>27</t>
  </si>
  <si>
    <t>553310042</t>
  </si>
  <si>
    <t>Zárubeň ocelová pro SDK příčky, ústí 150 mm rozměr 800 x 1970 mm L/P, s odnímatelnou prahovou spojkou</t>
  </si>
  <si>
    <t>28</t>
  </si>
  <si>
    <t>Zárubeň ocelová pro SDK příčky, ústí tl. 150 mm, rozměr 900x do 3000 L/P, s odnímatelnou prahovou spojkou, nadsvětlík s jedním sklem tl. 4 mm</t>
  </si>
  <si>
    <t>29</t>
  </si>
  <si>
    <t>Zasklívací rám pro SDK příčky, jedno sklo tl. 4 mm, ústí tl. 150 mm, otvor 900x900 mm</t>
  </si>
  <si>
    <t>711</t>
  </si>
  <si>
    <t>Izolace proti vodě</t>
  </si>
  <si>
    <t>30</t>
  </si>
  <si>
    <t>711212005RT4</t>
  </si>
  <si>
    <t>Hydroizolační povlak - stěrka včetně penetrace</t>
  </si>
  <si>
    <t>711_</t>
  </si>
  <si>
    <t>1_71_</t>
  </si>
  <si>
    <t>dvojnásobná, tl. 2 mm</t>
  </si>
  <si>
    <t>0,9*1,5+1,0*1,5</t>
  </si>
  <si>
    <t>pod novým obkladem za výlevkou a umyvadlem - přesný rozsah určit dle skutečnosti na stavbě</t>
  </si>
  <si>
    <t>(2,0*0,95+0,9*2,4+0,25*1,85)</t>
  </si>
  <si>
    <t>pod dlažbou ve WC imobilní</t>
  </si>
  <si>
    <t>0,15*(2,0+0,95+0,35+0,9+0,47+0,25+1,85+2,1)</t>
  </si>
  <si>
    <t>vytažení na stěny ve WC imobilní</t>
  </si>
  <si>
    <t>0,9*1,5+(1,2+0,6)*0,6</t>
  </si>
  <si>
    <t>pod novým obkladem v ordinaci a sesterně</t>
  </si>
  <si>
    <t>998711101R00</t>
  </si>
  <si>
    <t>Přesun hmot pro izolace proti vodě, výšky do 6 m</t>
  </si>
  <si>
    <t>t</t>
  </si>
  <si>
    <t>713</t>
  </si>
  <si>
    <t>Izolace tepelné</t>
  </si>
  <si>
    <t>32</t>
  </si>
  <si>
    <t>713134211RK2</t>
  </si>
  <si>
    <t>Montáž parozábrany na stěny s přelepením spojů</t>
  </si>
  <si>
    <t>713_</t>
  </si>
  <si>
    <t>včetně parotěsné zábrany</t>
  </si>
  <si>
    <t>1,4*2,0</t>
  </si>
  <si>
    <t>33</t>
  </si>
  <si>
    <t>998713101R00</t>
  </si>
  <si>
    <t>Přesun hmot pro izolace tepelné, výšky do 6 m</t>
  </si>
  <si>
    <t>728</t>
  </si>
  <si>
    <t>Vzduchotechnika</t>
  </si>
  <si>
    <t>728415812R00</t>
  </si>
  <si>
    <t>Demontáž mřížky větrací nebo ventilační do 0,10 m2</t>
  </si>
  <si>
    <t>728_</t>
  </si>
  <si>
    <t>1_72_</t>
  </si>
  <si>
    <t>mřížka 300x150 mm</t>
  </si>
  <si>
    <t>35</t>
  </si>
  <si>
    <t>998728101R00</t>
  </si>
  <si>
    <t>Přesun hmot pro vzduchotechniku, výšky do 6 m</t>
  </si>
  <si>
    <t>764</t>
  </si>
  <si>
    <t>Konstrukce klempířské</t>
  </si>
  <si>
    <t>36</t>
  </si>
  <si>
    <t>764430810R00</t>
  </si>
  <si>
    <t>Demontáž oplechování zdí, rš do 250 mm</t>
  </si>
  <si>
    <t>764_</t>
  </si>
  <si>
    <t>1_76_</t>
  </si>
  <si>
    <t>6,35+1,25</t>
  </si>
  <si>
    <t>boky pódia</t>
  </si>
  <si>
    <t>37</t>
  </si>
  <si>
    <t>998764101R00</t>
  </si>
  <si>
    <t>Přesun hmot pro klempířské konstr., výšky do 6 m</t>
  </si>
  <si>
    <t>766</t>
  </si>
  <si>
    <t>Konstrukce truhlářské</t>
  </si>
  <si>
    <t>38</t>
  </si>
  <si>
    <t>766662811R00</t>
  </si>
  <si>
    <t>Demontáž prahů dveří 1křídlových</t>
  </si>
  <si>
    <t>766_</t>
  </si>
  <si>
    <t>39</t>
  </si>
  <si>
    <t>766661112R00</t>
  </si>
  <si>
    <t>Montáž dveří do zárubně,otevíravých 1kř.do 0,8 m</t>
  </si>
  <si>
    <t>1+5</t>
  </si>
  <si>
    <t>40</t>
  </si>
  <si>
    <t>61160103</t>
  </si>
  <si>
    <t>Dveře dřevěné interiérové 800 x 1970 mm L/P, lak, plné</t>
  </si>
  <si>
    <t>41</t>
  </si>
  <si>
    <t>61160102</t>
  </si>
  <si>
    <t>Dveře dřevěné interiérové 700 x 1970 mm L/P, lak, plné</t>
  </si>
  <si>
    <t>42</t>
  </si>
  <si>
    <t>Dveře dřevěné interiérové 800 x 1970 mm L/P, lak, plné, s vodorovným madlem</t>
  </si>
  <si>
    <t>43</t>
  </si>
  <si>
    <t>766670021R00</t>
  </si>
  <si>
    <t>Montáž kliky a štítku</t>
  </si>
  <si>
    <t>44</t>
  </si>
  <si>
    <t>54914621</t>
  </si>
  <si>
    <t>Kování dveřní, klíč Cr</t>
  </si>
  <si>
    <t>45</t>
  </si>
  <si>
    <t>46</t>
  </si>
  <si>
    <t>Demontáž kliky a štítku</t>
  </si>
  <si>
    <t>vstupní dveře</t>
  </si>
  <si>
    <t>47</t>
  </si>
  <si>
    <t>48</t>
  </si>
  <si>
    <t>Kování bezpečnostní, klika-klika</t>
  </si>
  <si>
    <t>49</t>
  </si>
  <si>
    <t>998766101R00</t>
  </si>
  <si>
    <t>Přesun hmot pro truhlářské konstr., výšky do 6 m</t>
  </si>
  <si>
    <t>767</t>
  </si>
  <si>
    <t>Konstrukce doplňkové stavební (zámečnické)</t>
  </si>
  <si>
    <t>50</t>
  </si>
  <si>
    <t>767122812R00</t>
  </si>
  <si>
    <t>Demontáž stěn s drátěnou sítí svařovaných</t>
  </si>
  <si>
    <t>767_</t>
  </si>
  <si>
    <t>3,0*(1,8+0,85+1,6)</t>
  </si>
  <si>
    <t>D1</t>
  </si>
  <si>
    <t>51</t>
  </si>
  <si>
    <t>767999801R00</t>
  </si>
  <si>
    <t>Demontáž doplňků staveb o hmotnosti do 50 kg</t>
  </si>
  <si>
    <t>1*53</t>
  </si>
  <si>
    <t>okenní mříž 1,2x2,05 mm, 53 kg</t>
  </si>
  <si>
    <t>1*105</t>
  </si>
  <si>
    <t>okenní mříž 2,1x2,35 mm, 105 kg</t>
  </si>
  <si>
    <t>1*120</t>
  </si>
  <si>
    <t>nůžková mříž 120 kg</t>
  </si>
  <si>
    <t>52</t>
  </si>
  <si>
    <t>767581801R00</t>
  </si>
  <si>
    <t>Demontáž podhledů - kazet</t>
  </si>
  <si>
    <t>6,15*3,05</t>
  </si>
  <si>
    <t>přepážkové pracoviště</t>
  </si>
  <si>
    <t>7,3*4,35+((2,9+2,0)/2)*1,1+1,495*0,26</t>
  </si>
  <si>
    <t>poštovní hala</t>
  </si>
  <si>
    <t>(0,6*0,6)*3</t>
  </si>
  <si>
    <t>výměna kazet v zádveří (uvažováno se 3 kazetami)</t>
  </si>
  <si>
    <t>53</t>
  </si>
  <si>
    <t>767582800R00</t>
  </si>
  <si>
    <t>Demontáž podhledů - roštů</t>
  </si>
  <si>
    <t>0,5*(3*5,65+2,35+2*2,4)</t>
  </si>
  <si>
    <t>úprava stávajícího roštu v místě SDK příček</t>
  </si>
  <si>
    <t>54</t>
  </si>
  <si>
    <t>767587211RX1</t>
  </si>
  <si>
    <t>Podhled minerální Knauf,vidit.kce,kazeta 600x600mm - ZPĚTNÁ MONTÁŽ</t>
  </si>
  <si>
    <t>montáž bez dodávky podhledu</t>
  </si>
  <si>
    <t>(5,65*2,375)*2</t>
  </si>
  <si>
    <t>ordinace, sesterna</t>
  </si>
  <si>
    <t>2,35*2,75</t>
  </si>
  <si>
    <t>čekárna</t>
  </si>
  <si>
    <t>4,4*2,35+(((2,9+2,0)/2)*1,1)+1,495*0,26</t>
  </si>
  <si>
    <t>kancelář</t>
  </si>
  <si>
    <t>55</t>
  </si>
  <si>
    <t>595960042</t>
  </si>
  <si>
    <t>Podhled minerální kazety 600 x 600 x 19 mm, bílé</t>
  </si>
  <si>
    <t>výměna 20% plochy</t>
  </si>
  <si>
    <t>((5,65*2,375)*2)*0,2</t>
  </si>
  <si>
    <t>(2,35*2,75)*0,2</t>
  </si>
  <si>
    <t>(4,4*2,35+(((2,9+2,0)/2)*1,1)+1,495*0,26)*0,2</t>
  </si>
  <si>
    <t>56</t>
  </si>
  <si>
    <t>767587211RT1</t>
  </si>
  <si>
    <t>Podhled minerální rozebíratelný,vidit.kce,kazeta 600x600mm</t>
  </si>
  <si>
    <t>kazety tl. 19 mm, bílé</t>
  </si>
  <si>
    <t>1,8*2,8</t>
  </si>
  <si>
    <t>sklad</t>
  </si>
  <si>
    <t>1,5*1,6+2,9*1,5</t>
  </si>
  <si>
    <t>komunikační prostor</t>
  </si>
  <si>
    <t>57</t>
  </si>
  <si>
    <t>767587111RT4</t>
  </si>
  <si>
    <t>Nosný rošt podhl. rozebíratelného,vidit.kce,kazeta 600x600mm</t>
  </si>
  <si>
    <t>hrana v úrovni roštu, antikorozní profily, PO</t>
  </si>
  <si>
    <t>(0,5-0,15)*(3*5,65+2,35+2*2,4)</t>
  </si>
  <si>
    <t>58</t>
  </si>
  <si>
    <t>767649198R00</t>
  </si>
  <si>
    <t>Montáž doplňků dveří, zámek</t>
  </si>
  <si>
    <t>59</t>
  </si>
  <si>
    <t>54926047</t>
  </si>
  <si>
    <t>Zámek stavební vložkový P/L</t>
  </si>
  <si>
    <t>pro WC imobilní odjistitelný zvenku</t>
  </si>
  <si>
    <t>60</t>
  </si>
  <si>
    <t>Demontáž doplňků dveří, zámek</t>
  </si>
  <si>
    <t>62</t>
  </si>
  <si>
    <t>Panikový zámek s bezpečnostní funkcí "D" pro kování klika/klika</t>
  </si>
  <si>
    <t>998767101R00</t>
  </si>
  <si>
    <t>Přesun hmot pro zámečnické konstr., výšky do 6 m</t>
  </si>
  <si>
    <t>771</t>
  </si>
  <si>
    <t>Podlahy z dlaždic</t>
  </si>
  <si>
    <t>771990010RA0</t>
  </si>
  <si>
    <t>Vybourání keramické nebo teracové dlažby</t>
  </si>
  <si>
    <t>771_</t>
  </si>
  <si>
    <t>1_77_</t>
  </si>
  <si>
    <t>0,55*1,2+1,6*2,35-((0,6*0,6)/2)</t>
  </si>
  <si>
    <t>sklad balíků</t>
  </si>
  <si>
    <t>0,85*1,2</t>
  </si>
  <si>
    <t>chodba</t>
  </si>
  <si>
    <t>(2,0-0,9)*0,87</t>
  </si>
  <si>
    <t>sprcha</t>
  </si>
  <si>
    <t>0,9*1,5+1,0*0,25</t>
  </si>
  <si>
    <t>úklidová komora</t>
  </si>
  <si>
    <t>expedice - oprava dlažby</t>
  </si>
  <si>
    <t>1,0*1,5</t>
  </si>
  <si>
    <t>část diagonálně kladené dlažby v poštovní hale</t>
  </si>
  <si>
    <t>65</t>
  </si>
  <si>
    <t>771575109RT0</t>
  </si>
  <si>
    <t>Montáž keramické dlažby, hladké, na tmel, 300 x 300 m</t>
  </si>
  <si>
    <t>lepidlo,spárovací hmota v barvě dlažby</t>
  </si>
  <si>
    <t>(0,3*5,9)+(2,4*5,9)</t>
  </si>
  <si>
    <t>nová DL. 2</t>
  </si>
  <si>
    <t>nová DL. 3</t>
  </si>
  <si>
    <t>oprava dlažby DL. 3</t>
  </si>
  <si>
    <t>66</t>
  </si>
  <si>
    <t>59782324</t>
  </si>
  <si>
    <t>Dlažba 300x300 mm, barevná - dekor dle stávající dlažby</t>
  </si>
  <si>
    <t>;ztratné 5%; 1,046625</t>
  </si>
  <si>
    <t>67</t>
  </si>
  <si>
    <t>771101210R00</t>
  </si>
  <si>
    <t>Penetrace podkladu pod dlažby</t>
  </si>
  <si>
    <t>68</t>
  </si>
  <si>
    <t>771101310R00</t>
  </si>
  <si>
    <t>Vyčištění keramické dlažby</t>
  </si>
  <si>
    <t>7,5*3,1+3,4*3,2+1,1*2,3+1,5*2,0+0,15*(0,8+0,7)</t>
  </si>
  <si>
    <t>69</t>
  </si>
  <si>
    <t>771579790R00</t>
  </si>
  <si>
    <t>Příplatek za diagonální kladení keram.dlažby</t>
  </si>
  <si>
    <t>70</t>
  </si>
  <si>
    <t>771475014RU7</t>
  </si>
  <si>
    <t>Obklad soklíků keram.rovných, tmel,výška 10 cm</t>
  </si>
  <si>
    <t>lepidlo, spárovací hmota v barvě dlažby</t>
  </si>
  <si>
    <t>2,15+0,7+0,25+5,15+2,4+(5,9-0,9)</t>
  </si>
  <si>
    <t>ordinace</t>
  </si>
  <si>
    <t>0,6+(5,9-0,9)+2,4+(5,15-0,9)</t>
  </si>
  <si>
    <t>sesterna</t>
  </si>
  <si>
    <t>3,9+(2,4-0,9)</t>
  </si>
  <si>
    <t>2,4+1,3+1,0</t>
  </si>
  <si>
    <t>71</t>
  </si>
  <si>
    <t>Dlažba 300x300 mm, barevná - dekor dle navazující dlažby</t>
  </si>
  <si>
    <t>;ztratné 5%; 1,9</t>
  </si>
  <si>
    <t>72</t>
  </si>
  <si>
    <t>771479001R00</t>
  </si>
  <si>
    <t>Řezání dlaždic keramických pro soklíky</t>
  </si>
  <si>
    <t>73</t>
  </si>
  <si>
    <t>771577113R00</t>
  </si>
  <si>
    <t>Lišta hliníková přechodová, stejná výška</t>
  </si>
  <si>
    <t>1,5</t>
  </si>
  <si>
    <t>přechod komunikační prostor/čekárna</t>
  </si>
  <si>
    <t>0,8</t>
  </si>
  <si>
    <t>dveře do WC imobilní</t>
  </si>
  <si>
    <t>0,7</t>
  </si>
  <si>
    <t>dveře do chodby</t>
  </si>
  <si>
    <t>74</t>
  </si>
  <si>
    <t>998771101R00</t>
  </si>
  <si>
    <t>Přesun hmot pro podlahy z dlaždic, výšky do 6 m</t>
  </si>
  <si>
    <t>776</t>
  </si>
  <si>
    <t>Podlahy povlakové</t>
  </si>
  <si>
    <t>75</t>
  </si>
  <si>
    <t>776511820RT2</t>
  </si>
  <si>
    <t>Odstranění PVC a koberců lepených s podložkou</t>
  </si>
  <si>
    <t>776_</t>
  </si>
  <si>
    <t>z ploch 10 - 20 m2</t>
  </si>
  <si>
    <t>1,25*1,0+3,4*1,0+2,0*1,4+((0,6*0,6)/2)+3,05*2,25</t>
  </si>
  <si>
    <t>komunikační prostor - PVC</t>
  </si>
  <si>
    <t>6,35*3,05+0,15*1,25</t>
  </si>
  <si>
    <t>pódium - PVC</t>
  </si>
  <si>
    <t>(3,2*3,9)+((2*3,2+2*3,9)-(2*0,9))*0,1</t>
  </si>
  <si>
    <t>kancelář vedoucí - zátěžový koberec + sokl</t>
  </si>
  <si>
    <t>76</t>
  </si>
  <si>
    <t>776401800R00</t>
  </si>
  <si>
    <t>Demontáž soklíků nebo lišt, pryžových nebo z PVC</t>
  </si>
  <si>
    <t>3,05+6,35+0,25+0,15+1,8+0,15</t>
  </si>
  <si>
    <t>1,0+0,25+3,4+2,4+1,05+2,25+3,05+3,05+0,85+1,8+1,25</t>
  </si>
  <si>
    <t>77</t>
  </si>
  <si>
    <t>Demontáž lišt pro kobercový soklík</t>
  </si>
  <si>
    <t>(2*3,2+2*3,9)-(2*0,9)</t>
  </si>
  <si>
    <t>78</t>
  </si>
  <si>
    <t>776421100RT1</t>
  </si>
  <si>
    <t>Lepení podlahových soklíků z PVC a vinylu</t>
  </si>
  <si>
    <t>pouze lepení - soklík ve specifikaci</t>
  </si>
  <si>
    <t>terapeutická místnost 1</t>
  </si>
  <si>
    <t>2,1+(2,9-0,9)+1,7+(2,0-0,9-0,8)+(2,4-0,9)+1,05+2,25+3,05+(1,45-1,0)+1,4+0,6</t>
  </si>
  <si>
    <t>(2*1,8+2*2,75)-0,9</t>
  </si>
  <si>
    <t>79</t>
  </si>
  <si>
    <t>28416036</t>
  </si>
  <si>
    <t>PVC, třída reakce na oheň A1fl - Cfl, tl. 2,0 mm - barva a dekor dle požadavku investora</t>
  </si>
  <si>
    <t>((2*3,2+2*3,9)-(2*0,9))*0,1</t>
  </si>
  <si>
    <t>(2,1+(2,9-0,9)+1,7+(2,0-0,9-0,8)+(2,4-0,9)+1,05+2,25+3,05+(1,45-1,0)+1,4+0,6)*0,1</t>
  </si>
  <si>
    <t>((2*1,8+2*2,75)-0,9)*0,1</t>
  </si>
  <si>
    <t>;ztratné 5%; 0,185</t>
  </si>
  <si>
    <t>80</t>
  </si>
  <si>
    <t>776521100R00</t>
  </si>
  <si>
    <t>Lepení povlakové podlahy z pásů PVC na lepidlo</t>
  </si>
  <si>
    <t>3,2*3,9</t>
  </si>
  <si>
    <t>1,5*0,6+2,9*1,5+2,0*2,4+2,25*3,05+0,15*(0,8+0,7)</t>
  </si>
  <si>
    <t>1,8*2,75</t>
  </si>
  <si>
    <t>81</t>
  </si>
  <si>
    <t>;ztratné 5%; 1,728375</t>
  </si>
  <si>
    <t>82</t>
  </si>
  <si>
    <t>998776101R00</t>
  </si>
  <si>
    <t>Přesun hmot pro podlahy povlakové, výšky do 6 m</t>
  </si>
  <si>
    <t>781</t>
  </si>
  <si>
    <t>Obklady (keramické)</t>
  </si>
  <si>
    <t>83</t>
  </si>
  <si>
    <t>781900010RA0</t>
  </si>
  <si>
    <t>Odsekání obkladů vnitřních</t>
  </si>
  <si>
    <t>781_</t>
  </si>
  <si>
    <t>1_78_</t>
  </si>
  <si>
    <t>1,95*(1,2+1,2)</t>
  </si>
  <si>
    <t>(1,95*(2,0-0,7))+(0,9*0,15)+(0,9*0,05)</t>
  </si>
  <si>
    <t>1,95*(0,1+1,2+(1,72-0,7))</t>
  </si>
  <si>
    <t>předpoklad plochy pro provedení prací - skutečnost určit na stavbě</t>
  </si>
  <si>
    <t>84</t>
  </si>
  <si>
    <t>781101111R00</t>
  </si>
  <si>
    <t>Vyrovnání podkladu maltou ze SMS tl. do 7 mm</t>
  </si>
  <si>
    <t>((1,6-0,9)+1,25+0,15)*1,95</t>
  </si>
  <si>
    <t>WC imobilní</t>
  </si>
  <si>
    <t>(1,2+0,05)*1,95</t>
  </si>
  <si>
    <t>85</t>
  </si>
  <si>
    <t>58581981</t>
  </si>
  <si>
    <t>Malta vyrovnávací</t>
  </si>
  <si>
    <t>1,6 kg/1 mm tloušťky, počítáno s tl. 5 mm</t>
  </si>
  <si>
    <t>(((1,6-0,9)+1,25+0,15)*1,95)*(1,6*5)</t>
  </si>
  <si>
    <t>5*(1,6*5)</t>
  </si>
  <si>
    <t>((1,2+0,05)*1,95)*(1,6*5)</t>
  </si>
  <si>
    <t>86</t>
  </si>
  <si>
    <t>781475112RT1</t>
  </si>
  <si>
    <t>Obklad vnitřní stěn keramický, do tmele, do 150 x 150 mm</t>
  </si>
  <si>
    <t>lepidlo, spárovací hmota bílá</t>
  </si>
  <si>
    <t>0,9*1,5</t>
  </si>
  <si>
    <t>(1,2+0,6)*0,6</t>
  </si>
  <si>
    <t>87</t>
  </si>
  <si>
    <t>59781345</t>
  </si>
  <si>
    <t>Obkládačka 150 x 150 mm bílá lesk</t>
  </si>
  <si>
    <t>-(0,15*((1,6-0,9)+1,25+0,9))</t>
  </si>
  <si>
    <t>WC imobilní - odečet plochy modrého pruhu na nových stěnách a za výlevkou</t>
  </si>
  <si>
    <t>-(0,15*(1,2+0,05))</t>
  </si>
  <si>
    <t>chodba - odečet plochy modrého pruhu</t>
  </si>
  <si>
    <t>;ztratné 10%; 1,33475</t>
  </si>
  <si>
    <t>88</t>
  </si>
  <si>
    <t>597813532</t>
  </si>
  <si>
    <t>Obkládačka 150 x 150 mm tmavě modrá lesk</t>
  </si>
  <si>
    <t>doplnění modrého pruhu</t>
  </si>
  <si>
    <t>0,15*((1,6-0,9)+1,25+0,9)</t>
  </si>
  <si>
    <t>WC imobilní - na nových stěnách a za výlevkou</t>
  </si>
  <si>
    <t>0,15*(1,2+0,05)</t>
  </si>
  <si>
    <t>;ztratné 10%; 0,0615</t>
  </si>
  <si>
    <t>89</t>
  </si>
  <si>
    <t>781101210R00</t>
  </si>
  <si>
    <t>Penetrace podkladu pod obklady</t>
  </si>
  <si>
    <t>90</t>
  </si>
  <si>
    <t>781111111R00</t>
  </si>
  <si>
    <t>Řezání obkladaček diamantovým kotoučem</t>
  </si>
  <si>
    <t>(1,95*6)+(1,6-0,9)+1,25+1,2+0,05+1,0</t>
  </si>
  <si>
    <t>91</t>
  </si>
  <si>
    <t>781111121R00</t>
  </si>
  <si>
    <t>Montáž lišt rohových, vanových a dilatačních</t>
  </si>
  <si>
    <t>0,15+(1,6-0,9)+1,25+2*1,95</t>
  </si>
  <si>
    <t>1,2+1,95</t>
  </si>
  <si>
    <t>0,9+1,5</t>
  </si>
  <si>
    <t>2*0,6+1,2+0,6</t>
  </si>
  <si>
    <t>92</t>
  </si>
  <si>
    <t>283424164</t>
  </si>
  <si>
    <t>Profil ukončovací obkladový "oblouk" PVC, H = 9 mm</t>
  </si>
  <si>
    <t>1ks = 2,5 m</t>
  </si>
  <si>
    <t>(0,15+(1,6-0,9)+1,25+2*1,95)/2,5</t>
  </si>
  <si>
    <t>(1,2+1,95)/2,5</t>
  </si>
  <si>
    <t>(0,9+1,5)/2,5</t>
  </si>
  <si>
    <t>(2*0,6+1,2+0,6)/2,5</t>
  </si>
  <si>
    <t>;ztratné 5%; 0,291</t>
  </si>
  <si>
    <t>93</t>
  </si>
  <si>
    <t>998781101R00</t>
  </si>
  <si>
    <t>Přesun hmot pro obklady keramické, výšky do 6 m</t>
  </si>
  <si>
    <t>783</t>
  </si>
  <si>
    <t>Nátěry</t>
  </si>
  <si>
    <t>94</t>
  </si>
  <si>
    <t>783903811R00</t>
  </si>
  <si>
    <t>Odmaštění chemickými rozpouštědly</t>
  </si>
  <si>
    <t>783_</t>
  </si>
  <si>
    <t>3*0,3*(2,05+0,9+2,05)+0,3*(2,85+2*0,9+2,85)+0,3*4*0,9</t>
  </si>
  <si>
    <t>zárubně/zasklívací profil pro SDK, RŠ 300 mm</t>
  </si>
  <si>
    <t>0,3*(2,05+0,9+2,05)+0,3*(2,05+0,8+2,05)</t>
  </si>
  <si>
    <t>zárubně pro zdivo, RŠ 300 mm</t>
  </si>
  <si>
    <t>95</t>
  </si>
  <si>
    <t>783293203R00</t>
  </si>
  <si>
    <t>Nátěr kovových konstr.disperz. z+2x email</t>
  </si>
  <si>
    <t>784</t>
  </si>
  <si>
    <t>Malby</t>
  </si>
  <si>
    <t>96</t>
  </si>
  <si>
    <t>784450020RA0</t>
  </si>
  <si>
    <t>Malba, penetrace 1x, bílá 2x</t>
  </si>
  <si>
    <t>784_</t>
  </si>
  <si>
    <t>--stěny, stropy,ostění a nadpraží--</t>
  </si>
  <si>
    <t>3,0*(4,6+2,35+3*1,5+0,46+2*0,7+3,2)+14,2-(0,9*2,05)-(1,2*1,8)-(0,9*1,8)+0,2*(1,8+1,2+1,8)+0,2*(1,8+0,9+1,8)</t>
  </si>
  <si>
    <t>3,0*(2*2,8+2*1,8)+4,6-(0,9*2,05)-(0,9*0,9)</t>
  </si>
  <si>
    <t>2,85*(2*1,55+2,8)+4,13-(1,5*2,85)</t>
  </si>
  <si>
    <t>zádveří</t>
  </si>
  <si>
    <t>3,0*(2,35+1,25+3,1+2,9+1,7+2,0+2,4+1,05+2,25+3,05+1,45+1,4+3,95)+25,0-(0,9*2,05)*8-(0,8*2,05)-(0,9*0,9)-(0,9*2,85)-(1,0*2,05)</t>
  </si>
  <si>
    <t>čekárna a komunikační prostor</t>
  </si>
  <si>
    <t>3,0*(2*3,9+2*3,2)+12,3-2*(0,9*2,05)-(1,8*2,1)+0,2*(2,1+1,8+2,1)</t>
  </si>
  <si>
    <t>3,0*(2*3,9+2*3,2)+12,0-(0,9*2,05)-(2,4*0,9)+0,2*(0,9+2,4+0,9)</t>
  </si>
  <si>
    <t>terapeutická místnost 2</t>
  </si>
  <si>
    <t>3,0*(2*1,0+2*1,2)+1,2-(1,0*2,05)</t>
  </si>
  <si>
    <t>úklid</t>
  </si>
  <si>
    <t>3,0*(2*2,15+2*2,25)+4,7-(0,9*2,05)-(1,2*0,9)+0,2*(0,9+1,2+0,9)</t>
  </si>
  <si>
    <t>dětský koutek</t>
  </si>
  <si>
    <t>3,0*(2*3,15+2*2,25)+7,1-(0,9*2,05)-(1,2*0,9)+0,2*(0,9+1,2+0,9)-(1,2*1,5)</t>
  </si>
  <si>
    <t>denní místnost</t>
  </si>
  <si>
    <t>1,1*(1,85+0,25+0,47+0,9+0,32+0,95+2,0+2,1)+4,5-(0,9*1,1)</t>
  </si>
  <si>
    <t>1,1*(2*1,15+2*2,85)+3,2-(0,8*1,1)-2*(0,7*1,1)</t>
  </si>
  <si>
    <t>1,1*(2*1,22+2*0,87)+1,1-2*(0,7*1,1)</t>
  </si>
  <si>
    <t>předsíň WC muži</t>
  </si>
  <si>
    <t>1,1*(2*1,5+2*0,87)+1,31-(0,7*1,1)</t>
  </si>
  <si>
    <t>WC muži</t>
  </si>
  <si>
    <t>1,1*(2*2,1+2*1,25)+2,5-(0,7*1,1)-(1,0*0,9)+0,2*(0,9+1,0+0,9)</t>
  </si>
  <si>
    <t>WC ženy</t>
  </si>
  <si>
    <t>3,0*(2*2,38+2*5,9)+13,7-(0,9*2,05)-(1,2*1,8)+0,2*(1,8+1,2+1,8)-(0,9*1,5)</t>
  </si>
  <si>
    <t>3,0*(2*2,38+2*5,9)+13,7-2*(0,9*2,05)-(1,2*1,8)+0,2*(1,8+1,2+1,8)-(1,2+0,6)*0,6</t>
  </si>
  <si>
    <t>97</t>
  </si>
  <si>
    <t>784011222RT2</t>
  </si>
  <si>
    <t>Zakrytí podlah, včetně odstranění</t>
  </si>
  <si>
    <t>včetně papírové lepenky</t>
  </si>
  <si>
    <t>13,7+13,7+14,2+4,6+4,13+25,0+12,3+12,0+1,2+4,7+7,1+4,5+3,2+1,1+1,31+2,5</t>
  </si>
  <si>
    <t>98</t>
  </si>
  <si>
    <t>784011221RT2</t>
  </si>
  <si>
    <t>Zakrytí předmětů, včetně odstranění</t>
  </si>
  <si>
    <t>včetně dodávky fólie tl. 0,04 mm</t>
  </si>
  <si>
    <t>0,9*1,5+(1,2+0,6)*0,6+1,2*1,5</t>
  </si>
  <si>
    <t>obklady ordinace + sesterna + denní místnost</t>
  </si>
  <si>
    <t>1,95*((8,85-0,9)+(7,9-0,8-2*0,7)+(4,2-2*0,7)+(4,8-0,7)+(6,7-0,7))</t>
  </si>
  <si>
    <t>obklady do výšky 1,95 m</t>
  </si>
  <si>
    <t>30,0</t>
  </si>
  <si>
    <t>zařizovací předměty, tělesa, VZT potrubí apod.</t>
  </si>
  <si>
    <t>787</t>
  </si>
  <si>
    <t>Zasklívání</t>
  </si>
  <si>
    <t>99</t>
  </si>
  <si>
    <t>787100801R00</t>
  </si>
  <si>
    <t>Vysklívání stěn - sklo ploché do 1 m2</t>
  </si>
  <si>
    <t>787_</t>
  </si>
  <si>
    <t>6,35*(1,5+0,5)</t>
  </si>
  <si>
    <t>Hodinové zúčtovací sazby (HZS)</t>
  </si>
  <si>
    <t>100</t>
  </si>
  <si>
    <t>900      R00</t>
  </si>
  <si>
    <t>HZS - demontáž a vynesení nábytku</t>
  </si>
  <si>
    <t>h</t>
  </si>
  <si>
    <t>90_</t>
  </si>
  <si>
    <t>1_9_</t>
  </si>
  <si>
    <t>2 pracovníci, 8 hodin</t>
  </si>
  <si>
    <t>2*8</t>
  </si>
  <si>
    <t>101</t>
  </si>
  <si>
    <t>HZS - oprava fasády po demontáži mříží</t>
  </si>
  <si>
    <t>vypěnění otvoru montážní pěnou, osazení krytky (včetně materiálu)</t>
  </si>
  <si>
    <t>1 pracovník, 4 hodin</t>
  </si>
  <si>
    <t>1*4</t>
  </si>
  <si>
    <t>102</t>
  </si>
  <si>
    <t>HZS - úprava roštu stávajícího kazetového podhledu</t>
  </si>
  <si>
    <t>1 pracovník, 2 hodin</t>
  </si>
  <si>
    <t>1*2</t>
  </si>
  <si>
    <t>Lešení a stavební výtahy</t>
  </si>
  <si>
    <t>103</t>
  </si>
  <si>
    <t>941955002R00</t>
  </si>
  <si>
    <t>Lešení lehké pomocné, výška podlahy do 1,9 m</t>
  </si>
  <si>
    <t>94_</t>
  </si>
  <si>
    <t>(2*5,9+2,4+5,1+2,8+1,7)*0,7</t>
  </si>
  <si>
    <t>úprava roštu stávajícího kazetového podhledu</t>
  </si>
  <si>
    <t>Různé dokončovací konstrukce a práce na pozemních stavbách</t>
  </si>
  <si>
    <t>104</t>
  </si>
  <si>
    <t>952902110R00</t>
  </si>
  <si>
    <t>Zametání v místnostech, chodbách, na  schodišti a na půdách</t>
  </si>
  <si>
    <t>95_</t>
  </si>
  <si>
    <t>Bourání konstrukcí</t>
  </si>
  <si>
    <t>105</t>
  </si>
  <si>
    <t>962086106R00</t>
  </si>
  <si>
    <t>Bourání příček z plynosilik. a pórobetonu tl.10 cm</t>
  </si>
  <si>
    <t>96_</t>
  </si>
  <si>
    <t>0,5*0,2</t>
  </si>
  <si>
    <t>vybourání části příčky šachty pro napojení HT potrubí nového WC</t>
  </si>
  <si>
    <t>3,0*(2,0+1,2)</t>
  </si>
  <si>
    <t>příčky z pórobetonových tvárnic tl. 75 mm</t>
  </si>
  <si>
    <t>0,15*(4*0,9)</t>
  </si>
  <si>
    <t>podezdívka sprchové vaničky</t>
  </si>
  <si>
    <t>106</t>
  </si>
  <si>
    <t>962086111R00</t>
  </si>
  <si>
    <t>Bourání příček z plynosilik. a pórobetonu tl.15 cm</t>
  </si>
  <si>
    <t>3,0*(1,8+1,15+0,55)</t>
  </si>
  <si>
    <t>příčka z pórobetonových tvárnic tl. 150 mm (sklad balíků)</t>
  </si>
  <si>
    <t>2,3*(0,4+0,75)</t>
  </si>
  <si>
    <t>příčka  z pórobetonových tvárnic tl. 150 mm</t>
  </si>
  <si>
    <t>107</t>
  </si>
  <si>
    <t>968072455R00</t>
  </si>
  <si>
    <t>Vybourání kovových dveřních zárubní pl. do 2 m2</t>
  </si>
  <si>
    <t>1*(0,8*2,2)</t>
  </si>
  <si>
    <t>3*(0,7*2,05)</t>
  </si>
  <si>
    <t>108</t>
  </si>
  <si>
    <t>968061125R00</t>
  </si>
  <si>
    <t>Vyvěšení dřevěných a plastových dveřních křídel pl. do 2 m2</t>
  </si>
  <si>
    <t>interiérové dveře</t>
  </si>
  <si>
    <t>dveře ze zádveří do čekárny</t>
  </si>
  <si>
    <t>109</t>
  </si>
  <si>
    <t>963016111R00</t>
  </si>
  <si>
    <t>Demontáž podhledu SDK, kovová kce., 1xoplášť.12,5 mm</t>
  </si>
  <si>
    <t>(1,25*1,55)+(1,0*0,15)</t>
  </si>
  <si>
    <t>110</t>
  </si>
  <si>
    <t>963065311R00</t>
  </si>
  <si>
    <t>Bourání nosné konstrukce trámové ze dřeva měkkého</t>
  </si>
  <si>
    <t>0,17*(6,35*3,05+0,15*1,25)</t>
  </si>
  <si>
    <t>pódium</t>
  </si>
  <si>
    <t>111</t>
  </si>
  <si>
    <t>965081702R00</t>
  </si>
  <si>
    <t>Bourání soklíků z dlažeb keramických</t>
  </si>
  <si>
    <t>0,1*(1,6+1,15+0,55+1,2)</t>
  </si>
  <si>
    <t>0,1*(1,15+1,0)</t>
  </si>
  <si>
    <t>0,1*(2,5-1,35)</t>
  </si>
  <si>
    <t>expedice</t>
  </si>
  <si>
    <t>112</t>
  </si>
  <si>
    <t>964011211R00</t>
  </si>
  <si>
    <t>Vybourání ŽB překladů prefa  dl. 3 m, 50 kg/m</t>
  </si>
  <si>
    <t>1,19*0,075*0,14</t>
  </si>
  <si>
    <t>překlad nad dveřmi do sprchy</t>
  </si>
  <si>
    <t>(1,19*0,15*0,14)*2</t>
  </si>
  <si>
    <t>překlady nad dveřmi do chodby a úklidové komory</t>
  </si>
  <si>
    <t>Prorážení otvorů a ostatní bourací práce</t>
  </si>
  <si>
    <t>113</t>
  </si>
  <si>
    <t>974049142R00</t>
  </si>
  <si>
    <t>Vysekání rýh v betonových zdech 7x7 cm</t>
  </si>
  <si>
    <t>97_</t>
  </si>
  <si>
    <t>114</t>
  </si>
  <si>
    <t>973042241R00</t>
  </si>
  <si>
    <t>Vysekání kapes zeď betonová pl. 0,1 m2, hl. 15 cm</t>
  </si>
  <si>
    <t>kapsa pro nový překlad</t>
  </si>
  <si>
    <t>115</t>
  </si>
  <si>
    <t>971042231R00</t>
  </si>
  <si>
    <t>Vybourání otvorů zdi betonové 0,0225 m2, tl. 15 cm</t>
  </si>
  <si>
    <t>(1+1+1)*2</t>
  </si>
  <si>
    <t>SV, TV a připojovací potrubí prostupy do/z provozovny ve stávajících stěnách</t>
  </si>
  <si>
    <t>VZT potrubí d125 ve stávající stěně</t>
  </si>
  <si>
    <t>VZT potrubí d100 v nové příčce</t>
  </si>
  <si>
    <t>116</t>
  </si>
  <si>
    <t>974054711R00</t>
  </si>
  <si>
    <t>Dodatečné vyřezání otvoru v SDK stěně pl.0,25 m2</t>
  </si>
  <si>
    <t>prostup potrubí 2x Cu 15x1</t>
  </si>
  <si>
    <t>H99</t>
  </si>
  <si>
    <t>Ostatní přesuny hmot</t>
  </si>
  <si>
    <t>117</t>
  </si>
  <si>
    <t>999281105R00</t>
  </si>
  <si>
    <t>Přesun hmot pro opravy a údržbu do výšky 6 m</t>
  </si>
  <si>
    <t>H99_</t>
  </si>
  <si>
    <t>S</t>
  </si>
  <si>
    <t>Přesuny sutí</t>
  </si>
  <si>
    <t>118</t>
  </si>
  <si>
    <t>979081111R00</t>
  </si>
  <si>
    <t>Odvoz suti a vybour. hmot na skládku do 1 km</t>
  </si>
  <si>
    <t>S_</t>
  </si>
  <si>
    <t>119</t>
  </si>
  <si>
    <t>979081121R00</t>
  </si>
  <si>
    <t>Příplatek k odvozu za každý další 1 km</t>
  </si>
  <si>
    <t>15*9,85721</t>
  </si>
  <si>
    <t>120</t>
  </si>
  <si>
    <t>979990107R00</t>
  </si>
  <si>
    <t>Poplatek za uložení suti</t>
  </si>
  <si>
    <t>121</t>
  </si>
  <si>
    <t>979095312R00</t>
  </si>
  <si>
    <t>Naložení a složení suti</t>
  </si>
  <si>
    <t>122</t>
  </si>
  <si>
    <t>979093111R00</t>
  </si>
  <si>
    <t>Uložení suti na skládku bez zhutnění</t>
  </si>
  <si>
    <t>123</t>
  </si>
  <si>
    <t>979082111R00</t>
  </si>
  <si>
    <t>Vnitrostaveništní doprava suti do 10 m</t>
  </si>
  <si>
    <t>vytápění</t>
  </si>
  <si>
    <t>733</t>
  </si>
  <si>
    <t>Rozvod potrubí</t>
  </si>
  <si>
    <t>124</t>
  </si>
  <si>
    <t>722130913R00</t>
  </si>
  <si>
    <t>Provedení opravy závitového potrubí, přeřezání ocelové trubky do DN 25 mm</t>
  </si>
  <si>
    <t>733_</t>
  </si>
  <si>
    <t>2_73_</t>
  </si>
  <si>
    <t>2_</t>
  </si>
  <si>
    <t>125</t>
  </si>
  <si>
    <t>733110803R00</t>
  </si>
  <si>
    <t>Demontáž potrubí ocelového závitového do DN 15</t>
  </si>
  <si>
    <t>(0,8+0,3)+(0,6+0,2)</t>
  </si>
  <si>
    <t>126</t>
  </si>
  <si>
    <t>733191922R00</t>
  </si>
  <si>
    <t>Navaření odbočky na potrubí,DN odbočky 10</t>
  </si>
  <si>
    <t>127</t>
  </si>
  <si>
    <t>733163102R00</t>
  </si>
  <si>
    <t>Potrubí z měděných trubek vytápění D 15 x 1,0 mm</t>
  </si>
  <si>
    <t>(0,8+0,3)+(0,7+0,2)</t>
  </si>
  <si>
    <t>úprava přípojek</t>
  </si>
  <si>
    <t>(2*4,7)+(4*0,5+2,8+2,4)+(2*0,5+2,8+2,4)</t>
  </si>
  <si>
    <t>potrubí k novým tělesům</t>
  </si>
  <si>
    <t>128</t>
  </si>
  <si>
    <t>Přechod přímý 8270G 15 x 3/8 lisovací, vnitřní závit</t>
  </si>
  <si>
    <t>129</t>
  </si>
  <si>
    <t>Přechod přímý 8243G 15 x 1/2 lisovací, vnější závit</t>
  </si>
  <si>
    <t>4*2</t>
  </si>
  <si>
    <t>130</t>
  </si>
  <si>
    <t>Koleno 90° 8090G 15 x 3/8 lisovací, vnitřní závit</t>
  </si>
  <si>
    <t>131</t>
  </si>
  <si>
    <t>733190306R00</t>
  </si>
  <si>
    <t>Tlaková zkouška Cu potrubí do D 35</t>
  </si>
  <si>
    <t>132</t>
  </si>
  <si>
    <t>998733101R00</t>
  </si>
  <si>
    <t>Přesun hmot pro rozvody potrubí, výšky do 6 m</t>
  </si>
  <si>
    <t>734</t>
  </si>
  <si>
    <t>Armatury</t>
  </si>
  <si>
    <t>133</t>
  </si>
  <si>
    <t>734200821R00</t>
  </si>
  <si>
    <t>Demontáž armatur se 2závity do G 1/2</t>
  </si>
  <si>
    <t>734_</t>
  </si>
  <si>
    <t>ventily demontovaného OT 350/160</t>
  </si>
  <si>
    <t>134</t>
  </si>
  <si>
    <t>734209113R00</t>
  </si>
  <si>
    <t>Montáž armatur závitových,se 2závity, G 1/2</t>
  </si>
  <si>
    <t>ventil pro nová OT</t>
  </si>
  <si>
    <t>šroubení pro nová OT</t>
  </si>
  <si>
    <t>135</t>
  </si>
  <si>
    <t>55124332</t>
  </si>
  <si>
    <t>Kohout radiátorový VE-4522A přímý DN 15</t>
  </si>
  <si>
    <t>136</t>
  </si>
  <si>
    <t>55127552</t>
  </si>
  <si>
    <t>Šroubení Regulux DN 15 (1/2") přímé</t>
  </si>
  <si>
    <t>137</t>
  </si>
  <si>
    <t>Montáž hlavice ovládání ventilů termostatická</t>
  </si>
  <si>
    <t>138</t>
  </si>
  <si>
    <t>5513730620</t>
  </si>
  <si>
    <t>Hlavice termostatická "K" pro veřejné prostory, s vestavěným čidlem, standardní</t>
  </si>
  <si>
    <t>OT v komunikačním prostoru</t>
  </si>
  <si>
    <t>139</t>
  </si>
  <si>
    <t>55137306.A</t>
  </si>
  <si>
    <t>Hlavice termostatická "K" standard, s vestavěným čidlem</t>
  </si>
  <si>
    <t>140</t>
  </si>
  <si>
    <t>998734101R00</t>
  </si>
  <si>
    <t>Přesun hmot pro armatury, výšky do 6 m</t>
  </si>
  <si>
    <t>735</t>
  </si>
  <si>
    <t>Otopná tělesa</t>
  </si>
  <si>
    <t>141</t>
  </si>
  <si>
    <t>735494811R00</t>
  </si>
  <si>
    <t>Vypuštění vody z otopných těles</t>
  </si>
  <si>
    <t>735_</t>
  </si>
  <si>
    <t>17*0,185</t>
  </si>
  <si>
    <t>350/160 = 0,185 m2/čl.</t>
  </si>
  <si>
    <t>6*0,255</t>
  </si>
  <si>
    <t>500/160 = 0,255 m2/čl.</t>
  </si>
  <si>
    <t>142</t>
  </si>
  <si>
    <t>735111810R00</t>
  </si>
  <si>
    <t>Demontáž těles otopných litinových článkových</t>
  </si>
  <si>
    <t>143</t>
  </si>
  <si>
    <t>735193011R00</t>
  </si>
  <si>
    <t>Čištění otopných těles kartáčem</t>
  </si>
  <si>
    <t>144</t>
  </si>
  <si>
    <t>735191904R00</t>
  </si>
  <si>
    <t>Propláchnutí otopných těles litinových</t>
  </si>
  <si>
    <t>145</t>
  </si>
  <si>
    <t>735119140R00</t>
  </si>
  <si>
    <t>Montáž těles otopných litinových článkových</t>
  </si>
  <si>
    <t>146</t>
  </si>
  <si>
    <t>Konzola stěnová pro článková OT</t>
  </si>
  <si>
    <t>přemístěné OT</t>
  </si>
  <si>
    <t>147</t>
  </si>
  <si>
    <t>735191910R00</t>
  </si>
  <si>
    <t>Napuštění vody do otopného systému - bez kotle</t>
  </si>
  <si>
    <t>15*0,42</t>
  </si>
  <si>
    <t>K 15/500, 500/80 = 0,42 m2/čl.</t>
  </si>
  <si>
    <t>2*0,42</t>
  </si>
  <si>
    <t>K 2/500, 500/80 = 0,42 m2/čl.</t>
  </si>
  <si>
    <t>8*0,42</t>
  </si>
  <si>
    <t>K 8/500, 500/80 = 0,42 m2/čl.</t>
  </si>
  <si>
    <t>148</t>
  </si>
  <si>
    <t>735129140R00</t>
  </si>
  <si>
    <t>Montáž otopných těles ocelových článkových</t>
  </si>
  <si>
    <t>149</t>
  </si>
  <si>
    <t>Upevňovací set pro hliníková článková tělesa, HLUS</t>
  </si>
  <si>
    <t>3+1</t>
  </si>
  <si>
    <t>150</t>
  </si>
  <si>
    <t>Montážní set pro hliníková článková tělesa, HLMS12</t>
  </si>
  <si>
    <t>151</t>
  </si>
  <si>
    <t>HLKL5049010VD</t>
  </si>
  <si>
    <t>otopné těleso hliníkové článkové K 02/500, boční připojení</t>
  </si>
  <si>
    <t>152</t>
  </si>
  <si>
    <t>HLKL5069010VD</t>
  </si>
  <si>
    <t>otopné těleso hliníkové článkové K 08/500, boční připojení</t>
  </si>
  <si>
    <t>153</t>
  </si>
  <si>
    <t>HLKL5159010VD</t>
  </si>
  <si>
    <t>otopné těleso hliníkové článkové K 15/500, boční připojení</t>
  </si>
  <si>
    <t>154</t>
  </si>
  <si>
    <t>735291800R00</t>
  </si>
  <si>
    <t>Demontáž konzol otopných těles do odpadu</t>
  </si>
  <si>
    <t>do 1800 mm 4ks</t>
  </si>
  <si>
    <t>155</t>
  </si>
  <si>
    <t>735000911R00</t>
  </si>
  <si>
    <t>Oprava-vyregulování ventilů s ručním ovládáním</t>
  </si>
  <si>
    <t>nová OT - šroubení</t>
  </si>
  <si>
    <t>156</t>
  </si>
  <si>
    <t>735000912R00</t>
  </si>
  <si>
    <t>Oprava-vyregulování ventilů s termost.ovládáním</t>
  </si>
  <si>
    <t>nová OT - ventily</t>
  </si>
  <si>
    <t>157</t>
  </si>
  <si>
    <t>Demontáž RTN</t>
  </si>
  <si>
    <t>demontované OT 350/160</t>
  </si>
  <si>
    <t>přemisťované OT</t>
  </si>
  <si>
    <t>158</t>
  </si>
  <si>
    <t>Montáž RTN</t>
  </si>
  <si>
    <t>přemstěné OT</t>
  </si>
  <si>
    <t>1+2</t>
  </si>
  <si>
    <t>nová OT</t>
  </si>
  <si>
    <t>159</t>
  </si>
  <si>
    <t>Indikátor topných nákladů, E-ITN 40</t>
  </si>
  <si>
    <t>nová OT v komunikačním prostoru a ve skladu</t>
  </si>
  <si>
    <t>160</t>
  </si>
  <si>
    <t>Montážní sada pro článková OT</t>
  </si>
  <si>
    <t>161</t>
  </si>
  <si>
    <t>735191905R00</t>
  </si>
  <si>
    <t>Oprava - odvzdušnění otopných těles</t>
  </si>
  <si>
    <t>nová OT + přemístěné OT</t>
  </si>
  <si>
    <t>162</t>
  </si>
  <si>
    <t>735890801R00</t>
  </si>
  <si>
    <t>Přemístění demont. hmot - otop. těles, H do 6 m</t>
  </si>
  <si>
    <t>2*0,0364</t>
  </si>
  <si>
    <t>odnesení, přinesení zpět (přemístěné OT)</t>
  </si>
  <si>
    <t>0,0748</t>
  </si>
  <si>
    <t>demontované OT</t>
  </si>
  <si>
    <t>163</t>
  </si>
  <si>
    <t>998735101R00</t>
  </si>
  <si>
    <t>Přesun hmot pro otopná tělesa, výšky do 6 m</t>
  </si>
  <si>
    <t>164</t>
  </si>
  <si>
    <t>767883211RT2</t>
  </si>
  <si>
    <t>Objímka dvoušroubová, včetně kotvení</t>
  </si>
  <si>
    <t>ks</t>
  </si>
  <si>
    <t>2_76_</t>
  </si>
  <si>
    <t>pro potrubí průměru 15 - 19 mm</t>
  </si>
  <si>
    <t>2*3+2*2</t>
  </si>
  <si>
    <t>vzdálenost kotvení po 1,25 m</t>
  </si>
  <si>
    <t>165</t>
  </si>
  <si>
    <t>166</t>
  </si>
  <si>
    <t>2_78_</t>
  </si>
  <si>
    <t>2*(2*0,2)</t>
  </si>
  <si>
    <t>poškozený nátěr při úpravě přípojek</t>
  </si>
  <si>
    <t>167</t>
  </si>
  <si>
    <t>783324140R00</t>
  </si>
  <si>
    <t>Nátěr syntetický litin. radiátorů Z +1x + 1x email</t>
  </si>
  <si>
    <t>168</t>
  </si>
  <si>
    <t>783424240R00</t>
  </si>
  <si>
    <t>Nátěr syntet. potrubí do DN 50 mm  Z+1x +1x email</t>
  </si>
  <si>
    <t>169</t>
  </si>
  <si>
    <t>941955001R00</t>
  </si>
  <si>
    <t>Lešení lehké pomocné, výška podlahy do 1,2 m</t>
  </si>
  <si>
    <t>2_9_</t>
  </si>
  <si>
    <t>1,0*4,5</t>
  </si>
  <si>
    <t>170</t>
  </si>
  <si>
    <t>M23</t>
  </si>
  <si>
    <t>Montáže potrubí</t>
  </si>
  <si>
    <t>171</t>
  </si>
  <si>
    <t>230040023R00</t>
  </si>
  <si>
    <t>Zhotovení vnějšího závitu "G", DN 3/8"</t>
  </si>
  <si>
    <t>M23_</t>
  </si>
  <si>
    <t>172</t>
  </si>
  <si>
    <t>173</t>
  </si>
  <si>
    <t>15*0,12036</t>
  </si>
  <si>
    <t>174</t>
  </si>
  <si>
    <t>175</t>
  </si>
  <si>
    <t>176</t>
  </si>
  <si>
    <t>177</t>
  </si>
  <si>
    <t>ZTI</t>
  </si>
  <si>
    <t>721</t>
  </si>
  <si>
    <t>Vnitřní kanalizace</t>
  </si>
  <si>
    <t>178</t>
  </si>
  <si>
    <t>721171803R00</t>
  </si>
  <si>
    <t>Demontáž potrubí z PVC do D 75 mm</t>
  </si>
  <si>
    <t>721_</t>
  </si>
  <si>
    <t>3_72_</t>
  </si>
  <si>
    <t>3_</t>
  </si>
  <si>
    <t>179</t>
  </si>
  <si>
    <t>721171808R00</t>
  </si>
  <si>
    <t>Demontáž potrubí z PVC do D 114 mm</t>
  </si>
  <si>
    <t>1,0</t>
  </si>
  <si>
    <t>demontáž části odp. potrubí č. 1</t>
  </si>
  <si>
    <t>180</t>
  </si>
  <si>
    <t>721220801R00</t>
  </si>
  <si>
    <t>Demontáž zápachové uzávěrky, DN 70 mm</t>
  </si>
  <si>
    <t>181</t>
  </si>
  <si>
    <t>721170972R00</t>
  </si>
  <si>
    <t>Provedení opravy vnitřní kanalizace, potrubí plastové, krácení trub, D 63 mm</t>
  </si>
  <si>
    <t>182</t>
  </si>
  <si>
    <t>721170905R00</t>
  </si>
  <si>
    <t>Provedení opravy vnitřní kanalizace, potrubí plastové, vsazení odbočky, D 50 mm</t>
  </si>
  <si>
    <t>183</t>
  </si>
  <si>
    <t>28615337.A</t>
  </si>
  <si>
    <t>Odbočka HTEA D 50/ 40 mm 87,5° PP</t>
  </si>
  <si>
    <t>184</t>
  </si>
  <si>
    <t>721176101R00</t>
  </si>
  <si>
    <t>Potrubí HT připojovací, D 32 x 1,8 mm</t>
  </si>
  <si>
    <t>185</t>
  </si>
  <si>
    <t>721176102R00</t>
  </si>
  <si>
    <t>Potrubí HT připojovací, D 40 x 1,8 mm</t>
  </si>
  <si>
    <t>186</t>
  </si>
  <si>
    <t>721176103R00</t>
  </si>
  <si>
    <t>Potrubí HT připojovací, D 50 x 1,8 mm</t>
  </si>
  <si>
    <t>187</t>
  </si>
  <si>
    <t>28615441.A</t>
  </si>
  <si>
    <t>Kus čisticí HTRE D 50 mm PP</t>
  </si>
  <si>
    <t>188</t>
  </si>
  <si>
    <t>28615421.A</t>
  </si>
  <si>
    <t>Zátka HTM D 50 mm PP</t>
  </si>
  <si>
    <t>189</t>
  </si>
  <si>
    <t>721176105R00</t>
  </si>
  <si>
    <t>Potrubí HT připojovací, D 110 x 2,7 mm</t>
  </si>
  <si>
    <t>190</t>
  </si>
  <si>
    <t>721176115R00</t>
  </si>
  <si>
    <t>Potrubí HT odpadní svislé, D 110 x 2,7 mm</t>
  </si>
  <si>
    <t>191</t>
  </si>
  <si>
    <t>28615361.A</t>
  </si>
  <si>
    <t>Odbočka HTEA D 110/ 50 mm 67,5° PP</t>
  </si>
  <si>
    <t>192</t>
  </si>
  <si>
    <t>28615328.A</t>
  </si>
  <si>
    <t>Odbočka HTDA dvojitá D 110/110/110 mm 67,5° PP</t>
  </si>
  <si>
    <t>193</t>
  </si>
  <si>
    <t>721194103R00</t>
  </si>
  <si>
    <t>Vyvedení odpadních výpustek, D 32 x 1,8 mm</t>
  </si>
  <si>
    <t>K</t>
  </si>
  <si>
    <t>194</t>
  </si>
  <si>
    <t>721194104R00</t>
  </si>
  <si>
    <t>Vyvedení odpadních výpustek, D 40 x 1,8 mm</t>
  </si>
  <si>
    <t>1+1</t>
  </si>
  <si>
    <t>U2, U3</t>
  </si>
  <si>
    <t>195</t>
  </si>
  <si>
    <t>721194105R00</t>
  </si>
  <si>
    <t>Vyvedení odpadních výpustek, D 50 x 1,8 mm</t>
  </si>
  <si>
    <t>DD, D</t>
  </si>
  <si>
    <t>196</t>
  </si>
  <si>
    <t>721194109R00</t>
  </si>
  <si>
    <t>Vyvedení odpadních výpustek, D 110 x 2,3 mm</t>
  </si>
  <si>
    <t>WC1, V1</t>
  </si>
  <si>
    <t>197</t>
  </si>
  <si>
    <t>721290123R00</t>
  </si>
  <si>
    <t>Zkouška těsnosti kanalizace kouřem DN 300 mm</t>
  </si>
  <si>
    <t>1,8+0,5+7,0+1,2+0,5</t>
  </si>
  <si>
    <t>198</t>
  </si>
  <si>
    <t>998721101R00</t>
  </si>
  <si>
    <t>Přesun hmot pro vnitřní kanalizaci, výšky do 6 m</t>
  </si>
  <si>
    <t>722</t>
  </si>
  <si>
    <t>Vnitřní vodovod</t>
  </si>
  <si>
    <t>199</t>
  </si>
  <si>
    <t>722170801R00</t>
  </si>
  <si>
    <t>Demontáž rozvodů vody z plastů do D 32 mm</t>
  </si>
  <si>
    <t>722_</t>
  </si>
  <si>
    <t>2*(2,5+1,5)+2*0,5</t>
  </si>
  <si>
    <t>200</t>
  </si>
  <si>
    <t>722171913R00</t>
  </si>
  <si>
    <t>Odříznutí plastové trubky D 25 mm</t>
  </si>
  <si>
    <t>201</t>
  </si>
  <si>
    <t>722171914R00</t>
  </si>
  <si>
    <t>Odříznutí plastové trubky D 32 mm</t>
  </si>
  <si>
    <t>202</t>
  </si>
  <si>
    <t>722172962R00</t>
  </si>
  <si>
    <t>Vsazení odbočky do plastového potrubí polyfuzí včetně T-kusu D 20 mm, vodovod</t>
  </si>
  <si>
    <t>203</t>
  </si>
  <si>
    <t>722172731R00</t>
  </si>
  <si>
    <t>Potrubí plastové PP-R Ekoplastik, bez zednických výpomocí, D 20 x 3,4 mm, PN 20</t>
  </si>
  <si>
    <t>204</t>
  </si>
  <si>
    <t>28654651</t>
  </si>
  <si>
    <t>Příchytka plastová 20 mm PPR</t>
  </si>
  <si>
    <t>kotvení do stěny v provozovně</t>
  </si>
  <si>
    <t>205</t>
  </si>
  <si>
    <t>722172732R00</t>
  </si>
  <si>
    <t>Potrubí plastové PP-R Ekoplastik, bez zednických výpomocí, D 25 x 4,2 mm, PN 20</t>
  </si>
  <si>
    <t>206</t>
  </si>
  <si>
    <t>722172733R00</t>
  </si>
  <si>
    <t>Potrubí plastové PP-R Ekoplastik, bez zednických výpomocí, D 32 x 5,4 mm, PN 20</t>
  </si>
  <si>
    <t>207</t>
  </si>
  <si>
    <t>722181213RZ6</t>
  </si>
  <si>
    <t>Izolace návleková PE tl. stěny 13 mm</t>
  </si>
  <si>
    <t>vnitřní průměr 20 mm</t>
  </si>
  <si>
    <t>208</t>
  </si>
  <si>
    <t>722181213RT8</t>
  </si>
  <si>
    <t>vnitřní průměr 25 mm</t>
  </si>
  <si>
    <t>209</t>
  </si>
  <si>
    <t>722181213RU1</t>
  </si>
  <si>
    <t>vnitřní průměr 32 mm</t>
  </si>
  <si>
    <t>210</t>
  </si>
  <si>
    <t>722181214RZ6</t>
  </si>
  <si>
    <t>Izolace návleková PE tl. stěny 20 mm</t>
  </si>
  <si>
    <t>211</t>
  </si>
  <si>
    <t>722181214RT8</t>
  </si>
  <si>
    <t>212</t>
  </si>
  <si>
    <t>722191112R00</t>
  </si>
  <si>
    <t>Hadice flexibilní k baterii M 10, DN 15 mm, délka 500 mm</t>
  </si>
  <si>
    <t>soubor</t>
  </si>
  <si>
    <t>napojení splachovací nádržky</t>
  </si>
  <si>
    <t>213</t>
  </si>
  <si>
    <t>722172913R00</t>
  </si>
  <si>
    <t>Provedení propojení plastového vodovodního potrubí polyfuzí, D 25 mm</t>
  </si>
  <si>
    <t>214</t>
  </si>
  <si>
    <t>722172914R00</t>
  </si>
  <si>
    <t>Provedení propojení plastového vodovodního potrubí polyfuzí, D 32 mm</t>
  </si>
  <si>
    <t>215</t>
  </si>
  <si>
    <t>722190401R00</t>
  </si>
  <si>
    <t>Vyvedení a upevnění výpustek DN 15 mm</t>
  </si>
  <si>
    <t>216</t>
  </si>
  <si>
    <t>722202213R00</t>
  </si>
  <si>
    <t>Nástěnka MZD PP-R, D 20 mm x R 1/2"</t>
  </si>
  <si>
    <t>217</t>
  </si>
  <si>
    <t>722202221R00</t>
  </si>
  <si>
    <t>Komplet nástěnný MZD PP-R, D 20 mm x R 1/2"</t>
  </si>
  <si>
    <t>218</t>
  </si>
  <si>
    <t>722190901R00</t>
  </si>
  <si>
    <t>Uzavření/otevření vodovodního potrubí při opravě</t>
  </si>
  <si>
    <t>2*1</t>
  </si>
  <si>
    <t>219</t>
  </si>
  <si>
    <t>722280106R00</t>
  </si>
  <si>
    <t>Tlaková zkouška vodovodního potrubí DN 32 mm</t>
  </si>
  <si>
    <t>10,0+7,5+11,0</t>
  </si>
  <si>
    <t>220</t>
  </si>
  <si>
    <t>722290234R00</t>
  </si>
  <si>
    <t>Proplach a dezinfekce vodovodního potrubí DN 80 mm</t>
  </si>
  <si>
    <t>nové potrubí</t>
  </si>
  <si>
    <t>23,0+11,0</t>
  </si>
  <si>
    <t>stávající potrubí</t>
  </si>
  <si>
    <t>221</t>
  </si>
  <si>
    <t>Rozbor pitné vody dle Vyhlášky MZd č. 252/2004 Sb. - krácený rozsah</t>
  </si>
  <si>
    <t>222</t>
  </si>
  <si>
    <t>722239102R00</t>
  </si>
  <si>
    <t>Montáž vodovodních armatur 2závity, G 3/4"</t>
  </si>
  <si>
    <t>223</t>
  </si>
  <si>
    <t>Kontrolovatelný zpětný ventil, typ EA 3/4" FF</t>
  </si>
  <si>
    <t>224</t>
  </si>
  <si>
    <t>722254201RT4</t>
  </si>
  <si>
    <t>Hydrantový systém, box s plnými dveřmi</t>
  </si>
  <si>
    <t>průměr 19 mm, stálotvará hadice délky 30 m, ocel. skříň bílá 650x650x172 mm, přítokový kulový ventil 3/4"</t>
  </si>
  <si>
    <t>225</t>
  </si>
  <si>
    <t>998722101R00</t>
  </si>
  <si>
    <t>Přesun hmot pro vnitřní vodovod, výšky do 6 m</t>
  </si>
  <si>
    <t>725</t>
  </si>
  <si>
    <t>Zařizovací předměty</t>
  </si>
  <si>
    <t>226</t>
  </si>
  <si>
    <t>725210984R00</t>
  </si>
  <si>
    <t>Odmontování rohového ventilu G 1/2"</t>
  </si>
  <si>
    <t>725_</t>
  </si>
  <si>
    <t>227</t>
  </si>
  <si>
    <t>725850800R00</t>
  </si>
  <si>
    <t>Demontáž ventilu odpadního</t>
  </si>
  <si>
    <t>228</t>
  </si>
  <si>
    <t>725290020RA0</t>
  </si>
  <si>
    <t>Demontáž umyvadla včetně baterie a konzol</t>
  </si>
  <si>
    <t>229</t>
  </si>
  <si>
    <t>725820801R00</t>
  </si>
  <si>
    <t>Demontáž baterie nástěnné do G 3/4"</t>
  </si>
  <si>
    <t>výlevka, zpětná montáž</t>
  </si>
  <si>
    <t>230</t>
  </si>
  <si>
    <t>725290010RA0</t>
  </si>
  <si>
    <t>Demontáž klozetu včetně splachovací nádrže</t>
  </si>
  <si>
    <t>výlevka + splachovací nádržka</t>
  </si>
  <si>
    <t>231</t>
  </si>
  <si>
    <t>725111910R00</t>
  </si>
  <si>
    <t>Oprava nádrží, odmontování splachovací trubky</t>
  </si>
  <si>
    <t>232</t>
  </si>
  <si>
    <t>725240811R00</t>
  </si>
  <si>
    <t>Demontáž sprchových kabin bez výtokových armatur</t>
  </si>
  <si>
    <t>vanička včetně sprchových dveří</t>
  </si>
  <si>
    <t>233</t>
  </si>
  <si>
    <t>725814105R00</t>
  </si>
  <si>
    <t>Ventil rohový s filtrem DN 15 mm x DN 10 mm</t>
  </si>
  <si>
    <t>234</t>
  </si>
  <si>
    <t>Umyvadlo 500 x 450 mm, celková výška 165 mm, bílé, s otvorem pro baterii, s přepadem</t>
  </si>
  <si>
    <t>včetně instalační sady</t>
  </si>
  <si>
    <t>235</t>
  </si>
  <si>
    <t>725823111RT1</t>
  </si>
  <si>
    <t>Baterie umyvadlová stojánková, ruční, bez otvírání odpadu</t>
  </si>
  <si>
    <t>standardní</t>
  </si>
  <si>
    <t>U3</t>
  </si>
  <si>
    <t>236</t>
  </si>
  <si>
    <t>725823114RT1</t>
  </si>
  <si>
    <t>Baterie dřezová stojánková ruční, bez otvírání odpadu</t>
  </si>
  <si>
    <t>237</t>
  </si>
  <si>
    <t>725823111RT2</t>
  </si>
  <si>
    <t>lékařská páka, otočné ramínko 150 mm</t>
  </si>
  <si>
    <t>U2</t>
  </si>
  <si>
    <t>238</t>
  </si>
  <si>
    <t>725860213R00</t>
  </si>
  <si>
    <t>Sifon umyvadlový HL132, D 32/40 mm</t>
  </si>
  <si>
    <t>239</t>
  </si>
  <si>
    <t>725860215R00</t>
  </si>
  <si>
    <t>Sifon umyvadlový nábytkový, HL 137 D 32/40 mm</t>
  </si>
  <si>
    <t>240</t>
  </si>
  <si>
    <t>725859102R00</t>
  </si>
  <si>
    <t>Montáž ventilu odpadního do D 50 mm</t>
  </si>
  <si>
    <t>umyvadla</t>
  </si>
  <si>
    <t>pouze montáž, dodávka je součástí dřezů</t>
  </si>
  <si>
    <t>241</t>
  </si>
  <si>
    <t>55162144</t>
  </si>
  <si>
    <t>Ventil odpadní HL15.1 - 1 1/4" pro umyvadla</t>
  </si>
  <si>
    <t>242</t>
  </si>
  <si>
    <t>725869218R00</t>
  </si>
  <si>
    <t>Montáž sifonu</t>
  </si>
  <si>
    <t>243</t>
  </si>
  <si>
    <t>725319101R00</t>
  </si>
  <si>
    <t>Montáž dřezů jednoduchých</t>
  </si>
  <si>
    <t>244</t>
  </si>
  <si>
    <t>Dřez nerezový s odkapovou plochou a přepadem 780 x 500 mm, včetně sifonu a výpusti se sítkem</t>
  </si>
  <si>
    <t>245</t>
  </si>
  <si>
    <t>725329101R00</t>
  </si>
  <si>
    <t>Montáž dřezů dvojitých</t>
  </si>
  <si>
    <t>246</t>
  </si>
  <si>
    <t>Dvoudřez nerezový s odkapovou plochou a přepadem 1160x500 mm, včetně sifonu a výpusti se sítkem</t>
  </si>
  <si>
    <t>247</t>
  </si>
  <si>
    <t>725119305R00</t>
  </si>
  <si>
    <t>Montáž klozetových mís kombinovaných</t>
  </si>
  <si>
    <t>248</t>
  </si>
  <si>
    <t>Klozet kombi, pro handicapované, zadní odpad, bílý, WC nádrž s bočním napouštěním, včetně splachovacího mechanismu</t>
  </si>
  <si>
    <t>249</t>
  </si>
  <si>
    <t>551674021</t>
  </si>
  <si>
    <t>Sedátko klozetové pro handicapované, duroplastové, ocelové úchyty</t>
  </si>
  <si>
    <t>250</t>
  </si>
  <si>
    <t>Flexi napojení k WC</t>
  </si>
  <si>
    <t>251</t>
  </si>
  <si>
    <t>725019101R00</t>
  </si>
  <si>
    <t>Výlevka stojící s plastovou mřížkou, zadní odpad</t>
  </si>
  <si>
    <t>252</t>
  </si>
  <si>
    <t>253</t>
  </si>
  <si>
    <t>725119105R00</t>
  </si>
  <si>
    <t>Montáž splachovacích nádrží vysokopoložených</t>
  </si>
  <si>
    <t>254</t>
  </si>
  <si>
    <t>55280040</t>
  </si>
  <si>
    <t>Plastová splachovací nádržka, závěsná, boční přívod vody, splachovací armatura 3/6 l</t>
  </si>
  <si>
    <t>255</t>
  </si>
  <si>
    <t>55280049</t>
  </si>
  <si>
    <t>Trubice splachovací dělená DN32, s vrapovou vložkou</t>
  </si>
  <si>
    <t>256</t>
  </si>
  <si>
    <t>725829202R00</t>
  </si>
  <si>
    <t>Montáž baterie umyvadlové a dřezové nástěnné</t>
  </si>
  <si>
    <t>zpětná montáž nástěnné baterie pro výlevku</t>
  </si>
  <si>
    <t>257</t>
  </si>
  <si>
    <t>725334301R00</t>
  </si>
  <si>
    <t>Nálevka se sifonem PP HL21, DN 32 mm</t>
  </si>
  <si>
    <t>258</t>
  </si>
  <si>
    <t>725291113R00</t>
  </si>
  <si>
    <t>Madlo rovné bílé dl. 500 mm</t>
  </si>
  <si>
    <t>259</t>
  </si>
  <si>
    <t>Madlo dvojité pevné, dl. 900 mm, bílé, vinilový povrch, antibakteriální úprava</t>
  </si>
  <si>
    <t>260</t>
  </si>
  <si>
    <t>Madlo dvojité sklopné, dl. 800 mm, bílé, vinilový povrch, antibakteriální úprava</t>
  </si>
  <si>
    <t>261</t>
  </si>
  <si>
    <t>725900952R00</t>
  </si>
  <si>
    <t>Upevnění doplňků koupelny - za 1 vrut</t>
  </si>
  <si>
    <t>2*2</t>
  </si>
  <si>
    <t>2x háček na oděvy, 2 vruty/kus</t>
  </si>
  <si>
    <t>262</t>
  </si>
  <si>
    <t>Háček na oděvy</t>
  </si>
  <si>
    <t>263</t>
  </si>
  <si>
    <t>998725101R00</t>
  </si>
  <si>
    <t>Přesun hmot pro zařizovací předměty, výšky do 6 m</t>
  </si>
  <si>
    <t>264</t>
  </si>
  <si>
    <t>767883211RT7</t>
  </si>
  <si>
    <t>3_76_</t>
  </si>
  <si>
    <t>pro potrubí průměru 48 - 54 mm</t>
  </si>
  <si>
    <t>kotvení do stěny v provozovně, HT 50</t>
  </si>
  <si>
    <t>265</t>
  </si>
  <si>
    <t>HZS - demontáž a zpětná montáž ZOV</t>
  </si>
  <si>
    <t>3_9_</t>
  </si>
  <si>
    <t>2 pracovníci, 2x0,5 hod</t>
  </si>
  <si>
    <t>2*0,5*2</t>
  </si>
  <si>
    <t>266</t>
  </si>
  <si>
    <t>HZS - montáž skříněk pod dřezy, vyřezání otvoru do pracovní desky</t>
  </si>
  <si>
    <t>2 pracovnící, 1,5 hod/skříňku</t>
  </si>
  <si>
    <t>2*1,5*2</t>
  </si>
  <si>
    <t>267</t>
  </si>
  <si>
    <t>Kuchyňská skříňka pod dřez 800x560 mm, pracovní deska tl. 2,8 cm a š. 62 cm</t>
  </si>
  <si>
    <t>268</t>
  </si>
  <si>
    <t>Kuchyňská skříňka pod dřez 800x560 mm + spodní skříňka 400x560 mm, pracovní deska tl. 2,8 cm a š. 62 cm</t>
  </si>
  <si>
    <t>269</t>
  </si>
  <si>
    <t>1,0*1,2</t>
  </si>
  <si>
    <t>270</t>
  </si>
  <si>
    <t>953941312R00</t>
  </si>
  <si>
    <t>Osazení požárního hasicího přístroje na stěnu</t>
  </si>
  <si>
    <t>271</t>
  </si>
  <si>
    <t>Přístroj hasicí práškový 6kg, s revizí, hasicí schopnost 21A, držák</t>
  </si>
  <si>
    <t>272</t>
  </si>
  <si>
    <t>969021111R00</t>
  </si>
  <si>
    <t>Vybourání kanalizačního potrubí DN do 100 mm</t>
  </si>
  <si>
    <t>273</t>
  </si>
  <si>
    <t>274</t>
  </si>
  <si>
    <t>275</t>
  </si>
  <si>
    <t>15*0,19464</t>
  </si>
  <si>
    <t>276</t>
  </si>
  <si>
    <t>277</t>
  </si>
  <si>
    <t>278</t>
  </si>
  <si>
    <t>279</t>
  </si>
  <si>
    <t>vzduchotechnika</t>
  </si>
  <si>
    <t>280</t>
  </si>
  <si>
    <t>728112812R00</t>
  </si>
  <si>
    <t>Demontáž potrubí plechového kruhového do d 200 mm</t>
  </si>
  <si>
    <t>4_72_</t>
  </si>
  <si>
    <t>4_</t>
  </si>
  <si>
    <t>281</t>
  </si>
  <si>
    <t>728614860R00</t>
  </si>
  <si>
    <t>Demontáž ventilátoru axiálního nízkotlakového nástěného do d 200 mm</t>
  </si>
  <si>
    <t>282</t>
  </si>
  <si>
    <t>728890811R00</t>
  </si>
  <si>
    <t>Přesun demontovaných hmot - vzduchotechnika, H do 6 m</t>
  </si>
  <si>
    <t>0,0176+0,0040</t>
  </si>
  <si>
    <t>283</t>
  </si>
  <si>
    <t>728614612R00</t>
  </si>
  <si>
    <t>Montáž ventilátoru axiálního nízkotlakového nástěnného do d 200 mm</t>
  </si>
  <si>
    <t>zpětná montáž</t>
  </si>
  <si>
    <t>284</t>
  </si>
  <si>
    <t>728614611R00</t>
  </si>
  <si>
    <t>Montáž ventilátoru axiálního nízkotlakového nástěnného do d 100 mm</t>
  </si>
  <si>
    <t>285</t>
  </si>
  <si>
    <t>Ventilátor axiální nástěnný se zpětnou klapkou, časovým doběhem, vhodný pro delší potrubí, 100 m3/h</t>
  </si>
  <si>
    <t>286</t>
  </si>
  <si>
    <t>728112111RU2</t>
  </si>
  <si>
    <t>Montáž potrubí plechového kruhového do d 100 mm</t>
  </si>
  <si>
    <t>vč. dodávky potrubí pozinkovaného SPIRO d 100 mm,
závěs (závitová tyč v délce 1,0 m a potrubní objímka)</t>
  </si>
  <si>
    <t>287</t>
  </si>
  <si>
    <t>728112112RU1</t>
  </si>
  <si>
    <t>Montáž potrubí plechového kruhového do d 200 mm</t>
  </si>
  <si>
    <t>vč. dodávky potrubí pozinkovaného SPIRO d 125 mm,
závěs (závitová tyč v délce 1,0 m a potrubní objímka)</t>
  </si>
  <si>
    <t>288</t>
  </si>
  <si>
    <t>728212212R00</t>
  </si>
  <si>
    <t>Montáž přechodu plechového kruhového do d 200 mm</t>
  </si>
  <si>
    <t>289</t>
  </si>
  <si>
    <t>Přechod osový 125/100 s těsněním</t>
  </si>
  <si>
    <t>290</t>
  </si>
  <si>
    <t>728212312R00</t>
  </si>
  <si>
    <t>Montáž odbočky plechové kruhové do d 200 mm</t>
  </si>
  <si>
    <t>291</t>
  </si>
  <si>
    <t>Odbočka jednostranná 90° s těsněním 125/125</t>
  </si>
  <si>
    <t>292</t>
  </si>
  <si>
    <t>293</t>
  </si>
  <si>
    <t>4_9_</t>
  </si>
  <si>
    <t>1,5*1,2</t>
  </si>
  <si>
    <t>294</t>
  </si>
  <si>
    <t>295</t>
  </si>
  <si>
    <t>15*0,0176</t>
  </si>
  <si>
    <t>296</t>
  </si>
  <si>
    <t>297</t>
  </si>
  <si>
    <t>298</t>
  </si>
  <si>
    <t>299</t>
  </si>
  <si>
    <t>Celkem:</t>
  </si>
  <si>
    <t>Poznámka:</t>
  </si>
  <si>
    <t>Slepý stavební rozpočet - rekapitulace</t>
  </si>
  <si>
    <t>Objekt</t>
  </si>
  <si>
    <t>Náklady (Kč) - dodávka</t>
  </si>
  <si>
    <t>Náklady (Kč) - Montáž</t>
  </si>
  <si>
    <t>Náklady (Kč) - celkem</t>
  </si>
  <si>
    <t>F</t>
  </si>
  <si>
    <t>T</t>
  </si>
  <si>
    <t>Výkaz výměr</t>
  </si>
  <si>
    <t>Zkrácený popis / Varianta</t>
  </si>
  <si>
    <t>Potřebné množství</t>
  </si>
  <si>
    <t>Krycí list slepého rozpočtu</t>
  </si>
  <si>
    <t>IČO/DIČ:</t>
  </si>
  <si>
    <t>00297569/CZ00297569</t>
  </si>
  <si>
    <t>25871862/CZ25871862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</si>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</sst>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00"/>
      <name val="Arial"/>
      <charset val="238"/>
    </font>
    <font>
      <sz val="10"/>
      <color rgb="FF000080"/>
      <name val="Arial"/>
      <charset val="238"/>
    </font>
    <font>
      <i/>
      <sz val="8"/>
      <color rgb="FF000000"/>
      <name val="Arial"/>
      <charset val="238"/>
    </font>
    <font>
      <i/>
      <sz val="9"/>
      <color rgb="FF000000"/>
      <name val="Arial"/>
      <charset val="238"/>
    </font>
    <font>
      <i/>
      <sz val="9"/>
      <color rgb="FF00008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EAEAEA"/>
        <bgColor rgb="FFEAEAEA"/>
      </patternFill>
    </fill>
    <fill>
      <patternFill patternType="solid">
        <fgColor rgb="FFCCFFFF"/>
        <bgColor rgb="FFCCFFFF"/>
      </patternFill>
    </fill>
  </fills>
  <borders count="8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08">
    <xf numFmtId="0" fontId="0" fillId="0" borderId="0" xfId="0"/>
    <xf numFmtId="4" fontId="2" fillId="2" borderId="0" xfId="0" applyNumberFormat="1" applyFont="1" applyFill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2" fillId="0" borderId="18" xfId="0" applyFont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2" fillId="3" borderId="23" xfId="0" applyFont="1" applyFill="1" applyBorder="1" applyAlignment="1" applyProtection="1">
      <alignment horizontal="center" vertical="center"/>
      <protection locked="0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3" fillId="4" borderId="28" xfId="0" applyFont="1" applyFill="1" applyBorder="1" applyAlignment="1">
      <alignment horizontal="left" vertical="center"/>
    </xf>
    <xf numFmtId="0" fontId="2" fillId="4" borderId="29" xfId="0" applyFont="1" applyFill="1" applyBorder="1" applyAlignment="1">
      <alignment horizontal="left" vertical="center"/>
    </xf>
    <xf numFmtId="0" fontId="3" fillId="4" borderId="29" xfId="0" applyFont="1" applyFill="1" applyBorder="1" applyAlignment="1">
      <alignment horizontal="left" vertical="center"/>
    </xf>
    <xf numFmtId="0" fontId="3" fillId="5" borderId="29" xfId="0" applyFont="1" applyFill="1" applyBorder="1" applyAlignment="1" applyProtection="1">
      <alignment horizontal="left" vertical="center"/>
      <protection locked="0"/>
    </xf>
    <xf numFmtId="4" fontId="2" fillId="4" borderId="29" xfId="0" applyNumberFormat="1" applyFont="1" applyFill="1" applyBorder="1" applyAlignment="1">
      <alignment horizontal="right" vertical="center"/>
    </xf>
    <xf numFmtId="0" fontId="2" fillId="4" borderId="30" xfId="0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5" borderId="0" xfId="0" applyFont="1" applyFill="1" applyAlignment="1" applyProtection="1">
      <alignment horizontal="left" vertical="center"/>
      <protection locked="0"/>
    </xf>
    <xf numFmtId="0" fontId="2" fillId="2" borderId="6" xfId="0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4" fontId="3" fillId="3" borderId="0" xfId="0" applyNumberFormat="1" applyFont="1" applyFill="1" applyAlignment="1" applyProtection="1">
      <alignment horizontal="right" vertical="center"/>
      <protection locked="0"/>
    </xf>
    <xf numFmtId="0" fontId="3" fillId="0" borderId="6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0" fillId="0" borderId="5" xfId="0" applyBorder="1"/>
    <xf numFmtId="0" fontId="4" fillId="0" borderId="0" xfId="0" applyFont="1" applyAlignment="1">
      <alignment horizontal="left" vertical="center"/>
    </xf>
    <xf numFmtId="4" fontId="4" fillId="0" borderId="0" xfId="0" applyNumberFormat="1" applyFont="1" applyAlignment="1">
      <alignment horizontal="right" vertical="center"/>
    </xf>
    <xf numFmtId="0" fontId="0" fillId="0" borderId="6" xfId="0" applyBorder="1"/>
    <xf numFmtId="0" fontId="5" fillId="0" borderId="5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4" fontId="5" fillId="0" borderId="0" xfId="0" applyNumberFormat="1" applyFont="1" applyAlignment="1">
      <alignment horizontal="right" vertical="center"/>
    </xf>
    <xf numFmtId="4" fontId="5" fillId="3" borderId="0" xfId="0" applyNumberFormat="1" applyFont="1" applyFill="1" applyAlignment="1" applyProtection="1">
      <alignment horizontal="right" vertical="center"/>
      <protection locked="0"/>
    </xf>
    <xf numFmtId="0" fontId="5" fillId="0" borderId="6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" fillId="4" borderId="5" xfId="0" applyFont="1" applyFill="1" applyBorder="1" applyAlignment="1">
      <alignment horizontal="left" vertical="center"/>
    </xf>
    <xf numFmtId="0" fontId="2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4" fontId="2" fillId="4" borderId="0" xfId="0" applyNumberFormat="1" applyFont="1" applyFill="1" applyAlignment="1">
      <alignment horizontal="right" vertical="center"/>
    </xf>
    <xf numFmtId="0" fontId="2" fillId="4" borderId="6" xfId="0" applyFont="1" applyFill="1" applyBorder="1" applyAlignment="1">
      <alignment horizontal="right" vertical="center"/>
    </xf>
    <xf numFmtId="0" fontId="3" fillId="0" borderId="31" xfId="0" applyFont="1" applyBorder="1" applyAlignment="1">
      <alignment horizontal="left" vertical="center"/>
    </xf>
    <xf numFmtId="0" fontId="3" fillId="0" borderId="32" xfId="0" applyFont="1" applyBorder="1" applyAlignment="1">
      <alignment horizontal="left" vertical="center"/>
    </xf>
    <xf numFmtId="4" fontId="3" fillId="0" borderId="32" xfId="0" applyNumberFormat="1" applyFont="1" applyBorder="1" applyAlignment="1">
      <alignment horizontal="right" vertical="center"/>
    </xf>
    <xf numFmtId="4" fontId="3" fillId="3" borderId="32" xfId="0" applyNumberFormat="1" applyFont="1" applyFill="1" applyBorder="1" applyAlignment="1" applyProtection="1">
      <alignment horizontal="right" vertical="center"/>
      <protection locked="0"/>
    </xf>
    <xf numFmtId="0" fontId="3" fillId="0" borderId="33" xfId="0" applyFont="1" applyBorder="1" applyAlignment="1">
      <alignment horizontal="right" vertical="center"/>
    </xf>
    <xf numFmtId="4" fontId="2" fillId="0" borderId="34" xfId="0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2" fillId="0" borderId="35" xfId="0" applyFont="1" applyBorder="1" applyAlignment="1">
      <alignment horizontal="left" vertical="center"/>
    </xf>
    <xf numFmtId="0" fontId="2" fillId="0" borderId="36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4" fontId="3" fillId="0" borderId="29" xfId="0" applyNumberFormat="1" applyFont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2" fillId="0" borderId="39" xfId="0" applyFont="1" applyBorder="1" applyAlignment="1">
      <alignment horizontal="left" vertical="center"/>
    </xf>
    <xf numFmtId="0" fontId="2" fillId="0" borderId="42" xfId="0" applyFont="1" applyBorder="1" applyAlignment="1">
      <alignment horizontal="right" vertical="center"/>
    </xf>
    <xf numFmtId="0" fontId="2" fillId="0" borderId="43" xfId="0" applyFont="1" applyBorder="1" applyAlignment="1">
      <alignment horizontal="left" vertical="center"/>
    </xf>
    <xf numFmtId="0" fontId="2" fillId="4" borderId="28" xfId="0" applyFont="1" applyFill="1" applyBorder="1" applyAlignment="1">
      <alignment horizontal="left" vertical="center"/>
    </xf>
    <xf numFmtId="0" fontId="2" fillId="4" borderId="29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left" vertical="center"/>
    </xf>
    <xf numFmtId="4" fontId="3" fillId="0" borderId="6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4" fontId="7" fillId="0" borderId="0" xfId="0" applyNumberFormat="1" applyFont="1" applyAlignment="1">
      <alignment horizontal="right" vertical="center"/>
    </xf>
    <xf numFmtId="4" fontId="5" fillId="0" borderId="6" xfId="0" applyNumberFormat="1" applyFont="1" applyBorder="1" applyAlignment="1">
      <alignment horizontal="right" vertical="center"/>
    </xf>
    <xf numFmtId="4" fontId="8" fillId="0" borderId="0" xfId="0" applyNumberFormat="1" applyFont="1" applyAlignment="1">
      <alignment horizontal="right" vertical="center"/>
    </xf>
    <xf numFmtId="0" fontId="2" fillId="4" borderId="5" xfId="0" applyFont="1" applyFill="1" applyBorder="1" applyAlignment="1">
      <alignment horizontal="left" vertical="center"/>
    </xf>
    <xf numFmtId="0" fontId="2" fillId="4" borderId="0" xfId="0" applyFont="1" applyFill="1" applyAlignment="1">
      <alignment horizontal="right" vertical="center"/>
    </xf>
    <xf numFmtId="4" fontId="3" fillId="0" borderId="33" xfId="0" applyNumberFormat="1" applyFont="1" applyBorder="1" applyAlignment="1">
      <alignment horizontal="right" vertical="center"/>
    </xf>
    <xf numFmtId="0" fontId="10" fillId="2" borderId="45" xfId="0" applyFont="1" applyFill="1" applyBorder="1" applyAlignment="1">
      <alignment horizontal="center" vertical="center"/>
    </xf>
    <xf numFmtId="0" fontId="10" fillId="2" borderId="48" xfId="0" applyFont="1" applyFill="1" applyBorder="1" applyAlignment="1">
      <alignment horizontal="center" vertical="center"/>
    </xf>
    <xf numFmtId="0" fontId="12" fillId="0" borderId="49" xfId="0" applyFont="1" applyBorder="1" applyAlignment="1">
      <alignment horizontal="left" vertical="center"/>
    </xf>
    <xf numFmtId="0" fontId="13" fillId="0" borderId="50" xfId="0" applyFont="1" applyBorder="1" applyAlignment="1">
      <alignment horizontal="left" vertical="center"/>
    </xf>
    <xf numFmtId="4" fontId="13" fillId="0" borderId="50" xfId="0" applyNumberFormat="1" applyFont="1" applyBorder="1" applyAlignment="1">
      <alignment horizontal="right" vertical="center"/>
    </xf>
    <xf numFmtId="0" fontId="13" fillId="0" borderId="50" xfId="0" applyFont="1" applyBorder="1" applyAlignment="1">
      <alignment horizontal="right" vertical="center"/>
    </xf>
    <xf numFmtId="0" fontId="12" fillId="0" borderId="53" xfId="0" applyFont="1" applyBorder="1" applyAlignment="1">
      <alignment horizontal="left" vertical="center"/>
    </xf>
    <xf numFmtId="4" fontId="13" fillId="0" borderId="57" xfId="0" applyNumberFormat="1" applyFont="1" applyBorder="1" applyAlignment="1">
      <alignment horizontal="right" vertical="center"/>
    </xf>
    <xf numFmtId="0" fontId="13" fillId="0" borderId="57" xfId="0" applyFont="1" applyBorder="1" applyAlignment="1">
      <alignment horizontal="right" vertical="center"/>
    </xf>
    <xf numFmtId="4" fontId="13" fillId="0" borderId="48" xfId="0" applyNumberFormat="1" applyFont="1" applyBorder="1" applyAlignment="1">
      <alignment horizontal="right" vertical="center"/>
    </xf>
    <xf numFmtId="4" fontId="13" fillId="0" borderId="25" xfId="0" applyNumberFormat="1" applyFont="1" applyBorder="1" applyAlignment="1">
      <alignment horizontal="right" vertical="center"/>
    </xf>
    <xf numFmtId="4" fontId="12" fillId="2" borderId="47" xfId="0" applyNumberFormat="1" applyFont="1" applyFill="1" applyBorder="1" applyAlignment="1">
      <alignment horizontal="right" vertical="center"/>
    </xf>
    <xf numFmtId="4" fontId="12" fillId="2" borderId="52" xfId="0" applyNumberFormat="1" applyFont="1" applyFill="1" applyBorder="1" applyAlignment="1">
      <alignment horizontal="right" vertical="center"/>
    </xf>
    <xf numFmtId="0" fontId="6" fillId="0" borderId="29" xfId="0" applyFont="1" applyBorder="1" applyAlignment="1">
      <alignment horizontal="left" vertical="center"/>
    </xf>
    <xf numFmtId="0" fontId="2" fillId="0" borderId="73" xfId="0" applyFont="1" applyBorder="1" applyAlignment="1">
      <alignment horizontal="right" vertical="center"/>
    </xf>
    <xf numFmtId="4" fontId="3" fillId="0" borderId="50" xfId="0" applyNumberFormat="1" applyFont="1" applyBorder="1" applyAlignment="1">
      <alignment horizontal="right" vertical="center"/>
    </xf>
    <xf numFmtId="0" fontId="3" fillId="0" borderId="50" xfId="0" applyFont="1" applyBorder="1" applyAlignment="1">
      <alignment horizontal="left" vertical="center"/>
    </xf>
    <xf numFmtId="4" fontId="3" fillId="0" borderId="77" xfId="0" applyNumberFormat="1" applyFont="1" applyBorder="1" applyAlignment="1">
      <alignment horizontal="right" vertical="center"/>
    </xf>
    <xf numFmtId="0" fontId="3" fillId="0" borderId="77" xfId="0" applyFont="1" applyBorder="1" applyAlignment="1">
      <alignment horizontal="left" vertical="center"/>
    </xf>
    <xf numFmtId="0" fontId="2" fillId="0" borderId="81" xfId="0" applyFont="1" applyBorder="1" applyAlignment="1">
      <alignment horizontal="left" vertical="center"/>
    </xf>
    <xf numFmtId="0" fontId="2" fillId="0" borderId="81" xfId="0" applyFont="1" applyBorder="1" applyAlignment="1">
      <alignment horizontal="right" vertical="center"/>
    </xf>
    <xf numFmtId="4" fontId="2" fillId="0" borderId="8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3" borderId="3" xfId="0" applyFont="1" applyFill="1" applyBorder="1" applyAlignment="1" applyProtection="1">
      <alignment horizontal="left" vertical="center"/>
      <protection locked="0"/>
    </xf>
    <xf numFmtId="0" fontId="3" fillId="3" borderId="0" xfId="0" applyFont="1" applyFill="1" applyAlignment="1" applyProtection="1">
      <alignment horizontal="left" vertical="center"/>
      <protection locked="0"/>
    </xf>
    <xf numFmtId="0" fontId="3" fillId="3" borderId="8" xfId="0" applyFont="1" applyFill="1" applyBorder="1" applyAlignment="1" applyProtection="1">
      <alignment horizontal="left" vertical="center"/>
      <protection locked="0"/>
    </xf>
    <xf numFmtId="0" fontId="3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3" borderId="6" xfId="0" applyFont="1" applyFill="1" applyBorder="1" applyAlignment="1" applyProtection="1">
      <alignment horizontal="left" vertical="center"/>
      <protection locked="0"/>
    </xf>
    <xf numFmtId="0" fontId="3" fillId="3" borderId="0" xfId="0" applyFont="1" applyFill="1" applyAlignment="1" applyProtection="1">
      <alignment horizontal="left" vertical="center" wrapText="1"/>
      <protection locked="0"/>
    </xf>
    <xf numFmtId="0" fontId="3" fillId="3" borderId="9" xfId="0" applyFont="1" applyFill="1" applyBorder="1" applyAlignment="1" applyProtection="1">
      <alignment horizontal="left" vertical="center"/>
      <protection locked="0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4" borderId="29" xfId="0" applyFont="1" applyFill="1" applyBorder="1" applyAlignment="1">
      <alignment horizontal="left" vertical="center" wrapText="1"/>
    </xf>
    <xf numFmtId="0" fontId="2" fillId="4" borderId="2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3" borderId="0" xfId="0" applyFont="1" applyFill="1" applyAlignment="1" applyProtection="1">
      <alignment horizontal="left" vertical="center"/>
      <protection locked="0"/>
    </xf>
    <xf numFmtId="0" fontId="4" fillId="0" borderId="6" xfId="0" applyFont="1" applyBorder="1" applyAlignment="1">
      <alignment horizontal="left" vertical="center"/>
    </xf>
    <xf numFmtId="0" fontId="2" fillId="4" borderId="0" xfId="0" applyFont="1" applyFill="1" applyAlignment="1">
      <alignment horizontal="left" vertical="center" wrapText="1"/>
    </xf>
    <xf numFmtId="0" fontId="2" fillId="4" borderId="0" xfId="0" applyFont="1" applyFill="1" applyAlignment="1">
      <alignment horizontal="left" vertical="center"/>
    </xf>
    <xf numFmtId="0" fontId="3" fillId="0" borderId="32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/>
    </xf>
    <xf numFmtId="0" fontId="2" fillId="0" borderId="3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2" fillId="0" borderId="40" xfId="0" applyFont="1" applyBorder="1" applyAlignment="1">
      <alignment horizontal="left" vertical="center"/>
    </xf>
    <xf numFmtId="0" fontId="2" fillId="0" borderId="41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left" vertical="center"/>
    </xf>
    <xf numFmtId="1" fontId="3" fillId="0" borderId="6" xfId="0" applyNumberFormat="1" applyFont="1" applyBorder="1" applyAlignment="1">
      <alignment horizontal="left" vertical="center"/>
    </xf>
    <xf numFmtId="0" fontId="3" fillId="0" borderId="33" xfId="0" applyFont="1" applyBorder="1" applyAlignment="1">
      <alignment horizontal="left" vertical="center"/>
    </xf>
    <xf numFmtId="0" fontId="9" fillId="0" borderId="44" xfId="0" applyFont="1" applyBorder="1" applyAlignment="1">
      <alignment horizontal="center" vertical="center"/>
    </xf>
    <xf numFmtId="0" fontId="11" fillId="0" borderId="46" xfId="0" applyFont="1" applyBorder="1" applyAlignment="1">
      <alignment horizontal="left" vertical="center"/>
    </xf>
    <xf numFmtId="0" fontId="11" fillId="0" borderId="47" xfId="0" applyFont="1" applyBorder="1" applyAlignment="1">
      <alignment horizontal="left" vertical="center"/>
    </xf>
    <xf numFmtId="0" fontId="12" fillId="0" borderId="54" xfId="0" applyFont="1" applyBorder="1" applyAlignment="1">
      <alignment horizontal="left" vertical="center"/>
    </xf>
    <xf numFmtId="0" fontId="12" fillId="0" borderId="52" xfId="0" applyFont="1" applyBorder="1" applyAlignment="1">
      <alignment horizontal="left" vertical="center"/>
    </xf>
    <xf numFmtId="0" fontId="12" fillId="0" borderId="55" xfId="0" applyFont="1" applyBorder="1" applyAlignment="1">
      <alignment horizontal="left" vertical="center"/>
    </xf>
    <xf numFmtId="0" fontId="12" fillId="0" borderId="56" xfId="0" applyFont="1" applyBorder="1" applyAlignment="1">
      <alignment horizontal="left" vertical="center"/>
    </xf>
    <xf numFmtId="0" fontId="12" fillId="0" borderId="59" xfId="0" applyFont="1" applyBorder="1" applyAlignment="1">
      <alignment horizontal="left" vertical="center"/>
    </xf>
    <xf numFmtId="0" fontId="12" fillId="0" borderId="47" xfId="0" applyFont="1" applyBorder="1" applyAlignment="1">
      <alignment horizontal="left" vertical="center"/>
    </xf>
    <xf numFmtId="0" fontId="13" fillId="0" borderId="51" xfId="0" applyFont="1" applyBorder="1" applyAlignment="1">
      <alignment horizontal="left" vertical="center"/>
    </xf>
    <xf numFmtId="0" fontId="13" fillId="0" borderId="52" xfId="0" applyFont="1" applyBorder="1" applyAlignment="1">
      <alignment horizontal="left" vertical="center"/>
    </xf>
    <xf numFmtId="0" fontId="13" fillId="0" borderId="58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2" fillId="0" borderId="46" xfId="0" applyFont="1" applyBorder="1" applyAlignment="1">
      <alignment horizontal="left" vertical="center"/>
    </xf>
    <xf numFmtId="0" fontId="12" fillId="0" borderId="51" xfId="0" applyFont="1" applyBorder="1" applyAlignment="1">
      <alignment horizontal="left" vertical="center"/>
    </xf>
    <xf numFmtId="0" fontId="12" fillId="2" borderId="59" xfId="0" applyFont="1" applyFill="1" applyBorder="1" applyAlignment="1">
      <alignment horizontal="left" vertical="center"/>
    </xf>
    <xf numFmtId="0" fontId="12" fillId="2" borderId="60" xfId="0" applyFont="1" applyFill="1" applyBorder="1" applyAlignment="1">
      <alignment horizontal="left" vertical="center"/>
    </xf>
    <xf numFmtId="0" fontId="12" fillId="2" borderId="54" xfId="0" applyFont="1" applyFill="1" applyBorder="1" applyAlignment="1">
      <alignment horizontal="left" vertical="center"/>
    </xf>
    <xf numFmtId="0" fontId="12" fillId="2" borderId="61" xfId="0" applyFont="1" applyFill="1" applyBorder="1" applyAlignment="1">
      <alignment horizontal="left" vertical="center"/>
    </xf>
    <xf numFmtId="0" fontId="12" fillId="2" borderId="46" xfId="0" applyFont="1" applyFill="1" applyBorder="1" applyAlignment="1">
      <alignment horizontal="left" vertical="center"/>
    </xf>
    <xf numFmtId="0" fontId="12" fillId="2" borderId="51" xfId="0" applyFont="1" applyFill="1" applyBorder="1" applyAlignment="1">
      <alignment horizontal="left" vertical="center"/>
    </xf>
    <xf numFmtId="0" fontId="13" fillId="0" borderId="62" xfId="0" applyFont="1" applyBorder="1" applyAlignment="1">
      <alignment horizontal="left" vertical="center"/>
    </xf>
    <xf numFmtId="0" fontId="13" fillId="0" borderId="63" xfId="0" applyFont="1" applyBorder="1" applyAlignment="1">
      <alignment horizontal="left" vertical="center"/>
    </xf>
    <xf numFmtId="0" fontId="13" fillId="0" borderId="64" xfId="0" applyFont="1" applyBorder="1" applyAlignment="1">
      <alignment horizontal="left" vertical="center"/>
    </xf>
    <xf numFmtId="0" fontId="13" fillId="0" borderId="66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67" xfId="0" applyFont="1" applyBorder="1" applyAlignment="1">
      <alignment horizontal="left" vertical="center"/>
    </xf>
    <xf numFmtId="0" fontId="13" fillId="0" borderId="69" xfId="0" applyFont="1" applyBorder="1" applyAlignment="1">
      <alignment horizontal="left" vertical="center"/>
    </xf>
    <xf numFmtId="0" fontId="13" fillId="0" borderId="70" xfId="0" applyFont="1" applyBorder="1" applyAlignment="1">
      <alignment horizontal="left" vertical="center"/>
    </xf>
    <xf numFmtId="0" fontId="13" fillId="0" borderId="71" xfId="0" applyFont="1" applyBorder="1" applyAlignment="1">
      <alignment horizontal="left" vertical="center"/>
    </xf>
    <xf numFmtId="0" fontId="13" fillId="0" borderId="65" xfId="0" applyFont="1" applyBorder="1" applyAlignment="1">
      <alignment horizontal="left" vertical="center"/>
    </xf>
    <xf numFmtId="0" fontId="13" fillId="0" borderId="68" xfId="0" applyFont="1" applyBorder="1" applyAlignment="1">
      <alignment horizontal="left" vertical="center"/>
    </xf>
    <xf numFmtId="0" fontId="13" fillId="0" borderId="72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3" fillId="0" borderId="54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3" fillId="0" borderId="74" xfId="0" applyFont="1" applyBorder="1" applyAlignment="1">
      <alignment horizontal="left" vertical="center"/>
    </xf>
    <xf numFmtId="0" fontId="3" fillId="0" borderId="75" xfId="0" applyFont="1" applyBorder="1" applyAlignment="1">
      <alignment horizontal="left" vertical="center"/>
    </xf>
    <xf numFmtId="0" fontId="3" fillId="0" borderId="76" xfId="0" applyFont="1" applyBorder="1" applyAlignment="1">
      <alignment horizontal="left" vertical="center"/>
    </xf>
    <xf numFmtId="0" fontId="2" fillId="0" borderId="78" xfId="0" applyFont="1" applyBorder="1" applyAlignment="1">
      <alignment horizontal="left" vertical="center"/>
    </xf>
    <xf numFmtId="0" fontId="2" fillId="0" borderId="79" xfId="0" applyFont="1" applyBorder="1" applyAlignment="1">
      <alignment horizontal="left" vertical="center"/>
    </xf>
    <xf numFmtId="0" fontId="2" fillId="0" borderId="80" xfId="0" applyFont="1" applyBorder="1" applyAlignment="1">
      <alignment horizontal="left" vertical="center"/>
    </xf>
    <xf numFmtId="0" fontId="12" fillId="0" borderId="78" xfId="0" applyFont="1" applyBorder="1" applyAlignment="1">
      <alignment horizontal="left" vertical="center"/>
    </xf>
    <xf numFmtId="0" fontId="12" fillId="0" borderId="79" xfId="0" applyFont="1" applyBorder="1" applyAlignment="1">
      <alignment horizontal="left" vertical="center"/>
    </xf>
    <xf numFmtId="0" fontId="12" fillId="0" borderId="80" xfId="0" applyFont="1" applyBorder="1" applyAlignment="1">
      <alignment horizontal="left" vertical="center"/>
    </xf>
    <xf numFmtId="4" fontId="12" fillId="0" borderId="82" xfId="0" applyNumberFormat="1" applyFont="1" applyBorder="1" applyAlignment="1">
      <alignment horizontal="right" vertical="center"/>
    </xf>
    <xf numFmtId="0" fontId="12" fillId="0" borderId="79" xfId="0" applyFont="1" applyBorder="1" applyAlignment="1">
      <alignment horizontal="right" vertical="center"/>
    </xf>
    <xf numFmtId="0" fontId="12" fillId="0" borderId="80" xfId="0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762000" cy="4762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62000" cy="4762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762000" cy="4762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62000" cy="4762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762000" cy="4762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62000" cy="4762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762000" cy="4762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62000" cy="4762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762000" cy="4762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62000" cy="4762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7"/>
  <sheetViews>
    <sheetView tabSelected="1" workbookViewId="0">
      <selection activeCell="A37" sqref="A37:I37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52" t="s">
        <v>1381</v>
      </c>
      <c r="B1" s="103"/>
      <c r="C1" s="103"/>
      <c r="D1" s="103"/>
      <c r="E1" s="103"/>
      <c r="F1" s="103"/>
      <c r="G1" s="103"/>
      <c r="H1" s="103"/>
      <c r="I1" s="103"/>
    </row>
    <row r="2" spans="1:9" x14ac:dyDescent="0.25">
      <c r="A2" s="104" t="s">
        <v>1</v>
      </c>
      <c r="B2" s="105"/>
      <c r="C2" s="113" t="str">
        <f>'Stavební rozpočet'!C2</f>
        <v>Změna účelu užívání - Centrum duševního zdraví, Nerudova 1156, Bohumín</v>
      </c>
      <c r="D2" s="114"/>
      <c r="E2" s="111" t="s">
        <v>5</v>
      </c>
      <c r="F2" s="111" t="str">
        <f>'Stavební rozpočet'!I2</f>
        <v>Město Bohumín, Masarykova 158, Bohumín</v>
      </c>
      <c r="G2" s="105"/>
      <c r="H2" s="111" t="s">
        <v>1382</v>
      </c>
      <c r="I2" s="119" t="s">
        <v>1383</v>
      </c>
    </row>
    <row r="3" spans="1:9" ht="25.5" customHeight="1" x14ac:dyDescent="0.25">
      <c r="A3" s="106"/>
      <c r="B3" s="107"/>
      <c r="C3" s="115"/>
      <c r="D3" s="115"/>
      <c r="E3" s="107"/>
      <c r="F3" s="107"/>
      <c r="G3" s="107"/>
      <c r="H3" s="107"/>
      <c r="I3" s="120"/>
    </row>
    <row r="4" spans="1:9" x14ac:dyDescent="0.25">
      <c r="A4" s="108" t="s">
        <v>7</v>
      </c>
      <c r="B4" s="107"/>
      <c r="C4" s="112" t="str">
        <f>'Stavební rozpočet'!C4</f>
        <v>stavební část, ÚT, ZTI, VZT</v>
      </c>
      <c r="D4" s="107"/>
      <c r="E4" s="112" t="s">
        <v>10</v>
      </c>
      <c r="F4" s="112" t="str">
        <f>'Stavební rozpočet'!I4</f>
        <v>ENERGETING.CZ, s.r.o.</v>
      </c>
      <c r="G4" s="107"/>
      <c r="H4" s="112" t="s">
        <v>1382</v>
      </c>
      <c r="I4" s="120" t="s">
        <v>1384</v>
      </c>
    </row>
    <row r="5" spans="1:9" ht="15" customHeight="1" x14ac:dyDescent="0.25">
      <c r="A5" s="106"/>
      <c r="B5" s="107"/>
      <c r="C5" s="107"/>
      <c r="D5" s="107"/>
      <c r="E5" s="107"/>
      <c r="F5" s="107"/>
      <c r="G5" s="107"/>
      <c r="H5" s="107"/>
      <c r="I5" s="120"/>
    </row>
    <row r="6" spans="1:9" x14ac:dyDescent="0.25">
      <c r="A6" s="108" t="s">
        <v>12</v>
      </c>
      <c r="B6" s="107"/>
      <c r="C6" s="112" t="str">
        <f>'Stavební rozpočet'!C6</f>
        <v>Nerudova č. p. 1156, Nový Bohumín, 735 81 Bohumín</v>
      </c>
      <c r="D6" s="107"/>
      <c r="E6" s="112" t="s">
        <v>15</v>
      </c>
      <c r="F6" s="112" t="str">
        <f>'Stavební rozpočet'!I6</f>
        <v> </v>
      </c>
      <c r="G6" s="107"/>
      <c r="H6" s="112" t="s">
        <v>1382</v>
      </c>
      <c r="I6" s="120" t="s">
        <v>52</v>
      </c>
    </row>
    <row r="7" spans="1:9" ht="15" customHeight="1" x14ac:dyDescent="0.25">
      <c r="A7" s="106"/>
      <c r="B7" s="107"/>
      <c r="C7" s="107"/>
      <c r="D7" s="107"/>
      <c r="E7" s="107"/>
      <c r="F7" s="107"/>
      <c r="G7" s="107"/>
      <c r="H7" s="107"/>
      <c r="I7" s="120"/>
    </row>
    <row r="8" spans="1:9" x14ac:dyDescent="0.25">
      <c r="A8" s="108" t="s">
        <v>9</v>
      </c>
      <c r="B8" s="107"/>
      <c r="C8" s="112" t="str">
        <f>'Stavební rozpočet'!G4</f>
        <v xml:space="preserve"> </v>
      </c>
      <c r="D8" s="107"/>
      <c r="E8" s="112" t="s">
        <v>14</v>
      </c>
      <c r="F8" s="112" t="str">
        <f>'Stavební rozpočet'!G6</f>
        <v xml:space="preserve"> </v>
      </c>
      <c r="G8" s="107"/>
      <c r="H8" s="107" t="s">
        <v>1385</v>
      </c>
      <c r="I8" s="154">
        <v>299</v>
      </c>
    </row>
    <row r="9" spans="1:9" x14ac:dyDescent="0.25">
      <c r="A9" s="106"/>
      <c r="B9" s="107"/>
      <c r="C9" s="107"/>
      <c r="D9" s="107"/>
      <c r="E9" s="107"/>
      <c r="F9" s="107"/>
      <c r="G9" s="107"/>
      <c r="H9" s="107"/>
      <c r="I9" s="120"/>
    </row>
    <row r="10" spans="1:9" x14ac:dyDescent="0.25">
      <c r="A10" s="108" t="s">
        <v>17</v>
      </c>
      <c r="B10" s="107"/>
      <c r="C10" s="112" t="str">
        <f>'Stavební rozpočet'!C8</f>
        <v>8011323</v>
      </c>
      <c r="D10" s="107"/>
      <c r="E10" s="112" t="s">
        <v>21</v>
      </c>
      <c r="F10" s="112" t="str">
        <f>'Stavební rozpočet'!I8</f>
        <v>Bc. Slowiková</v>
      </c>
      <c r="G10" s="107"/>
      <c r="H10" s="107" t="s">
        <v>1386</v>
      </c>
      <c r="I10" s="147" t="str">
        <f>'Stavební rozpočet'!G8</f>
        <v>13.03.2025</v>
      </c>
    </row>
    <row r="11" spans="1:9" x14ac:dyDescent="0.25">
      <c r="A11" s="153"/>
      <c r="B11" s="144"/>
      <c r="C11" s="144"/>
      <c r="D11" s="144"/>
      <c r="E11" s="144"/>
      <c r="F11" s="144"/>
      <c r="G11" s="144"/>
      <c r="H11" s="144"/>
      <c r="I11" s="155"/>
    </row>
    <row r="12" spans="1:9" ht="23.25" x14ac:dyDescent="0.25">
      <c r="A12" s="156" t="s">
        <v>1387</v>
      </c>
      <c r="B12" s="156"/>
      <c r="C12" s="156"/>
      <c r="D12" s="156"/>
      <c r="E12" s="156"/>
      <c r="F12" s="156"/>
      <c r="G12" s="156"/>
      <c r="H12" s="156"/>
      <c r="I12" s="156"/>
    </row>
    <row r="13" spans="1:9" ht="26.25" customHeight="1" x14ac:dyDescent="0.25">
      <c r="A13" s="81" t="s">
        <v>1388</v>
      </c>
      <c r="B13" s="157" t="s">
        <v>1389</v>
      </c>
      <c r="C13" s="158"/>
      <c r="D13" s="82" t="s">
        <v>1390</v>
      </c>
      <c r="E13" s="157" t="s">
        <v>1391</v>
      </c>
      <c r="F13" s="158"/>
      <c r="G13" s="82" t="s">
        <v>1392</v>
      </c>
      <c r="H13" s="157" t="s">
        <v>1393</v>
      </c>
      <c r="I13" s="158"/>
    </row>
    <row r="14" spans="1:9" ht="15.75" x14ac:dyDescent="0.25">
      <c r="A14" s="83" t="s">
        <v>1394</v>
      </c>
      <c r="B14" s="84" t="s">
        <v>1395</v>
      </c>
      <c r="C14" s="85">
        <f>SUM('Stavební rozpočet'!AB12:AB1464)</f>
        <v>0</v>
      </c>
      <c r="D14" s="165" t="s">
        <v>1396</v>
      </c>
      <c r="E14" s="166"/>
      <c r="F14" s="85">
        <f>VORN!I15</f>
        <v>0</v>
      </c>
      <c r="G14" s="165" t="s">
        <v>1397</v>
      </c>
      <c r="H14" s="166"/>
      <c r="I14" s="86">
        <f>VORN!I21</f>
        <v>0</v>
      </c>
    </row>
    <row r="15" spans="1:9" ht="15.75" x14ac:dyDescent="0.25">
      <c r="A15" s="87" t="s">
        <v>52</v>
      </c>
      <c r="B15" s="84" t="s">
        <v>37</v>
      </c>
      <c r="C15" s="85">
        <f>SUM('Stavební rozpočet'!AC12:AC1464)</f>
        <v>0</v>
      </c>
      <c r="D15" s="165" t="s">
        <v>1398</v>
      </c>
      <c r="E15" s="166"/>
      <c r="F15" s="85">
        <f>VORN!I16</f>
        <v>0</v>
      </c>
      <c r="G15" s="165" t="s">
        <v>1399</v>
      </c>
      <c r="H15" s="166"/>
      <c r="I15" s="86">
        <f>VORN!I22</f>
        <v>0</v>
      </c>
    </row>
    <row r="16" spans="1:9" ht="15.75" x14ac:dyDescent="0.25">
      <c r="A16" s="83" t="s">
        <v>1400</v>
      </c>
      <c r="B16" s="84" t="s">
        <v>1395</v>
      </c>
      <c r="C16" s="85">
        <f>SUM('Stavební rozpočet'!AD12:AD1464)</f>
        <v>0</v>
      </c>
      <c r="D16" s="165" t="s">
        <v>1401</v>
      </c>
      <c r="E16" s="166"/>
      <c r="F16" s="85">
        <f>VORN!I17</f>
        <v>0</v>
      </c>
      <c r="G16" s="165" t="s">
        <v>1402</v>
      </c>
      <c r="H16" s="166"/>
      <c r="I16" s="86">
        <f>VORN!I23</f>
        <v>0</v>
      </c>
    </row>
    <row r="17" spans="1:9" ht="15.75" x14ac:dyDescent="0.25">
      <c r="A17" s="87" t="s">
        <v>52</v>
      </c>
      <c r="B17" s="84" t="s">
        <v>37</v>
      </c>
      <c r="C17" s="85">
        <f>SUM('Stavební rozpočet'!AE12:AE1464)</f>
        <v>0</v>
      </c>
      <c r="D17" s="165" t="s">
        <v>52</v>
      </c>
      <c r="E17" s="166"/>
      <c r="F17" s="86" t="s">
        <v>52</v>
      </c>
      <c r="G17" s="165" t="s">
        <v>1403</v>
      </c>
      <c r="H17" s="166"/>
      <c r="I17" s="86">
        <f>VORN!I24</f>
        <v>0</v>
      </c>
    </row>
    <row r="18" spans="1:9" ht="15.75" x14ac:dyDescent="0.25">
      <c r="A18" s="83" t="s">
        <v>1404</v>
      </c>
      <c r="B18" s="84" t="s">
        <v>1395</v>
      </c>
      <c r="C18" s="85">
        <f>SUM('Stavební rozpočet'!AF12:AF1464)</f>
        <v>0</v>
      </c>
      <c r="D18" s="165" t="s">
        <v>52</v>
      </c>
      <c r="E18" s="166"/>
      <c r="F18" s="86" t="s">
        <v>52</v>
      </c>
      <c r="G18" s="165" t="s">
        <v>1405</v>
      </c>
      <c r="H18" s="166"/>
      <c r="I18" s="86">
        <f>VORN!I25</f>
        <v>0</v>
      </c>
    </row>
    <row r="19" spans="1:9" ht="15.75" x14ac:dyDescent="0.25">
      <c r="A19" s="87" t="s">
        <v>52</v>
      </c>
      <c r="B19" s="84" t="s">
        <v>37</v>
      </c>
      <c r="C19" s="85">
        <f>SUM('Stavební rozpočet'!AG12:AG1464)</f>
        <v>0</v>
      </c>
      <c r="D19" s="165" t="s">
        <v>52</v>
      </c>
      <c r="E19" s="166"/>
      <c r="F19" s="86" t="s">
        <v>52</v>
      </c>
      <c r="G19" s="165" t="s">
        <v>1406</v>
      </c>
      <c r="H19" s="166"/>
      <c r="I19" s="86">
        <f>VORN!I26</f>
        <v>0</v>
      </c>
    </row>
    <row r="20" spans="1:9" ht="15.75" x14ac:dyDescent="0.25">
      <c r="A20" s="159" t="s">
        <v>1407</v>
      </c>
      <c r="B20" s="160"/>
      <c r="C20" s="85">
        <f>SUM('Stavební rozpočet'!AH12:AH1464)</f>
        <v>0</v>
      </c>
      <c r="D20" s="165" t="s">
        <v>52</v>
      </c>
      <c r="E20" s="166"/>
      <c r="F20" s="86" t="s">
        <v>52</v>
      </c>
      <c r="G20" s="165" t="s">
        <v>52</v>
      </c>
      <c r="H20" s="166"/>
      <c r="I20" s="86" t="s">
        <v>52</v>
      </c>
    </row>
    <row r="21" spans="1:9" ht="15.75" x14ac:dyDescent="0.25">
      <c r="A21" s="161" t="s">
        <v>1408</v>
      </c>
      <c r="B21" s="162"/>
      <c r="C21" s="88">
        <f>SUM('Stavební rozpočet'!Z12:Z1464)</f>
        <v>0</v>
      </c>
      <c r="D21" s="167" t="s">
        <v>52</v>
      </c>
      <c r="E21" s="168"/>
      <c r="F21" s="89" t="s">
        <v>52</v>
      </c>
      <c r="G21" s="167" t="s">
        <v>52</v>
      </c>
      <c r="H21" s="168"/>
      <c r="I21" s="89" t="s">
        <v>52</v>
      </c>
    </row>
    <row r="22" spans="1:9" ht="16.5" customHeight="1" x14ac:dyDescent="0.25">
      <c r="A22" s="163" t="s">
        <v>1409</v>
      </c>
      <c r="B22" s="164"/>
      <c r="C22" s="90">
        <f>ROUND(SUM(C14:C21),2)</f>
        <v>0</v>
      </c>
      <c r="D22" s="169" t="s">
        <v>1410</v>
      </c>
      <c r="E22" s="164"/>
      <c r="F22" s="90">
        <f>SUM(F14:F21)</f>
        <v>0</v>
      </c>
      <c r="G22" s="169" t="s">
        <v>1411</v>
      </c>
      <c r="H22" s="164"/>
      <c r="I22" s="90">
        <f>SUM(I14:I21)</f>
        <v>0</v>
      </c>
    </row>
    <row r="23" spans="1:9" ht="15.75" x14ac:dyDescent="0.25">
      <c r="D23" s="159" t="s">
        <v>1412</v>
      </c>
      <c r="E23" s="160"/>
      <c r="F23" s="91">
        <v>0</v>
      </c>
      <c r="G23" s="170" t="s">
        <v>1413</v>
      </c>
      <c r="H23" s="160"/>
      <c r="I23" s="85">
        <v>0</v>
      </c>
    </row>
    <row r="24" spans="1:9" ht="15.75" x14ac:dyDescent="0.25">
      <c r="G24" s="159" t="s">
        <v>1414</v>
      </c>
      <c r="H24" s="160"/>
      <c r="I24" s="88">
        <f>vorn_sum</f>
        <v>0</v>
      </c>
    </row>
    <row r="25" spans="1:9" ht="15.75" x14ac:dyDescent="0.25">
      <c r="G25" s="159" t="s">
        <v>1415</v>
      </c>
      <c r="H25" s="160"/>
      <c r="I25" s="90">
        <v>0</v>
      </c>
    </row>
    <row r="27" spans="1:9" ht="15.75" x14ac:dyDescent="0.25">
      <c r="A27" s="171" t="s">
        <v>1416</v>
      </c>
      <c r="B27" s="172"/>
      <c r="C27" s="92">
        <f>ROUND(SUM('Stavební rozpočet'!AJ12:AJ1464),2)</f>
        <v>0</v>
      </c>
    </row>
    <row r="28" spans="1:9" ht="15.75" x14ac:dyDescent="0.25">
      <c r="A28" s="173" t="s">
        <v>1417</v>
      </c>
      <c r="B28" s="174"/>
      <c r="C28" s="93">
        <f>ROUND(SUM('Stavební rozpočet'!AK12:AK1464),2)</f>
        <v>0</v>
      </c>
      <c r="D28" s="175" t="s">
        <v>1418</v>
      </c>
      <c r="E28" s="172"/>
      <c r="F28" s="92">
        <f>ROUND(C28*(12/100),2)</f>
        <v>0</v>
      </c>
      <c r="G28" s="175" t="s">
        <v>1419</v>
      </c>
      <c r="H28" s="172"/>
      <c r="I28" s="92">
        <f>ROUND(SUM(C27:C29),2)</f>
        <v>0</v>
      </c>
    </row>
    <row r="29" spans="1:9" ht="15.75" x14ac:dyDescent="0.25">
      <c r="A29" s="173" t="s">
        <v>1420</v>
      </c>
      <c r="B29" s="174"/>
      <c r="C29" s="93">
        <f>ROUND(SUM('Stavební rozpočet'!AL12:AL1464)+(F22+I22+F23+I23+I24+I25),2)</f>
        <v>0</v>
      </c>
      <c r="D29" s="176" t="s">
        <v>1421</v>
      </c>
      <c r="E29" s="174"/>
      <c r="F29" s="93">
        <f>ROUND(C29*(21/100),2)</f>
        <v>0</v>
      </c>
      <c r="G29" s="176" t="s">
        <v>1422</v>
      </c>
      <c r="H29" s="174"/>
      <c r="I29" s="93">
        <f>ROUND(SUM(F28:F29)+I28,2)</f>
        <v>0</v>
      </c>
    </row>
    <row r="31" spans="1:9" x14ac:dyDescent="0.25">
      <c r="A31" s="177" t="s">
        <v>1423</v>
      </c>
      <c r="B31" s="178"/>
      <c r="C31" s="179"/>
      <c r="D31" s="186" t="s">
        <v>1424</v>
      </c>
      <c r="E31" s="178"/>
      <c r="F31" s="179"/>
      <c r="G31" s="186" t="s">
        <v>1425</v>
      </c>
      <c r="H31" s="178"/>
      <c r="I31" s="179"/>
    </row>
    <row r="32" spans="1:9" x14ac:dyDescent="0.25">
      <c r="A32" s="180" t="s">
        <v>52</v>
      </c>
      <c r="B32" s="181"/>
      <c r="C32" s="182"/>
      <c r="D32" s="187" t="s">
        <v>52</v>
      </c>
      <c r="E32" s="181"/>
      <c r="F32" s="182"/>
      <c r="G32" s="187" t="s">
        <v>52</v>
      </c>
      <c r="H32" s="181"/>
      <c r="I32" s="182"/>
    </row>
    <row r="33" spans="1:9" x14ac:dyDescent="0.25">
      <c r="A33" s="180" t="s">
        <v>52</v>
      </c>
      <c r="B33" s="181"/>
      <c r="C33" s="182"/>
      <c r="D33" s="187" t="s">
        <v>52</v>
      </c>
      <c r="E33" s="181"/>
      <c r="F33" s="182"/>
      <c r="G33" s="187" t="s">
        <v>52</v>
      </c>
      <c r="H33" s="181"/>
      <c r="I33" s="182"/>
    </row>
    <row r="34" spans="1:9" x14ac:dyDescent="0.25">
      <c r="A34" s="180" t="s">
        <v>52</v>
      </c>
      <c r="B34" s="181"/>
      <c r="C34" s="182"/>
      <c r="D34" s="187" t="s">
        <v>52</v>
      </c>
      <c r="E34" s="181"/>
      <c r="F34" s="182"/>
      <c r="G34" s="187" t="s">
        <v>52</v>
      </c>
      <c r="H34" s="181"/>
      <c r="I34" s="182"/>
    </row>
    <row r="35" spans="1:9" x14ac:dyDescent="0.25">
      <c r="A35" s="183" t="s">
        <v>1426</v>
      </c>
      <c r="B35" s="184"/>
      <c r="C35" s="185"/>
      <c r="D35" s="188" t="s">
        <v>1426</v>
      </c>
      <c r="E35" s="184"/>
      <c r="F35" s="185"/>
      <c r="G35" s="188" t="s">
        <v>1426</v>
      </c>
      <c r="H35" s="184"/>
      <c r="I35" s="185"/>
    </row>
    <row r="36" spans="1:9" x14ac:dyDescent="0.25">
      <c r="A36" s="94" t="s">
        <v>1370</v>
      </c>
    </row>
    <row r="37" spans="1:9" ht="12.75" customHeight="1" x14ac:dyDescent="0.25">
      <c r="A37" s="112" t="s">
        <v>52</v>
      </c>
      <c r="B37" s="107"/>
      <c r="C37" s="107"/>
      <c r="D37" s="107"/>
      <c r="E37" s="107"/>
      <c r="F37" s="107"/>
      <c r="G37" s="107"/>
      <c r="H37" s="107"/>
      <c r="I37" s="107"/>
    </row>
  </sheetData>
  <sheetProtection password="C82F" sheet="1"/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H2:H3"/>
    <mergeCell ref="H4:H5"/>
    <mergeCell ref="H6:H7"/>
    <mergeCell ref="H8:H9"/>
    <mergeCell ref="H10:H11"/>
    <mergeCell ref="A10:B11"/>
    <mergeCell ref="E2:E3"/>
    <mergeCell ref="E4:E5"/>
    <mergeCell ref="E6:E7"/>
    <mergeCell ref="E8:E9"/>
    <mergeCell ref="E10:E11"/>
    <mergeCell ref="C2:D3"/>
    <mergeCell ref="C4:D5"/>
    <mergeCell ref="C6:D7"/>
    <mergeCell ref="C8:D9"/>
    <mergeCell ref="C10:D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36"/>
  <sheetViews>
    <sheetView workbookViewId="0">
      <selection activeCell="F30" sqref="F30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52" t="s">
        <v>1427</v>
      </c>
      <c r="B1" s="103"/>
      <c r="C1" s="103"/>
      <c r="D1" s="103"/>
      <c r="E1" s="103"/>
      <c r="F1" s="103"/>
      <c r="G1" s="103"/>
      <c r="H1" s="103"/>
      <c r="I1" s="103"/>
    </row>
    <row r="2" spans="1:9" x14ac:dyDescent="0.25">
      <c r="A2" s="104" t="s">
        <v>1</v>
      </c>
      <c r="B2" s="105"/>
      <c r="C2" s="113" t="str">
        <f>'Stavební rozpočet'!C2</f>
        <v>Změna účelu užívání - Centrum duševního zdraví, Nerudova 1156, Bohumín</v>
      </c>
      <c r="D2" s="114"/>
      <c r="E2" s="111" t="s">
        <v>5</v>
      </c>
      <c r="F2" s="111" t="str">
        <f>'Stavební rozpočet'!I2</f>
        <v>Město Bohumín, Masarykova 158, Bohumín</v>
      </c>
      <c r="G2" s="105"/>
      <c r="H2" s="111" t="s">
        <v>1382</v>
      </c>
      <c r="I2" s="119" t="s">
        <v>1383</v>
      </c>
    </row>
    <row r="3" spans="1:9" ht="25.5" customHeight="1" x14ac:dyDescent="0.25">
      <c r="A3" s="106"/>
      <c r="B3" s="107"/>
      <c r="C3" s="115"/>
      <c r="D3" s="115"/>
      <c r="E3" s="107"/>
      <c r="F3" s="107"/>
      <c r="G3" s="107"/>
      <c r="H3" s="107"/>
      <c r="I3" s="120"/>
    </row>
    <row r="4" spans="1:9" x14ac:dyDescent="0.25">
      <c r="A4" s="108" t="s">
        <v>7</v>
      </c>
      <c r="B4" s="107"/>
      <c r="C4" s="112" t="str">
        <f>'Stavební rozpočet'!C4</f>
        <v>stavební část, ÚT, ZTI, VZT</v>
      </c>
      <c r="D4" s="107"/>
      <c r="E4" s="112" t="s">
        <v>10</v>
      </c>
      <c r="F4" s="112" t="str">
        <f>'Stavební rozpočet'!I4</f>
        <v>ENERGETING.CZ, s.r.o.</v>
      </c>
      <c r="G4" s="107"/>
      <c r="H4" s="112" t="s">
        <v>1382</v>
      </c>
      <c r="I4" s="120" t="s">
        <v>1384</v>
      </c>
    </row>
    <row r="5" spans="1:9" ht="15" customHeight="1" x14ac:dyDescent="0.25">
      <c r="A5" s="106"/>
      <c r="B5" s="107"/>
      <c r="C5" s="107"/>
      <c r="D5" s="107"/>
      <c r="E5" s="107"/>
      <c r="F5" s="107"/>
      <c r="G5" s="107"/>
      <c r="H5" s="107"/>
      <c r="I5" s="120"/>
    </row>
    <row r="6" spans="1:9" x14ac:dyDescent="0.25">
      <c r="A6" s="108" t="s">
        <v>12</v>
      </c>
      <c r="B6" s="107"/>
      <c r="C6" s="112" t="str">
        <f>'Stavební rozpočet'!C6</f>
        <v>Nerudova č. p. 1156, Nový Bohumín, 735 81 Bohumín</v>
      </c>
      <c r="D6" s="107"/>
      <c r="E6" s="112" t="s">
        <v>15</v>
      </c>
      <c r="F6" s="112" t="str">
        <f>'Stavební rozpočet'!I6</f>
        <v> </v>
      </c>
      <c r="G6" s="107"/>
      <c r="H6" s="112" t="s">
        <v>1382</v>
      </c>
      <c r="I6" s="120" t="s">
        <v>52</v>
      </c>
    </row>
    <row r="7" spans="1:9" ht="15" customHeight="1" x14ac:dyDescent="0.25">
      <c r="A7" s="106"/>
      <c r="B7" s="107"/>
      <c r="C7" s="107"/>
      <c r="D7" s="107"/>
      <c r="E7" s="107"/>
      <c r="F7" s="107"/>
      <c r="G7" s="107"/>
      <c r="H7" s="107"/>
      <c r="I7" s="120"/>
    </row>
    <row r="8" spans="1:9" x14ac:dyDescent="0.25">
      <c r="A8" s="108" t="s">
        <v>9</v>
      </c>
      <c r="B8" s="107"/>
      <c r="C8" s="112" t="str">
        <f>'Stavební rozpočet'!G4</f>
        <v xml:space="preserve"> </v>
      </c>
      <c r="D8" s="107"/>
      <c r="E8" s="112" t="s">
        <v>14</v>
      </c>
      <c r="F8" s="112" t="str">
        <f>'Stavební rozpočet'!G6</f>
        <v xml:space="preserve"> </v>
      </c>
      <c r="G8" s="107"/>
      <c r="H8" s="107" t="s">
        <v>1385</v>
      </c>
      <c r="I8" s="154">
        <v>299</v>
      </c>
    </row>
    <row r="9" spans="1:9" x14ac:dyDescent="0.25">
      <c r="A9" s="106"/>
      <c r="B9" s="107"/>
      <c r="C9" s="107"/>
      <c r="D9" s="107"/>
      <c r="E9" s="107"/>
      <c r="F9" s="107"/>
      <c r="G9" s="107"/>
      <c r="H9" s="107"/>
      <c r="I9" s="120"/>
    </row>
    <row r="10" spans="1:9" x14ac:dyDescent="0.25">
      <c r="A10" s="108" t="s">
        <v>17</v>
      </c>
      <c r="B10" s="107"/>
      <c r="C10" s="112" t="str">
        <f>'Stavební rozpočet'!C8</f>
        <v>8011323</v>
      </c>
      <c r="D10" s="107"/>
      <c r="E10" s="112" t="s">
        <v>21</v>
      </c>
      <c r="F10" s="112" t="str">
        <f>'Stavební rozpočet'!I8</f>
        <v>Bc. Slowiková</v>
      </c>
      <c r="G10" s="107"/>
      <c r="H10" s="107" t="s">
        <v>1386</v>
      </c>
      <c r="I10" s="147" t="str">
        <f>'Stavební rozpočet'!G8</f>
        <v>13.03.2025</v>
      </c>
    </row>
    <row r="11" spans="1:9" x14ac:dyDescent="0.25">
      <c r="A11" s="153"/>
      <c r="B11" s="144"/>
      <c r="C11" s="144"/>
      <c r="D11" s="144"/>
      <c r="E11" s="144"/>
      <c r="F11" s="144"/>
      <c r="G11" s="144"/>
      <c r="H11" s="144"/>
      <c r="I11" s="155"/>
    </row>
    <row r="13" spans="1:9" ht="15.75" x14ac:dyDescent="0.25">
      <c r="A13" s="189" t="s">
        <v>1428</v>
      </c>
      <c r="B13" s="189"/>
      <c r="C13" s="189"/>
      <c r="D13" s="189"/>
      <c r="E13" s="189"/>
    </row>
    <row r="14" spans="1:9" x14ac:dyDescent="0.25">
      <c r="A14" s="190" t="s">
        <v>1429</v>
      </c>
      <c r="B14" s="191"/>
      <c r="C14" s="191"/>
      <c r="D14" s="191"/>
      <c r="E14" s="192"/>
      <c r="F14" s="95" t="s">
        <v>1430</v>
      </c>
      <c r="G14" s="95" t="s">
        <v>1431</v>
      </c>
      <c r="H14" s="95" t="s">
        <v>1432</v>
      </c>
      <c r="I14" s="95" t="s">
        <v>1430</v>
      </c>
    </row>
    <row r="15" spans="1:9" x14ac:dyDescent="0.25">
      <c r="A15" s="193" t="s">
        <v>1396</v>
      </c>
      <c r="B15" s="194"/>
      <c r="C15" s="194"/>
      <c r="D15" s="194"/>
      <c r="E15" s="195"/>
      <c r="F15" s="96">
        <v>0</v>
      </c>
      <c r="G15" s="97" t="s">
        <v>52</v>
      </c>
      <c r="H15" s="97" t="s">
        <v>52</v>
      </c>
      <c r="I15" s="96">
        <f>F15</f>
        <v>0</v>
      </c>
    </row>
    <row r="16" spans="1:9" x14ac:dyDescent="0.25">
      <c r="A16" s="193" t="s">
        <v>1398</v>
      </c>
      <c r="B16" s="194"/>
      <c r="C16" s="194"/>
      <c r="D16" s="194"/>
      <c r="E16" s="195"/>
      <c r="F16" s="96">
        <v>0</v>
      </c>
      <c r="G16" s="97" t="s">
        <v>52</v>
      </c>
      <c r="H16" s="97" t="s">
        <v>52</v>
      </c>
      <c r="I16" s="96">
        <f>F16</f>
        <v>0</v>
      </c>
    </row>
    <row r="17" spans="1:9" x14ac:dyDescent="0.25">
      <c r="A17" s="196" t="s">
        <v>1401</v>
      </c>
      <c r="B17" s="197"/>
      <c r="C17" s="197"/>
      <c r="D17" s="197"/>
      <c r="E17" s="198"/>
      <c r="F17" s="98">
        <v>0</v>
      </c>
      <c r="G17" s="99" t="s">
        <v>52</v>
      </c>
      <c r="H17" s="99" t="s">
        <v>52</v>
      </c>
      <c r="I17" s="98">
        <f>F17</f>
        <v>0</v>
      </c>
    </row>
    <row r="18" spans="1:9" x14ac:dyDescent="0.25">
      <c r="A18" s="199" t="s">
        <v>1433</v>
      </c>
      <c r="B18" s="200"/>
      <c r="C18" s="200"/>
      <c r="D18" s="200"/>
      <c r="E18" s="201"/>
      <c r="F18" s="100" t="s">
        <v>52</v>
      </c>
      <c r="G18" s="101" t="s">
        <v>52</v>
      </c>
      <c r="H18" s="101" t="s">
        <v>52</v>
      </c>
      <c r="I18" s="102">
        <f>SUM(I15:I17)</f>
        <v>0</v>
      </c>
    </row>
    <row r="20" spans="1:9" x14ac:dyDescent="0.25">
      <c r="A20" s="190" t="s">
        <v>1393</v>
      </c>
      <c r="B20" s="191"/>
      <c r="C20" s="191"/>
      <c r="D20" s="191"/>
      <c r="E20" s="192"/>
      <c r="F20" s="95" t="s">
        <v>1430</v>
      </c>
      <c r="G20" s="95" t="s">
        <v>1431</v>
      </c>
      <c r="H20" s="95" t="s">
        <v>1432</v>
      </c>
      <c r="I20" s="95" t="s">
        <v>1430</v>
      </c>
    </row>
    <row r="21" spans="1:9" x14ac:dyDescent="0.25">
      <c r="A21" s="193" t="s">
        <v>1397</v>
      </c>
      <c r="B21" s="194"/>
      <c r="C21" s="194"/>
      <c r="D21" s="194"/>
      <c r="E21" s="195"/>
      <c r="F21" s="97" t="s">
        <v>52</v>
      </c>
      <c r="G21" s="96">
        <v>1.8</v>
      </c>
      <c r="H21" s="96">
        <f>'Krycí list rozpočtu'!C22</f>
        <v>0</v>
      </c>
      <c r="I21" s="96">
        <f>ROUND((G21/100)*H21,2)</f>
        <v>0</v>
      </c>
    </row>
    <row r="22" spans="1:9" x14ac:dyDescent="0.25">
      <c r="A22" s="193" t="s">
        <v>1399</v>
      </c>
      <c r="B22" s="194"/>
      <c r="C22" s="194"/>
      <c r="D22" s="194"/>
      <c r="E22" s="195"/>
      <c r="F22" s="96">
        <v>0</v>
      </c>
      <c r="G22" s="97" t="s">
        <v>52</v>
      </c>
      <c r="H22" s="97" t="s">
        <v>52</v>
      </c>
      <c r="I22" s="96">
        <f>F22</f>
        <v>0</v>
      </c>
    </row>
    <row r="23" spans="1:9" x14ac:dyDescent="0.25">
      <c r="A23" s="193" t="s">
        <v>1402</v>
      </c>
      <c r="B23" s="194"/>
      <c r="C23" s="194"/>
      <c r="D23" s="194"/>
      <c r="E23" s="195"/>
      <c r="F23" s="96">
        <v>0</v>
      </c>
      <c r="G23" s="97" t="s">
        <v>52</v>
      </c>
      <c r="H23" s="97" t="s">
        <v>52</v>
      </c>
      <c r="I23" s="96">
        <f>F23</f>
        <v>0</v>
      </c>
    </row>
    <row r="24" spans="1:9" x14ac:dyDescent="0.25">
      <c r="A24" s="193" t="s">
        <v>1403</v>
      </c>
      <c r="B24" s="194"/>
      <c r="C24" s="194"/>
      <c r="D24" s="194"/>
      <c r="E24" s="195"/>
      <c r="F24" s="96">
        <v>0</v>
      </c>
      <c r="G24" s="97" t="s">
        <v>52</v>
      </c>
      <c r="H24" s="97" t="s">
        <v>52</v>
      </c>
      <c r="I24" s="96">
        <f>F24</f>
        <v>0</v>
      </c>
    </row>
    <row r="25" spans="1:9" x14ac:dyDescent="0.25">
      <c r="A25" s="193" t="s">
        <v>1405</v>
      </c>
      <c r="B25" s="194"/>
      <c r="C25" s="194"/>
      <c r="D25" s="194"/>
      <c r="E25" s="195"/>
      <c r="F25" s="96">
        <v>0</v>
      </c>
      <c r="G25" s="97" t="s">
        <v>52</v>
      </c>
      <c r="H25" s="97" t="s">
        <v>52</v>
      </c>
      <c r="I25" s="96">
        <f>F25</f>
        <v>0</v>
      </c>
    </row>
    <row r="26" spans="1:9" x14ac:dyDescent="0.25">
      <c r="A26" s="196" t="s">
        <v>1406</v>
      </c>
      <c r="B26" s="197"/>
      <c r="C26" s="197"/>
      <c r="D26" s="197"/>
      <c r="E26" s="198"/>
      <c r="F26" s="98">
        <v>0</v>
      </c>
      <c r="G26" s="99" t="s">
        <v>52</v>
      </c>
      <c r="H26" s="99" t="s">
        <v>52</v>
      </c>
      <c r="I26" s="98">
        <f>F26</f>
        <v>0</v>
      </c>
    </row>
    <row r="27" spans="1:9" x14ac:dyDescent="0.25">
      <c r="A27" s="199" t="s">
        <v>1434</v>
      </c>
      <c r="B27" s="200"/>
      <c r="C27" s="200"/>
      <c r="D27" s="200"/>
      <c r="E27" s="201"/>
      <c r="F27" s="100" t="s">
        <v>52</v>
      </c>
      <c r="G27" s="101" t="s">
        <v>52</v>
      </c>
      <c r="H27" s="101" t="s">
        <v>52</v>
      </c>
      <c r="I27" s="102">
        <f>SUM(I21:I26)</f>
        <v>0</v>
      </c>
    </row>
    <row r="29" spans="1:9" ht="15.75" x14ac:dyDescent="0.25">
      <c r="A29" s="202" t="s">
        <v>1435</v>
      </c>
      <c r="B29" s="203"/>
      <c r="C29" s="203"/>
      <c r="D29" s="203"/>
      <c r="E29" s="204"/>
      <c r="F29" s="205">
        <f>I18+I27</f>
        <v>0</v>
      </c>
      <c r="G29" s="206"/>
      <c r="H29" s="206"/>
      <c r="I29" s="207"/>
    </row>
    <row r="33" spans="1:9" ht="15.75" x14ac:dyDescent="0.25">
      <c r="A33" s="189" t="s">
        <v>1436</v>
      </c>
      <c r="B33" s="189"/>
      <c r="C33" s="189"/>
      <c r="D33" s="189"/>
      <c r="E33" s="189"/>
    </row>
    <row r="34" spans="1:9" x14ac:dyDescent="0.25">
      <c r="A34" s="190" t="s">
        <v>1437</v>
      </c>
      <c r="B34" s="191"/>
      <c r="C34" s="191"/>
      <c r="D34" s="191"/>
      <c r="E34" s="192"/>
      <c r="F34" s="95" t="s">
        <v>1430</v>
      </c>
      <c r="G34" s="95" t="s">
        <v>1431</v>
      </c>
      <c r="H34" s="95" t="s">
        <v>1432</v>
      </c>
      <c r="I34" s="95" t="s">
        <v>1430</v>
      </c>
    </row>
    <row r="35" spans="1:9" x14ac:dyDescent="0.25">
      <c r="A35" s="196" t="s">
        <v>52</v>
      </c>
      <c r="B35" s="197"/>
      <c r="C35" s="197"/>
      <c r="D35" s="197"/>
      <c r="E35" s="198"/>
      <c r="F35" s="98">
        <v>0</v>
      </c>
      <c r="G35" s="99" t="s">
        <v>52</v>
      </c>
      <c r="H35" s="99" t="s">
        <v>52</v>
      </c>
      <c r="I35" s="98">
        <f>F35</f>
        <v>0</v>
      </c>
    </row>
    <row r="36" spans="1:9" x14ac:dyDescent="0.25">
      <c r="A36" s="199" t="s">
        <v>1438</v>
      </c>
      <c r="B36" s="200"/>
      <c r="C36" s="200"/>
      <c r="D36" s="200"/>
      <c r="E36" s="201"/>
      <c r="F36" s="100" t="s">
        <v>52</v>
      </c>
      <c r="G36" s="101" t="s">
        <v>52</v>
      </c>
      <c r="H36" s="101" t="s">
        <v>52</v>
      </c>
      <c r="I36" s="102">
        <f>SUM(I35:I35)</f>
        <v>0</v>
      </c>
    </row>
  </sheetData>
  <sheetProtection password="C82F" sheet="1"/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A10:B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2"/>
  <sheetViews>
    <sheetView workbookViewId="0">
      <pane ySplit="11" topLeftCell="A12" activePane="bottomLeft" state="frozen"/>
      <selection pane="bottomLeft" activeCell="C61" sqref="C61:D61"/>
    </sheetView>
  </sheetViews>
  <sheetFormatPr defaultColWidth="12.140625" defaultRowHeight="15" customHeight="1" x14ac:dyDescent="0.25"/>
  <cols>
    <col min="1" max="2" width="8.5703125" customWidth="1"/>
    <col min="3" max="3" width="71.42578125" customWidth="1"/>
    <col min="4" max="4" width="12.140625" customWidth="1"/>
    <col min="5" max="7" width="27.85546875" customWidth="1"/>
    <col min="8" max="9" width="0" hidden="1" customWidth="1"/>
  </cols>
  <sheetData>
    <row r="1" spans="1:9" ht="54.75" customHeight="1" x14ac:dyDescent="0.25">
      <c r="A1" s="103" t="s">
        <v>1371</v>
      </c>
      <c r="B1" s="103"/>
      <c r="C1" s="103"/>
      <c r="D1" s="103"/>
      <c r="E1" s="103"/>
      <c r="F1" s="103"/>
      <c r="G1" s="103"/>
    </row>
    <row r="2" spans="1:9" x14ac:dyDescent="0.25">
      <c r="A2" s="104" t="s">
        <v>1</v>
      </c>
      <c r="B2" s="105"/>
      <c r="C2" s="113" t="str">
        <f>'Stavební rozpočet'!C2</f>
        <v>Změna účelu užívání - Centrum duševního zdraví, Nerudova 1156, Bohumín</v>
      </c>
      <c r="D2" s="105" t="s">
        <v>3</v>
      </c>
      <c r="E2" s="105" t="s">
        <v>4</v>
      </c>
      <c r="F2" s="111" t="s">
        <v>5</v>
      </c>
      <c r="G2" s="146" t="str">
        <f>'Stavební rozpočet'!I2</f>
        <v>Město Bohumín, Masarykova 158, Bohumín</v>
      </c>
    </row>
    <row r="3" spans="1:9" ht="15" customHeight="1" x14ac:dyDescent="0.25">
      <c r="A3" s="106"/>
      <c r="B3" s="107"/>
      <c r="C3" s="115"/>
      <c r="D3" s="107"/>
      <c r="E3" s="107"/>
      <c r="F3" s="107"/>
      <c r="G3" s="120"/>
    </row>
    <row r="4" spans="1:9" x14ac:dyDescent="0.25">
      <c r="A4" s="108" t="s">
        <v>7</v>
      </c>
      <c r="B4" s="107"/>
      <c r="C4" s="112" t="str">
        <f>'Stavební rozpočet'!C4</f>
        <v>stavební část, ÚT, ZTI, VZT</v>
      </c>
      <c r="D4" s="107" t="s">
        <v>9</v>
      </c>
      <c r="E4" s="107" t="s">
        <v>4</v>
      </c>
      <c r="F4" s="112" t="s">
        <v>10</v>
      </c>
      <c r="G4" s="147" t="str">
        <f>'Stavební rozpočet'!I4</f>
        <v>ENERGETING.CZ, s.r.o.</v>
      </c>
    </row>
    <row r="5" spans="1:9" ht="15" customHeight="1" x14ac:dyDescent="0.25">
      <c r="A5" s="106"/>
      <c r="B5" s="107"/>
      <c r="C5" s="107"/>
      <c r="D5" s="107"/>
      <c r="E5" s="107"/>
      <c r="F5" s="107"/>
      <c r="G5" s="120"/>
    </row>
    <row r="6" spans="1:9" x14ac:dyDescent="0.25">
      <c r="A6" s="108" t="s">
        <v>12</v>
      </c>
      <c r="B6" s="107"/>
      <c r="C6" s="112" t="str">
        <f>'Stavební rozpočet'!C6</f>
        <v>Nerudova č. p. 1156, Nový Bohumín, 735 81 Bohumín</v>
      </c>
      <c r="D6" s="107" t="s">
        <v>14</v>
      </c>
      <c r="E6" s="107" t="s">
        <v>4</v>
      </c>
      <c r="F6" s="112" t="s">
        <v>15</v>
      </c>
      <c r="G6" s="147" t="str">
        <f>'Stavební rozpočet'!I6</f>
        <v> </v>
      </c>
    </row>
    <row r="7" spans="1:9" ht="15" customHeight="1" x14ac:dyDescent="0.25">
      <c r="A7" s="106"/>
      <c r="B7" s="107"/>
      <c r="C7" s="107"/>
      <c r="D7" s="107"/>
      <c r="E7" s="107"/>
      <c r="F7" s="107"/>
      <c r="G7" s="120"/>
    </row>
    <row r="8" spans="1:9" x14ac:dyDescent="0.25">
      <c r="A8" s="108" t="s">
        <v>21</v>
      </c>
      <c r="B8" s="107"/>
      <c r="C8" s="112" t="str">
        <f>'Stavební rozpočet'!I8</f>
        <v>Bc. Slowiková</v>
      </c>
      <c r="D8" s="107" t="s">
        <v>19</v>
      </c>
      <c r="E8" s="107" t="s">
        <v>20</v>
      </c>
      <c r="F8" s="107" t="s">
        <v>19</v>
      </c>
      <c r="G8" s="147" t="str">
        <f>'Stavební rozpočet'!G8</f>
        <v>13.03.2025</v>
      </c>
    </row>
    <row r="9" spans="1:9" x14ac:dyDescent="0.25">
      <c r="A9" s="109"/>
      <c r="B9" s="110"/>
      <c r="C9" s="110"/>
      <c r="D9" s="144"/>
      <c r="E9" s="110"/>
      <c r="F9" s="110"/>
      <c r="G9" s="148"/>
    </row>
    <row r="10" spans="1:9" x14ac:dyDescent="0.25">
      <c r="A10" s="58" t="s">
        <v>1372</v>
      </c>
      <c r="B10" s="59" t="s">
        <v>24</v>
      </c>
      <c r="C10" s="60" t="s">
        <v>25</v>
      </c>
      <c r="E10" s="61" t="s">
        <v>1373</v>
      </c>
      <c r="F10" s="62" t="s">
        <v>1374</v>
      </c>
      <c r="G10" s="62" t="s">
        <v>1375</v>
      </c>
    </row>
    <row r="11" spans="1:9" x14ac:dyDescent="0.25">
      <c r="A11" s="63" t="s">
        <v>56</v>
      </c>
      <c r="B11" s="64" t="s">
        <v>52</v>
      </c>
      <c r="C11" s="107" t="s">
        <v>53</v>
      </c>
      <c r="D11" s="107"/>
      <c r="E11" s="65">
        <f>ROUND('Stavební rozpočet'!H12,2)</f>
        <v>0</v>
      </c>
      <c r="F11" s="65">
        <f>ROUND('Stavební rozpočet'!I12,2)</f>
        <v>0</v>
      </c>
      <c r="G11" s="65">
        <f>ROUND('Stavební rozpočet'!J12,2)</f>
        <v>0</v>
      </c>
      <c r="H11" s="34" t="s">
        <v>1376</v>
      </c>
      <c r="I11" s="31">
        <f t="shared" ref="I11:I42" si="0">IF(H11="F",0,G11)</f>
        <v>0</v>
      </c>
    </row>
    <row r="12" spans="1:9" x14ac:dyDescent="0.25">
      <c r="A12" s="2" t="s">
        <v>56</v>
      </c>
      <c r="B12" s="3" t="s">
        <v>54</v>
      </c>
      <c r="C12" s="107" t="s">
        <v>55</v>
      </c>
      <c r="D12" s="107"/>
      <c r="E12" s="31">
        <f>ROUND('Stavební rozpočet'!H13,2)</f>
        <v>0</v>
      </c>
      <c r="F12" s="31">
        <f>ROUND('Stavební rozpočet'!I13,2)</f>
        <v>0</v>
      </c>
      <c r="G12" s="31">
        <f>ROUND('Stavební rozpočet'!J13,2)</f>
        <v>0</v>
      </c>
      <c r="H12" s="34" t="s">
        <v>1377</v>
      </c>
      <c r="I12" s="31">
        <f t="shared" si="0"/>
        <v>0</v>
      </c>
    </row>
    <row r="13" spans="1:9" x14ac:dyDescent="0.25">
      <c r="A13" s="2" t="s">
        <v>56</v>
      </c>
      <c r="B13" s="3" t="s">
        <v>76</v>
      </c>
      <c r="C13" s="107" t="s">
        <v>77</v>
      </c>
      <c r="D13" s="107"/>
      <c r="E13" s="31">
        <f>ROUND('Stavební rozpočet'!H21,2)</f>
        <v>0</v>
      </c>
      <c r="F13" s="31">
        <f>ROUND('Stavební rozpočet'!I21,2)</f>
        <v>0</v>
      </c>
      <c r="G13" s="31">
        <f>ROUND('Stavební rozpočet'!J21,2)</f>
        <v>0</v>
      </c>
      <c r="H13" s="34" t="s">
        <v>1377</v>
      </c>
      <c r="I13" s="31">
        <f t="shared" si="0"/>
        <v>0</v>
      </c>
    </row>
    <row r="14" spans="1:9" x14ac:dyDescent="0.25">
      <c r="A14" s="2" t="s">
        <v>56</v>
      </c>
      <c r="B14" s="3" t="s">
        <v>88</v>
      </c>
      <c r="C14" s="107" t="s">
        <v>89</v>
      </c>
      <c r="D14" s="107"/>
      <c r="E14" s="31">
        <f>ROUND('Stavební rozpočet'!H25,2)</f>
        <v>0</v>
      </c>
      <c r="F14" s="31">
        <f>ROUND('Stavební rozpočet'!I25,2)</f>
        <v>0</v>
      </c>
      <c r="G14" s="31">
        <f>ROUND('Stavební rozpočet'!J25,2)</f>
        <v>0</v>
      </c>
      <c r="H14" s="34" t="s">
        <v>1377</v>
      </c>
      <c r="I14" s="31">
        <f t="shared" si="0"/>
        <v>0</v>
      </c>
    </row>
    <row r="15" spans="1:9" x14ac:dyDescent="0.25">
      <c r="A15" s="2" t="s">
        <v>56</v>
      </c>
      <c r="B15" s="3" t="s">
        <v>155</v>
      </c>
      <c r="C15" s="107" t="s">
        <v>156</v>
      </c>
      <c r="D15" s="107"/>
      <c r="E15" s="31">
        <f>ROUND('Stavební rozpočet'!H61,2)</f>
        <v>0</v>
      </c>
      <c r="F15" s="31">
        <f>ROUND('Stavební rozpočet'!I61,2)</f>
        <v>0</v>
      </c>
      <c r="G15" s="31">
        <f>ROUND('Stavební rozpočet'!J61,2)</f>
        <v>0</v>
      </c>
      <c r="H15" s="34" t="s">
        <v>1377</v>
      </c>
      <c r="I15" s="31">
        <f t="shared" si="0"/>
        <v>0</v>
      </c>
    </row>
    <row r="16" spans="1:9" x14ac:dyDescent="0.25">
      <c r="A16" s="2" t="s">
        <v>56</v>
      </c>
      <c r="B16" s="3" t="s">
        <v>222</v>
      </c>
      <c r="C16" s="107" t="s">
        <v>223</v>
      </c>
      <c r="D16" s="107"/>
      <c r="E16" s="31">
        <f>ROUND('Stavební rozpočet'!H98,2)</f>
        <v>0</v>
      </c>
      <c r="F16" s="31">
        <f>ROUND('Stavební rozpočet'!I98,2)</f>
        <v>0</v>
      </c>
      <c r="G16" s="31">
        <f>ROUND('Stavební rozpočet'!J98,2)</f>
        <v>0</v>
      </c>
      <c r="H16" s="34" t="s">
        <v>1377</v>
      </c>
      <c r="I16" s="31">
        <f t="shared" si="0"/>
        <v>0</v>
      </c>
    </row>
    <row r="17" spans="1:9" x14ac:dyDescent="0.25">
      <c r="A17" s="2" t="s">
        <v>56</v>
      </c>
      <c r="B17" s="3" t="s">
        <v>237</v>
      </c>
      <c r="C17" s="107" t="s">
        <v>238</v>
      </c>
      <c r="D17" s="107"/>
      <c r="E17" s="31">
        <f>ROUND('Stavební rozpočet'!H105,2)</f>
        <v>0</v>
      </c>
      <c r="F17" s="31">
        <f>ROUND('Stavební rozpočet'!I105,2)</f>
        <v>0</v>
      </c>
      <c r="G17" s="31">
        <f>ROUND('Stavební rozpočet'!J105,2)</f>
        <v>0</v>
      </c>
      <c r="H17" s="34" t="s">
        <v>1377</v>
      </c>
      <c r="I17" s="31">
        <f t="shared" si="0"/>
        <v>0</v>
      </c>
    </row>
    <row r="18" spans="1:9" x14ac:dyDescent="0.25">
      <c r="A18" s="2" t="s">
        <v>56</v>
      </c>
      <c r="B18" s="3" t="s">
        <v>258</v>
      </c>
      <c r="C18" s="107" t="s">
        <v>259</v>
      </c>
      <c r="D18" s="107"/>
      <c r="E18" s="31">
        <f>ROUND('Stavební rozpočet'!H115,2)</f>
        <v>0</v>
      </c>
      <c r="F18" s="31">
        <f>ROUND('Stavební rozpočet'!I115,2)</f>
        <v>0</v>
      </c>
      <c r="G18" s="31">
        <f>ROUND('Stavební rozpočet'!J115,2)</f>
        <v>0</v>
      </c>
      <c r="H18" s="34" t="s">
        <v>1377</v>
      </c>
      <c r="I18" s="31">
        <f t="shared" si="0"/>
        <v>0</v>
      </c>
    </row>
    <row r="19" spans="1:9" x14ac:dyDescent="0.25">
      <c r="A19" s="2" t="s">
        <v>56</v>
      </c>
      <c r="B19" s="3" t="s">
        <v>277</v>
      </c>
      <c r="C19" s="107" t="s">
        <v>278</v>
      </c>
      <c r="D19" s="107"/>
      <c r="E19" s="31">
        <f>ROUND('Stavební rozpočet'!H123,2)</f>
        <v>0</v>
      </c>
      <c r="F19" s="31">
        <f>ROUND('Stavební rozpočet'!I123,2)</f>
        <v>0</v>
      </c>
      <c r="G19" s="31">
        <f>ROUND('Stavební rozpočet'!J123,2)</f>
        <v>0</v>
      </c>
      <c r="H19" s="34" t="s">
        <v>1377</v>
      </c>
      <c r="I19" s="31">
        <f t="shared" si="0"/>
        <v>0</v>
      </c>
    </row>
    <row r="20" spans="1:9" x14ac:dyDescent="0.25">
      <c r="A20" s="2" t="s">
        <v>56</v>
      </c>
      <c r="B20" s="3" t="s">
        <v>288</v>
      </c>
      <c r="C20" s="107" t="s">
        <v>289</v>
      </c>
      <c r="D20" s="107"/>
      <c r="E20" s="31">
        <f>ROUND('Stavební rozpočet'!H128,2)</f>
        <v>0</v>
      </c>
      <c r="F20" s="31">
        <f>ROUND('Stavební rozpočet'!I128,2)</f>
        <v>0</v>
      </c>
      <c r="G20" s="31">
        <f>ROUND('Stavební rozpočet'!J128,2)</f>
        <v>0</v>
      </c>
      <c r="H20" s="34" t="s">
        <v>1377</v>
      </c>
      <c r="I20" s="31">
        <f t="shared" si="0"/>
        <v>0</v>
      </c>
    </row>
    <row r="21" spans="1:9" x14ac:dyDescent="0.25">
      <c r="A21" s="2" t="s">
        <v>56</v>
      </c>
      <c r="B21" s="3" t="s">
        <v>298</v>
      </c>
      <c r="C21" s="107" t="s">
        <v>299</v>
      </c>
      <c r="D21" s="107"/>
      <c r="E21" s="31">
        <f>ROUND('Stavební rozpočet'!H132,2)</f>
        <v>0</v>
      </c>
      <c r="F21" s="31">
        <f>ROUND('Stavební rozpočet'!I132,2)</f>
        <v>0</v>
      </c>
      <c r="G21" s="31">
        <f>ROUND('Stavební rozpočet'!J132,2)</f>
        <v>0</v>
      </c>
      <c r="H21" s="34" t="s">
        <v>1377</v>
      </c>
      <c r="I21" s="31">
        <f t="shared" si="0"/>
        <v>0</v>
      </c>
    </row>
    <row r="22" spans="1:9" x14ac:dyDescent="0.25">
      <c r="A22" s="2" t="s">
        <v>56</v>
      </c>
      <c r="B22" s="3" t="s">
        <v>310</v>
      </c>
      <c r="C22" s="107" t="s">
        <v>311</v>
      </c>
      <c r="D22" s="107"/>
      <c r="E22" s="31">
        <f>ROUND('Stavební rozpočet'!H136,2)</f>
        <v>0</v>
      </c>
      <c r="F22" s="31">
        <f>ROUND('Stavební rozpočet'!I136,2)</f>
        <v>0</v>
      </c>
      <c r="G22" s="31">
        <f>ROUND('Stavební rozpočet'!J136,2)</f>
        <v>0</v>
      </c>
      <c r="H22" s="34" t="s">
        <v>1377</v>
      </c>
      <c r="I22" s="31">
        <f t="shared" si="0"/>
        <v>0</v>
      </c>
    </row>
    <row r="23" spans="1:9" x14ac:dyDescent="0.25">
      <c r="A23" s="2" t="s">
        <v>56</v>
      </c>
      <c r="B23" s="3" t="s">
        <v>344</v>
      </c>
      <c r="C23" s="107" t="s">
        <v>345</v>
      </c>
      <c r="D23" s="107"/>
      <c r="E23" s="31">
        <f>ROUND('Stavební rozpočet'!H152,2)</f>
        <v>0</v>
      </c>
      <c r="F23" s="31">
        <f>ROUND('Stavební rozpočet'!I152,2)</f>
        <v>0</v>
      </c>
      <c r="G23" s="31">
        <f>ROUND('Stavební rozpočet'!J152,2)</f>
        <v>0</v>
      </c>
      <c r="H23" s="34" t="s">
        <v>1377</v>
      </c>
      <c r="I23" s="31">
        <f t="shared" si="0"/>
        <v>0</v>
      </c>
    </row>
    <row r="24" spans="1:9" x14ac:dyDescent="0.25">
      <c r="A24" s="2" t="s">
        <v>56</v>
      </c>
      <c r="B24" s="3" t="s">
        <v>418</v>
      </c>
      <c r="C24" s="107" t="s">
        <v>419</v>
      </c>
      <c r="D24" s="107"/>
      <c r="E24" s="31">
        <f>ROUND('Stavební rozpočet'!H196,2)</f>
        <v>0</v>
      </c>
      <c r="F24" s="31">
        <f>ROUND('Stavební rozpočet'!I196,2)</f>
        <v>0</v>
      </c>
      <c r="G24" s="31">
        <f>ROUND('Stavební rozpočet'!J196,2)</f>
        <v>0</v>
      </c>
      <c r="H24" s="34" t="s">
        <v>1377</v>
      </c>
      <c r="I24" s="31">
        <f t="shared" si="0"/>
        <v>0</v>
      </c>
    </row>
    <row r="25" spans="1:9" x14ac:dyDescent="0.25">
      <c r="A25" s="2" t="s">
        <v>56</v>
      </c>
      <c r="B25" s="3" t="s">
        <v>485</v>
      </c>
      <c r="C25" s="107" t="s">
        <v>486</v>
      </c>
      <c r="D25" s="107"/>
      <c r="E25" s="31">
        <f>ROUND('Stavební rozpočet'!H246,2)</f>
        <v>0</v>
      </c>
      <c r="F25" s="31">
        <f>ROUND('Stavební rozpočet'!I246,2)</f>
        <v>0</v>
      </c>
      <c r="G25" s="31">
        <f>ROUND('Stavební rozpočet'!J246,2)</f>
        <v>0</v>
      </c>
      <c r="H25" s="34" t="s">
        <v>1377</v>
      </c>
      <c r="I25" s="31">
        <f t="shared" si="0"/>
        <v>0</v>
      </c>
    </row>
    <row r="26" spans="1:9" x14ac:dyDescent="0.25">
      <c r="A26" s="2" t="s">
        <v>56</v>
      </c>
      <c r="B26" s="3" t="s">
        <v>531</v>
      </c>
      <c r="C26" s="107" t="s">
        <v>532</v>
      </c>
      <c r="D26" s="107"/>
      <c r="E26" s="31">
        <f>ROUND('Stavební rozpočet'!H277,2)</f>
        <v>0</v>
      </c>
      <c r="F26" s="31">
        <f>ROUND('Stavební rozpočet'!I277,2)</f>
        <v>0</v>
      </c>
      <c r="G26" s="31">
        <f>ROUND('Stavební rozpočet'!J277,2)</f>
        <v>0</v>
      </c>
      <c r="H26" s="34" t="s">
        <v>1377</v>
      </c>
      <c r="I26" s="31">
        <f t="shared" si="0"/>
        <v>0</v>
      </c>
    </row>
    <row r="27" spans="1:9" x14ac:dyDescent="0.25">
      <c r="A27" s="2" t="s">
        <v>56</v>
      </c>
      <c r="B27" s="3" t="s">
        <v>603</v>
      </c>
      <c r="C27" s="107" t="s">
        <v>604</v>
      </c>
      <c r="D27" s="107"/>
      <c r="E27" s="31">
        <f>ROUND('Stavební rozpočet'!H334,2)</f>
        <v>0</v>
      </c>
      <c r="F27" s="31">
        <f>ROUND('Stavební rozpočet'!I334,2)</f>
        <v>0</v>
      </c>
      <c r="G27" s="31">
        <f>ROUND('Stavební rozpočet'!J334,2)</f>
        <v>0</v>
      </c>
      <c r="H27" s="34" t="s">
        <v>1377</v>
      </c>
      <c r="I27" s="31">
        <f t="shared" si="0"/>
        <v>0</v>
      </c>
    </row>
    <row r="28" spans="1:9" x14ac:dyDescent="0.25">
      <c r="A28" s="2" t="s">
        <v>56</v>
      </c>
      <c r="B28" s="3" t="s">
        <v>616</v>
      </c>
      <c r="C28" s="107" t="s">
        <v>617</v>
      </c>
      <c r="D28" s="107"/>
      <c r="E28" s="31">
        <f>ROUND('Stavební rozpočet'!H341,2)</f>
        <v>0</v>
      </c>
      <c r="F28" s="31">
        <f>ROUND('Stavební rozpočet'!I341,2)</f>
        <v>0</v>
      </c>
      <c r="G28" s="31">
        <f>ROUND('Stavební rozpočet'!J341,2)</f>
        <v>0</v>
      </c>
      <c r="H28" s="34" t="s">
        <v>1377</v>
      </c>
      <c r="I28" s="31">
        <f t="shared" si="0"/>
        <v>0</v>
      </c>
    </row>
    <row r="29" spans="1:9" x14ac:dyDescent="0.25">
      <c r="A29" s="2" t="s">
        <v>56</v>
      </c>
      <c r="B29" s="3" t="s">
        <v>663</v>
      </c>
      <c r="C29" s="107" t="s">
        <v>664</v>
      </c>
      <c r="D29" s="107"/>
      <c r="E29" s="31">
        <f>ROUND('Stavební rozpočet'!H368,2)</f>
        <v>0</v>
      </c>
      <c r="F29" s="31">
        <f>ROUND('Stavební rozpočet'!I368,2)</f>
        <v>0</v>
      </c>
      <c r="G29" s="31">
        <f>ROUND('Stavební rozpočet'!J368,2)</f>
        <v>0</v>
      </c>
      <c r="H29" s="34" t="s">
        <v>1377</v>
      </c>
      <c r="I29" s="31">
        <f t="shared" si="0"/>
        <v>0</v>
      </c>
    </row>
    <row r="30" spans="1:9" x14ac:dyDescent="0.25">
      <c r="A30" s="2" t="s">
        <v>56</v>
      </c>
      <c r="B30" s="3" t="s">
        <v>580</v>
      </c>
      <c r="C30" s="107" t="s">
        <v>670</v>
      </c>
      <c r="D30" s="107"/>
      <c r="E30" s="31">
        <f>ROUND('Stavební rozpočet'!H371,2)</f>
        <v>0</v>
      </c>
      <c r="F30" s="31">
        <f>ROUND('Stavební rozpočet'!I371,2)</f>
        <v>0</v>
      </c>
      <c r="G30" s="31">
        <f>ROUND('Stavební rozpočet'!J371,2)</f>
        <v>0</v>
      </c>
      <c r="H30" s="34" t="s">
        <v>1377</v>
      </c>
      <c r="I30" s="31">
        <f t="shared" si="0"/>
        <v>0</v>
      </c>
    </row>
    <row r="31" spans="1:9" x14ac:dyDescent="0.25">
      <c r="A31" s="2" t="s">
        <v>56</v>
      </c>
      <c r="B31" s="3" t="s">
        <v>605</v>
      </c>
      <c r="C31" s="107" t="s">
        <v>688</v>
      </c>
      <c r="D31" s="107"/>
      <c r="E31" s="31">
        <f>ROUND('Stavební rozpočet'!H382,2)</f>
        <v>0</v>
      </c>
      <c r="F31" s="31">
        <f>ROUND('Stavební rozpočet'!I382,2)</f>
        <v>0</v>
      </c>
      <c r="G31" s="31">
        <f>ROUND('Stavební rozpočet'!J382,2)</f>
        <v>0</v>
      </c>
      <c r="H31" s="34" t="s">
        <v>1377</v>
      </c>
      <c r="I31" s="31">
        <f t="shared" si="0"/>
        <v>0</v>
      </c>
    </row>
    <row r="32" spans="1:9" x14ac:dyDescent="0.25">
      <c r="A32" s="2" t="s">
        <v>56</v>
      </c>
      <c r="B32" s="3" t="s">
        <v>613</v>
      </c>
      <c r="C32" s="107" t="s">
        <v>695</v>
      </c>
      <c r="D32" s="107"/>
      <c r="E32" s="31">
        <f>ROUND('Stavební rozpočet'!H385,2)</f>
        <v>0</v>
      </c>
      <c r="F32" s="31">
        <f>ROUND('Stavební rozpočet'!I385,2)</f>
        <v>0</v>
      </c>
      <c r="G32" s="31">
        <f>ROUND('Stavební rozpočet'!J385,2)</f>
        <v>0</v>
      </c>
      <c r="H32" s="34" t="s">
        <v>1377</v>
      </c>
      <c r="I32" s="31">
        <f t="shared" si="0"/>
        <v>0</v>
      </c>
    </row>
    <row r="33" spans="1:9" x14ac:dyDescent="0.25">
      <c r="A33" s="2" t="s">
        <v>56</v>
      </c>
      <c r="B33" s="3" t="s">
        <v>618</v>
      </c>
      <c r="C33" s="107" t="s">
        <v>700</v>
      </c>
      <c r="D33" s="107"/>
      <c r="E33" s="31">
        <f>ROUND('Stavební rozpočet'!H388,2)</f>
        <v>0</v>
      </c>
      <c r="F33" s="31">
        <f>ROUND('Stavební rozpočet'!I388,2)</f>
        <v>0</v>
      </c>
      <c r="G33" s="31">
        <f>ROUND('Stavební rozpočet'!J388,2)</f>
        <v>0</v>
      </c>
      <c r="H33" s="34" t="s">
        <v>1377</v>
      </c>
      <c r="I33" s="31">
        <f t="shared" si="0"/>
        <v>0</v>
      </c>
    </row>
    <row r="34" spans="1:9" x14ac:dyDescent="0.25">
      <c r="A34" s="2" t="s">
        <v>56</v>
      </c>
      <c r="B34" s="3" t="s">
        <v>648</v>
      </c>
      <c r="C34" s="107" t="s">
        <v>751</v>
      </c>
      <c r="D34" s="107"/>
      <c r="E34" s="31">
        <f>ROUND('Stavební rozpočet'!H413,2)</f>
        <v>0</v>
      </c>
      <c r="F34" s="31">
        <f>ROUND('Stavební rozpočet'!I413,2)</f>
        <v>0</v>
      </c>
      <c r="G34" s="31">
        <f>ROUND('Stavební rozpočet'!J413,2)</f>
        <v>0</v>
      </c>
      <c r="H34" s="34" t="s">
        <v>1377</v>
      </c>
      <c r="I34" s="31">
        <f t="shared" si="0"/>
        <v>0</v>
      </c>
    </row>
    <row r="35" spans="1:9" x14ac:dyDescent="0.25">
      <c r="A35" s="2" t="s">
        <v>56</v>
      </c>
      <c r="B35" s="3" t="s">
        <v>771</v>
      </c>
      <c r="C35" s="107" t="s">
        <v>772</v>
      </c>
      <c r="D35" s="107"/>
      <c r="E35" s="31">
        <f>ROUND('Stavební rozpočet'!H426,2)</f>
        <v>0</v>
      </c>
      <c r="F35" s="31">
        <f>ROUND('Stavební rozpočet'!I426,2)</f>
        <v>0</v>
      </c>
      <c r="G35" s="31">
        <f>ROUND('Stavební rozpočet'!J426,2)</f>
        <v>0</v>
      </c>
      <c r="H35" s="34" t="s">
        <v>1377</v>
      </c>
      <c r="I35" s="31">
        <f t="shared" si="0"/>
        <v>0</v>
      </c>
    </row>
    <row r="36" spans="1:9" x14ac:dyDescent="0.25">
      <c r="A36" s="2" t="s">
        <v>56</v>
      </c>
      <c r="B36" s="3" t="s">
        <v>777</v>
      </c>
      <c r="C36" s="107" t="s">
        <v>778</v>
      </c>
      <c r="D36" s="107"/>
      <c r="E36" s="31">
        <f>ROUND('Stavební rozpočet'!H428,2)</f>
        <v>0</v>
      </c>
      <c r="F36" s="31">
        <f>ROUND('Stavební rozpočet'!I428,2)</f>
        <v>0</v>
      </c>
      <c r="G36" s="31">
        <f>ROUND('Stavební rozpočet'!J428,2)</f>
        <v>0</v>
      </c>
      <c r="H36" s="34" t="s">
        <v>1377</v>
      </c>
      <c r="I36" s="31">
        <f t="shared" si="0"/>
        <v>0</v>
      </c>
    </row>
    <row r="37" spans="1:9" x14ac:dyDescent="0.25">
      <c r="A37" s="2" t="s">
        <v>66</v>
      </c>
      <c r="B37" s="3" t="s">
        <v>52</v>
      </c>
      <c r="C37" s="107" t="s">
        <v>799</v>
      </c>
      <c r="D37" s="107"/>
      <c r="E37" s="31">
        <f>ROUND('Stavební rozpočet'!H436,2)</f>
        <v>0</v>
      </c>
      <c r="F37" s="31">
        <f>ROUND('Stavební rozpočet'!I436,2)</f>
        <v>0</v>
      </c>
      <c r="G37" s="31">
        <f>ROUND('Stavební rozpočet'!J436,2)</f>
        <v>0</v>
      </c>
      <c r="H37" s="34" t="s">
        <v>1376</v>
      </c>
      <c r="I37" s="31">
        <f t="shared" si="0"/>
        <v>0</v>
      </c>
    </row>
    <row r="38" spans="1:9" x14ac:dyDescent="0.25">
      <c r="A38" s="2" t="s">
        <v>66</v>
      </c>
      <c r="B38" s="3" t="s">
        <v>800</v>
      </c>
      <c r="C38" s="107" t="s">
        <v>801</v>
      </c>
      <c r="D38" s="107"/>
      <c r="E38" s="31">
        <f>ROUND('Stavební rozpočet'!H437,2)</f>
        <v>0</v>
      </c>
      <c r="F38" s="31">
        <f>ROUND('Stavební rozpočet'!I437,2)</f>
        <v>0</v>
      </c>
      <c r="G38" s="31">
        <f>ROUND('Stavební rozpočet'!J437,2)</f>
        <v>0</v>
      </c>
      <c r="H38" s="34" t="s">
        <v>1377</v>
      </c>
      <c r="I38" s="31">
        <f t="shared" si="0"/>
        <v>0</v>
      </c>
    </row>
    <row r="39" spans="1:9" x14ac:dyDescent="0.25">
      <c r="A39" s="2" t="s">
        <v>66</v>
      </c>
      <c r="B39" s="3" t="s">
        <v>835</v>
      </c>
      <c r="C39" s="107" t="s">
        <v>836</v>
      </c>
      <c r="D39" s="107"/>
      <c r="E39" s="31">
        <f>ROUND('Stavební rozpočet'!H453,2)</f>
        <v>0</v>
      </c>
      <c r="F39" s="31">
        <f>ROUND('Stavební rozpočet'!I453,2)</f>
        <v>0</v>
      </c>
      <c r="G39" s="31">
        <f>ROUND('Stavební rozpočet'!J453,2)</f>
        <v>0</v>
      </c>
      <c r="H39" s="34" t="s">
        <v>1377</v>
      </c>
      <c r="I39" s="31">
        <f t="shared" si="0"/>
        <v>0</v>
      </c>
    </row>
    <row r="40" spans="1:9" x14ac:dyDescent="0.25">
      <c r="A40" s="2" t="s">
        <v>66</v>
      </c>
      <c r="B40" s="3" t="s">
        <v>865</v>
      </c>
      <c r="C40" s="107" t="s">
        <v>866</v>
      </c>
      <c r="D40" s="107"/>
      <c r="E40" s="31">
        <f>ROUND('Stavební rozpočet'!H466,2)</f>
        <v>0</v>
      </c>
      <c r="F40" s="31">
        <f>ROUND('Stavební rozpočet'!I466,2)</f>
        <v>0</v>
      </c>
      <c r="G40" s="31">
        <f>ROUND('Stavební rozpočet'!J466,2)</f>
        <v>0</v>
      </c>
      <c r="H40" s="34" t="s">
        <v>1377</v>
      </c>
      <c r="I40" s="31">
        <f t="shared" si="0"/>
        <v>0</v>
      </c>
    </row>
    <row r="41" spans="1:9" x14ac:dyDescent="0.25">
      <c r="A41" s="2" t="s">
        <v>66</v>
      </c>
      <c r="B41" s="3" t="s">
        <v>344</v>
      </c>
      <c r="C41" s="107" t="s">
        <v>345</v>
      </c>
      <c r="D41" s="107"/>
      <c r="E41" s="31">
        <f>ROUND('Stavební rozpočet'!H518,2)</f>
        <v>0</v>
      </c>
      <c r="F41" s="31">
        <f>ROUND('Stavební rozpočet'!I518,2)</f>
        <v>0</v>
      </c>
      <c r="G41" s="31">
        <f>ROUND('Stavební rozpočet'!J518,2)</f>
        <v>0</v>
      </c>
      <c r="H41" s="34" t="s">
        <v>1377</v>
      </c>
      <c r="I41" s="31">
        <f t="shared" si="0"/>
        <v>0</v>
      </c>
    </row>
    <row r="42" spans="1:9" x14ac:dyDescent="0.25">
      <c r="A42" s="2" t="s">
        <v>66</v>
      </c>
      <c r="B42" s="3" t="s">
        <v>603</v>
      </c>
      <c r="C42" s="107" t="s">
        <v>604</v>
      </c>
      <c r="D42" s="107"/>
      <c r="E42" s="31">
        <f>ROUND('Stavební rozpočet'!H523,2)</f>
        <v>0</v>
      </c>
      <c r="F42" s="31">
        <f>ROUND('Stavební rozpočet'!I523,2)</f>
        <v>0</v>
      </c>
      <c r="G42" s="31">
        <f>ROUND('Stavební rozpočet'!J523,2)</f>
        <v>0</v>
      </c>
      <c r="H42" s="34" t="s">
        <v>1377</v>
      </c>
      <c r="I42" s="31">
        <f t="shared" si="0"/>
        <v>0</v>
      </c>
    </row>
    <row r="43" spans="1:9" x14ac:dyDescent="0.25">
      <c r="A43" s="2" t="s">
        <v>66</v>
      </c>
      <c r="B43" s="3" t="s">
        <v>605</v>
      </c>
      <c r="C43" s="107" t="s">
        <v>688</v>
      </c>
      <c r="D43" s="107"/>
      <c r="E43" s="31">
        <f>ROUND('Stavební rozpočet'!H531,2)</f>
        <v>0</v>
      </c>
      <c r="F43" s="31">
        <f>ROUND('Stavební rozpočet'!I531,2)</f>
        <v>0</v>
      </c>
      <c r="G43" s="31">
        <f>ROUND('Stavební rozpočet'!J531,2)</f>
        <v>0</v>
      </c>
      <c r="H43" s="34" t="s">
        <v>1377</v>
      </c>
      <c r="I43" s="31">
        <f t="shared" ref="I43:I74" si="1">IF(H43="F",0,G43)</f>
        <v>0</v>
      </c>
    </row>
    <row r="44" spans="1:9" x14ac:dyDescent="0.25">
      <c r="A44" s="2" t="s">
        <v>66</v>
      </c>
      <c r="B44" s="3" t="s">
        <v>771</v>
      </c>
      <c r="C44" s="107" t="s">
        <v>772</v>
      </c>
      <c r="D44" s="107"/>
      <c r="E44" s="31">
        <f>ROUND('Stavební rozpočet'!H534,2)</f>
        <v>0</v>
      </c>
      <c r="F44" s="31">
        <f>ROUND('Stavební rozpočet'!I534,2)</f>
        <v>0</v>
      </c>
      <c r="G44" s="31">
        <f>ROUND('Stavební rozpočet'!J534,2)</f>
        <v>0</v>
      </c>
      <c r="H44" s="34" t="s">
        <v>1377</v>
      </c>
      <c r="I44" s="31">
        <f t="shared" si="1"/>
        <v>0</v>
      </c>
    </row>
    <row r="45" spans="1:9" x14ac:dyDescent="0.25">
      <c r="A45" s="2" t="s">
        <v>66</v>
      </c>
      <c r="B45" s="3" t="s">
        <v>981</v>
      </c>
      <c r="C45" s="107" t="s">
        <v>982</v>
      </c>
      <c r="D45" s="107"/>
      <c r="E45" s="31">
        <f>ROUND('Stavební rozpočet'!H536,2)</f>
        <v>0</v>
      </c>
      <c r="F45" s="31">
        <f>ROUND('Stavební rozpočet'!I536,2)</f>
        <v>0</v>
      </c>
      <c r="G45" s="31">
        <f>ROUND('Stavební rozpočet'!J536,2)</f>
        <v>0</v>
      </c>
      <c r="H45" s="34" t="s">
        <v>1377</v>
      </c>
      <c r="I45" s="31">
        <f t="shared" si="1"/>
        <v>0</v>
      </c>
    </row>
    <row r="46" spans="1:9" x14ac:dyDescent="0.25">
      <c r="A46" s="2" t="s">
        <v>66</v>
      </c>
      <c r="B46" s="3" t="s">
        <v>777</v>
      </c>
      <c r="C46" s="107" t="s">
        <v>778</v>
      </c>
      <c r="D46" s="107"/>
      <c r="E46" s="31">
        <f>ROUND('Stavební rozpočet'!H538,2)</f>
        <v>0</v>
      </c>
      <c r="F46" s="31">
        <f>ROUND('Stavební rozpočet'!I538,2)</f>
        <v>0</v>
      </c>
      <c r="G46" s="31">
        <f>ROUND('Stavební rozpočet'!J538,2)</f>
        <v>0</v>
      </c>
      <c r="H46" s="34" t="s">
        <v>1377</v>
      </c>
      <c r="I46" s="31">
        <f t="shared" si="1"/>
        <v>0</v>
      </c>
    </row>
    <row r="47" spans="1:9" x14ac:dyDescent="0.25">
      <c r="A47" s="2" t="s">
        <v>73</v>
      </c>
      <c r="B47" s="3" t="s">
        <v>52</v>
      </c>
      <c r="C47" s="107" t="s">
        <v>994</v>
      </c>
      <c r="D47" s="107"/>
      <c r="E47" s="31">
        <f>ROUND('Stavební rozpočet'!H546,2)</f>
        <v>0</v>
      </c>
      <c r="F47" s="31">
        <f>ROUND('Stavební rozpočet'!I546,2)</f>
        <v>0</v>
      </c>
      <c r="G47" s="31">
        <f>ROUND('Stavební rozpočet'!J546,2)</f>
        <v>0</v>
      </c>
      <c r="H47" s="34" t="s">
        <v>1376</v>
      </c>
      <c r="I47" s="31">
        <f t="shared" si="1"/>
        <v>0</v>
      </c>
    </row>
    <row r="48" spans="1:9" x14ac:dyDescent="0.25">
      <c r="A48" s="2" t="s">
        <v>73</v>
      </c>
      <c r="B48" s="3" t="s">
        <v>995</v>
      </c>
      <c r="C48" s="107" t="s">
        <v>996</v>
      </c>
      <c r="D48" s="107"/>
      <c r="E48" s="31">
        <f>ROUND('Stavební rozpočet'!H547,2)</f>
        <v>0</v>
      </c>
      <c r="F48" s="31">
        <f>ROUND('Stavební rozpočet'!I547,2)</f>
        <v>0</v>
      </c>
      <c r="G48" s="31">
        <f>ROUND('Stavební rozpočet'!J547,2)</f>
        <v>0</v>
      </c>
      <c r="H48" s="34" t="s">
        <v>1377</v>
      </c>
      <c r="I48" s="31">
        <f t="shared" si="1"/>
        <v>0</v>
      </c>
    </row>
    <row r="49" spans="1:9" x14ac:dyDescent="0.25">
      <c r="A49" s="2" t="s">
        <v>73</v>
      </c>
      <c r="B49" s="3" t="s">
        <v>1071</v>
      </c>
      <c r="C49" s="107" t="s">
        <v>1072</v>
      </c>
      <c r="D49" s="107"/>
      <c r="E49" s="31">
        <f>ROUND('Stavební rozpočet'!H575,2)</f>
        <v>0</v>
      </c>
      <c r="F49" s="31">
        <f>ROUND('Stavební rozpočet'!I575,2)</f>
        <v>0</v>
      </c>
      <c r="G49" s="31">
        <f>ROUND('Stavební rozpočet'!J575,2)</f>
        <v>0</v>
      </c>
      <c r="H49" s="34" t="s">
        <v>1377</v>
      </c>
      <c r="I49" s="31">
        <f t="shared" si="1"/>
        <v>0</v>
      </c>
    </row>
    <row r="50" spans="1:9" x14ac:dyDescent="0.25">
      <c r="A50" s="2" t="s">
        <v>73</v>
      </c>
      <c r="B50" s="3" t="s">
        <v>1163</v>
      </c>
      <c r="C50" s="107" t="s">
        <v>1164</v>
      </c>
      <c r="D50" s="107"/>
      <c r="E50" s="31">
        <f>ROUND('Stavební rozpočet'!H616,2)</f>
        <v>0</v>
      </c>
      <c r="F50" s="31">
        <f>ROUND('Stavební rozpočet'!I616,2)</f>
        <v>0</v>
      </c>
      <c r="G50" s="31">
        <f>ROUND('Stavební rozpočet'!J616,2)</f>
        <v>0</v>
      </c>
      <c r="H50" s="34" t="s">
        <v>1377</v>
      </c>
      <c r="I50" s="31">
        <f t="shared" si="1"/>
        <v>0</v>
      </c>
    </row>
    <row r="51" spans="1:9" x14ac:dyDescent="0.25">
      <c r="A51" s="2" t="s">
        <v>73</v>
      </c>
      <c r="B51" s="3" t="s">
        <v>344</v>
      </c>
      <c r="C51" s="107" t="s">
        <v>345</v>
      </c>
      <c r="D51" s="107"/>
      <c r="E51" s="31">
        <f>ROUND('Stavební rozpočet'!H672,2)</f>
        <v>0</v>
      </c>
      <c r="F51" s="31">
        <f>ROUND('Stavební rozpočet'!I672,2)</f>
        <v>0</v>
      </c>
      <c r="G51" s="31">
        <f>ROUND('Stavební rozpočet'!J672,2)</f>
        <v>0</v>
      </c>
      <c r="H51" s="34" t="s">
        <v>1377</v>
      </c>
      <c r="I51" s="31">
        <f t="shared" si="1"/>
        <v>0</v>
      </c>
    </row>
    <row r="52" spans="1:9" x14ac:dyDescent="0.25">
      <c r="A52" s="2" t="s">
        <v>73</v>
      </c>
      <c r="B52" s="3" t="s">
        <v>580</v>
      </c>
      <c r="C52" s="107" t="s">
        <v>670</v>
      </c>
      <c r="D52" s="107"/>
      <c r="E52" s="31">
        <f>ROUND('Stavební rozpočet'!H676,2)</f>
        <v>0</v>
      </c>
      <c r="F52" s="31">
        <f>ROUND('Stavební rozpočet'!I676,2)</f>
        <v>0</v>
      </c>
      <c r="G52" s="31">
        <f>ROUND('Stavební rozpočet'!J676,2)</f>
        <v>0</v>
      </c>
      <c r="H52" s="34" t="s">
        <v>1377</v>
      </c>
      <c r="I52" s="31">
        <f t="shared" si="1"/>
        <v>0</v>
      </c>
    </row>
    <row r="53" spans="1:9" x14ac:dyDescent="0.25">
      <c r="A53" s="2" t="s">
        <v>73</v>
      </c>
      <c r="B53" s="3" t="s">
        <v>605</v>
      </c>
      <c r="C53" s="107" t="s">
        <v>688</v>
      </c>
      <c r="D53" s="107"/>
      <c r="E53" s="31">
        <f>ROUND('Stavební rozpočet'!H685,2)</f>
        <v>0</v>
      </c>
      <c r="F53" s="31">
        <f>ROUND('Stavební rozpočet'!I685,2)</f>
        <v>0</v>
      </c>
      <c r="G53" s="31">
        <f>ROUND('Stavební rozpočet'!J685,2)</f>
        <v>0</v>
      </c>
      <c r="H53" s="34" t="s">
        <v>1377</v>
      </c>
      <c r="I53" s="31">
        <f t="shared" si="1"/>
        <v>0</v>
      </c>
    </row>
    <row r="54" spans="1:9" x14ac:dyDescent="0.25">
      <c r="A54" s="2" t="s">
        <v>73</v>
      </c>
      <c r="B54" s="3" t="s">
        <v>613</v>
      </c>
      <c r="C54" s="107" t="s">
        <v>695</v>
      </c>
      <c r="D54" s="107"/>
      <c r="E54" s="31">
        <f>ROUND('Stavební rozpočet'!H688,2)</f>
        <v>0</v>
      </c>
      <c r="F54" s="31">
        <f>ROUND('Stavební rozpočet'!I688,2)</f>
        <v>0</v>
      </c>
      <c r="G54" s="31">
        <f>ROUND('Stavební rozpočet'!J688,2)</f>
        <v>0</v>
      </c>
      <c r="H54" s="34" t="s">
        <v>1377</v>
      </c>
      <c r="I54" s="31">
        <f t="shared" si="1"/>
        <v>0</v>
      </c>
    </row>
    <row r="55" spans="1:9" x14ac:dyDescent="0.25">
      <c r="A55" s="2" t="s">
        <v>73</v>
      </c>
      <c r="B55" s="3" t="s">
        <v>618</v>
      </c>
      <c r="C55" s="107" t="s">
        <v>700</v>
      </c>
      <c r="D55" s="107"/>
      <c r="E55" s="31">
        <f>ROUND('Stavební rozpočet'!H691,2)</f>
        <v>0</v>
      </c>
      <c r="F55" s="31">
        <f>ROUND('Stavební rozpočet'!I691,2)</f>
        <v>0</v>
      </c>
      <c r="G55" s="31">
        <f>ROUND('Stavební rozpočet'!J691,2)</f>
        <v>0</v>
      </c>
      <c r="H55" s="34" t="s">
        <v>1377</v>
      </c>
      <c r="I55" s="31">
        <f t="shared" si="1"/>
        <v>0</v>
      </c>
    </row>
    <row r="56" spans="1:9" x14ac:dyDescent="0.25">
      <c r="A56" s="2" t="s">
        <v>73</v>
      </c>
      <c r="B56" s="3" t="s">
        <v>771</v>
      </c>
      <c r="C56" s="107" t="s">
        <v>772</v>
      </c>
      <c r="D56" s="107"/>
      <c r="E56" s="31">
        <f>ROUND('Stavební rozpočet'!H693,2)</f>
        <v>0</v>
      </c>
      <c r="F56" s="31">
        <f>ROUND('Stavební rozpočet'!I693,2)</f>
        <v>0</v>
      </c>
      <c r="G56" s="31">
        <f>ROUND('Stavební rozpočet'!J693,2)</f>
        <v>0</v>
      </c>
      <c r="H56" s="34" t="s">
        <v>1377</v>
      </c>
      <c r="I56" s="31">
        <f t="shared" si="1"/>
        <v>0</v>
      </c>
    </row>
    <row r="57" spans="1:9" x14ac:dyDescent="0.25">
      <c r="A57" s="2" t="s">
        <v>73</v>
      </c>
      <c r="B57" s="3" t="s">
        <v>777</v>
      </c>
      <c r="C57" s="107" t="s">
        <v>778</v>
      </c>
      <c r="D57" s="107"/>
      <c r="E57" s="31">
        <f>ROUND('Stavební rozpočet'!H695,2)</f>
        <v>0</v>
      </c>
      <c r="F57" s="31">
        <f>ROUND('Stavební rozpočet'!I695,2)</f>
        <v>0</v>
      </c>
      <c r="G57" s="31">
        <f>ROUND('Stavební rozpočet'!J695,2)</f>
        <v>0</v>
      </c>
      <c r="H57" s="34" t="s">
        <v>1377</v>
      </c>
      <c r="I57" s="31">
        <f t="shared" si="1"/>
        <v>0</v>
      </c>
    </row>
    <row r="58" spans="1:9" x14ac:dyDescent="0.25">
      <c r="A58" s="2" t="s">
        <v>78</v>
      </c>
      <c r="B58" s="3" t="s">
        <v>52</v>
      </c>
      <c r="C58" s="107" t="s">
        <v>1318</v>
      </c>
      <c r="D58" s="107"/>
      <c r="E58" s="31">
        <f>ROUND('Stavební rozpočet'!H703,2)</f>
        <v>0</v>
      </c>
      <c r="F58" s="31">
        <f>ROUND('Stavební rozpočet'!I703,2)</f>
        <v>0</v>
      </c>
      <c r="G58" s="31">
        <f>ROUND('Stavební rozpočet'!J703,2)</f>
        <v>0</v>
      </c>
      <c r="H58" s="34" t="s">
        <v>1376</v>
      </c>
      <c r="I58" s="31">
        <f t="shared" si="1"/>
        <v>0</v>
      </c>
    </row>
    <row r="59" spans="1:9" x14ac:dyDescent="0.25">
      <c r="A59" s="2" t="s">
        <v>78</v>
      </c>
      <c r="B59" s="3" t="s">
        <v>288</v>
      </c>
      <c r="C59" s="107" t="s">
        <v>289</v>
      </c>
      <c r="D59" s="107"/>
      <c r="E59" s="31">
        <f>ROUND('Stavební rozpočet'!H704,2)</f>
        <v>0</v>
      </c>
      <c r="F59" s="31">
        <f>ROUND('Stavební rozpočet'!I704,2)</f>
        <v>0</v>
      </c>
      <c r="G59" s="31">
        <f>ROUND('Stavební rozpočet'!J704,2)</f>
        <v>0</v>
      </c>
      <c r="H59" s="34" t="s">
        <v>1377</v>
      </c>
      <c r="I59" s="31">
        <f t="shared" si="1"/>
        <v>0</v>
      </c>
    </row>
    <row r="60" spans="1:9" x14ac:dyDescent="0.25">
      <c r="A60" s="2" t="s">
        <v>78</v>
      </c>
      <c r="B60" s="3" t="s">
        <v>605</v>
      </c>
      <c r="C60" s="107" t="s">
        <v>688</v>
      </c>
      <c r="D60" s="107"/>
      <c r="E60" s="31">
        <f>ROUND('Stavební rozpočet'!H722,2)</f>
        <v>0</v>
      </c>
      <c r="F60" s="31">
        <f>ROUND('Stavební rozpočet'!I722,2)</f>
        <v>0</v>
      </c>
      <c r="G60" s="31">
        <f>ROUND('Stavební rozpočet'!J722,2)</f>
        <v>0</v>
      </c>
      <c r="H60" s="34" t="s">
        <v>1377</v>
      </c>
      <c r="I60" s="31">
        <f t="shared" si="1"/>
        <v>0</v>
      </c>
    </row>
    <row r="61" spans="1:9" x14ac:dyDescent="0.25">
      <c r="A61" s="2" t="s">
        <v>78</v>
      </c>
      <c r="B61" s="3" t="s">
        <v>777</v>
      </c>
      <c r="C61" s="107" t="s">
        <v>778</v>
      </c>
      <c r="D61" s="107"/>
      <c r="E61" s="31">
        <f>ROUND('Stavební rozpočet'!H725,2)</f>
        <v>0</v>
      </c>
      <c r="F61" s="31">
        <f>ROUND('Stavební rozpočet'!I725,2)</f>
        <v>0</v>
      </c>
      <c r="G61" s="31">
        <f>ROUND('Stavební rozpočet'!J725,2)</f>
        <v>0</v>
      </c>
      <c r="H61" s="34" t="s">
        <v>1377</v>
      </c>
      <c r="I61" s="31">
        <f t="shared" si="1"/>
        <v>0</v>
      </c>
    </row>
    <row r="62" spans="1:9" x14ac:dyDescent="0.25">
      <c r="F62" s="4" t="s">
        <v>1369</v>
      </c>
      <c r="G62" s="66">
        <f>ROUND(SUM(I11:I61),2)</f>
        <v>0</v>
      </c>
    </row>
  </sheetData>
  <sheetProtection password="C82F" sheet="1"/>
  <mergeCells count="76">
    <mergeCell ref="C57:D57"/>
    <mergeCell ref="C58:D58"/>
    <mergeCell ref="C59:D59"/>
    <mergeCell ref="C60:D60"/>
    <mergeCell ref="C61:D61"/>
    <mergeCell ref="C52:D52"/>
    <mergeCell ref="C53:D53"/>
    <mergeCell ref="C54:D54"/>
    <mergeCell ref="C55:D55"/>
    <mergeCell ref="C56:D56"/>
    <mergeCell ref="C47:D47"/>
    <mergeCell ref="C48:D48"/>
    <mergeCell ref="C49:D49"/>
    <mergeCell ref="C50:D50"/>
    <mergeCell ref="C51:D51"/>
    <mergeCell ref="C42:D42"/>
    <mergeCell ref="C43:D43"/>
    <mergeCell ref="C44:D44"/>
    <mergeCell ref="C45:D45"/>
    <mergeCell ref="C46:D46"/>
    <mergeCell ref="C37:D37"/>
    <mergeCell ref="C38:D38"/>
    <mergeCell ref="C39:D39"/>
    <mergeCell ref="C40:D40"/>
    <mergeCell ref="C41:D41"/>
    <mergeCell ref="C32:D32"/>
    <mergeCell ref="C33:D33"/>
    <mergeCell ref="C34:D34"/>
    <mergeCell ref="C35:D35"/>
    <mergeCell ref="C36:D36"/>
    <mergeCell ref="C27:D27"/>
    <mergeCell ref="C28:D28"/>
    <mergeCell ref="C29:D29"/>
    <mergeCell ref="C30:D30"/>
    <mergeCell ref="C31:D31"/>
    <mergeCell ref="C22:D22"/>
    <mergeCell ref="C23:D23"/>
    <mergeCell ref="C24:D24"/>
    <mergeCell ref="C25:D25"/>
    <mergeCell ref="C26:D26"/>
    <mergeCell ref="C17:D17"/>
    <mergeCell ref="C18:D18"/>
    <mergeCell ref="C19:D19"/>
    <mergeCell ref="C20:D20"/>
    <mergeCell ref="C21:D21"/>
    <mergeCell ref="C12:D12"/>
    <mergeCell ref="C13:D13"/>
    <mergeCell ref="C14:D14"/>
    <mergeCell ref="C15:D15"/>
    <mergeCell ref="C16:D16"/>
    <mergeCell ref="G2:G3"/>
    <mergeCell ref="G4:G5"/>
    <mergeCell ref="G6:G7"/>
    <mergeCell ref="G8:G9"/>
    <mergeCell ref="C11:D11"/>
    <mergeCell ref="C8:C9"/>
    <mergeCell ref="E2:E3"/>
    <mergeCell ref="E4:E5"/>
    <mergeCell ref="E6:E7"/>
    <mergeCell ref="E8:E9"/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735"/>
  <sheetViews>
    <sheetView workbookViewId="0">
      <pane ySplit="11" topLeftCell="A12" activePane="bottomLeft" state="frozen"/>
      <selection pane="bottomLeft" activeCell="I19" sqref="I19"/>
    </sheetView>
  </sheetViews>
  <sheetFormatPr defaultColWidth="12.140625" defaultRowHeight="15" customHeight="1" x14ac:dyDescent="0.25"/>
  <cols>
    <col min="1" max="1" width="4" customWidth="1"/>
    <col min="2" max="2" width="17.85546875" customWidth="1"/>
    <col min="3" max="3" width="42.85546875" customWidth="1"/>
    <col min="4" max="4" width="35.7109375" customWidth="1"/>
    <col min="5" max="5" width="6.42578125" customWidth="1"/>
    <col min="6" max="6" width="12.85546875" customWidth="1"/>
    <col min="7" max="7" width="12" customWidth="1"/>
    <col min="8" max="10" width="15.7109375" customWidth="1"/>
    <col min="11" max="11" width="13.4257812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 x14ac:dyDescent="0.25">
      <c r="A1" s="103" t="s">
        <v>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x14ac:dyDescent="0.25">
      <c r="A2" s="104" t="s">
        <v>1</v>
      </c>
      <c r="B2" s="105"/>
      <c r="C2" s="113" t="s">
        <v>2</v>
      </c>
      <c r="D2" s="114"/>
      <c r="E2" s="105" t="s">
        <v>3</v>
      </c>
      <c r="F2" s="105"/>
      <c r="G2" s="116" t="s">
        <v>4</v>
      </c>
      <c r="H2" s="111" t="s">
        <v>5</v>
      </c>
      <c r="I2" s="111" t="s">
        <v>6</v>
      </c>
      <c r="J2" s="105"/>
      <c r="K2" s="119"/>
    </row>
    <row r="3" spans="1:76" x14ac:dyDescent="0.25">
      <c r="A3" s="106"/>
      <c r="B3" s="107"/>
      <c r="C3" s="115"/>
      <c r="D3" s="115"/>
      <c r="E3" s="107"/>
      <c r="F3" s="107"/>
      <c r="G3" s="117"/>
      <c r="H3" s="107"/>
      <c r="I3" s="107"/>
      <c r="J3" s="107"/>
      <c r="K3" s="120"/>
    </row>
    <row r="4" spans="1:76" x14ac:dyDescent="0.25">
      <c r="A4" s="108" t="s">
        <v>7</v>
      </c>
      <c r="B4" s="107"/>
      <c r="C4" s="112" t="s">
        <v>8</v>
      </c>
      <c r="D4" s="107"/>
      <c r="E4" s="107" t="s">
        <v>9</v>
      </c>
      <c r="F4" s="107"/>
      <c r="G4" s="117" t="s">
        <v>4</v>
      </c>
      <c r="H4" s="112" t="s">
        <v>10</v>
      </c>
      <c r="I4" s="112" t="s">
        <v>11</v>
      </c>
      <c r="J4" s="107"/>
      <c r="K4" s="120"/>
    </row>
    <row r="5" spans="1:76" x14ac:dyDescent="0.25">
      <c r="A5" s="106"/>
      <c r="B5" s="107"/>
      <c r="C5" s="107"/>
      <c r="D5" s="107"/>
      <c r="E5" s="107"/>
      <c r="F5" s="107"/>
      <c r="G5" s="117"/>
      <c r="H5" s="107"/>
      <c r="I5" s="107"/>
      <c r="J5" s="107"/>
      <c r="K5" s="120"/>
    </row>
    <row r="6" spans="1:76" x14ac:dyDescent="0.25">
      <c r="A6" s="108" t="s">
        <v>12</v>
      </c>
      <c r="B6" s="107"/>
      <c r="C6" s="112" t="s">
        <v>13</v>
      </c>
      <c r="D6" s="107"/>
      <c r="E6" s="107" t="s">
        <v>14</v>
      </c>
      <c r="F6" s="107"/>
      <c r="G6" s="117" t="s">
        <v>4</v>
      </c>
      <c r="H6" s="112" t="s">
        <v>15</v>
      </c>
      <c r="I6" s="117" t="s">
        <v>16</v>
      </c>
      <c r="J6" s="117"/>
      <c r="K6" s="121"/>
    </row>
    <row r="7" spans="1:76" x14ac:dyDescent="0.25">
      <c r="A7" s="106"/>
      <c r="B7" s="107"/>
      <c r="C7" s="107"/>
      <c r="D7" s="107"/>
      <c r="E7" s="107"/>
      <c r="F7" s="107"/>
      <c r="G7" s="117"/>
      <c r="H7" s="107"/>
      <c r="I7" s="117"/>
      <c r="J7" s="117"/>
      <c r="K7" s="121"/>
    </row>
    <row r="8" spans="1:76" x14ac:dyDescent="0.25">
      <c r="A8" s="108" t="s">
        <v>17</v>
      </c>
      <c r="B8" s="107"/>
      <c r="C8" s="112" t="s">
        <v>18</v>
      </c>
      <c r="D8" s="107"/>
      <c r="E8" s="107" t="s">
        <v>19</v>
      </c>
      <c r="F8" s="107"/>
      <c r="G8" s="117" t="s">
        <v>20</v>
      </c>
      <c r="H8" s="112" t="s">
        <v>21</v>
      </c>
      <c r="I8" s="122" t="s">
        <v>22</v>
      </c>
      <c r="J8" s="117"/>
      <c r="K8" s="121"/>
    </row>
    <row r="9" spans="1:76" x14ac:dyDescent="0.25">
      <c r="A9" s="109"/>
      <c r="B9" s="110"/>
      <c r="C9" s="110"/>
      <c r="D9" s="110"/>
      <c r="E9" s="110"/>
      <c r="F9" s="110"/>
      <c r="G9" s="118"/>
      <c r="H9" s="110"/>
      <c r="I9" s="118"/>
      <c r="J9" s="118"/>
      <c r="K9" s="123"/>
    </row>
    <row r="10" spans="1:76" x14ac:dyDescent="0.25">
      <c r="A10" s="6" t="s">
        <v>23</v>
      </c>
      <c r="B10" s="7" t="s">
        <v>24</v>
      </c>
      <c r="C10" s="124" t="s">
        <v>25</v>
      </c>
      <c r="D10" s="125"/>
      <c r="E10" s="7" t="s">
        <v>26</v>
      </c>
      <c r="F10" s="8" t="s">
        <v>27</v>
      </c>
      <c r="G10" s="9" t="s">
        <v>28</v>
      </c>
      <c r="H10" s="128" t="s">
        <v>29</v>
      </c>
      <c r="I10" s="129"/>
      <c r="J10" s="130"/>
      <c r="K10" s="10" t="s">
        <v>30</v>
      </c>
      <c r="BK10" s="11" t="s">
        <v>31</v>
      </c>
      <c r="BL10" s="12" t="s">
        <v>32</v>
      </c>
      <c r="BW10" s="12" t="s">
        <v>33</v>
      </c>
    </row>
    <row r="11" spans="1:76" x14ac:dyDescent="0.25">
      <c r="A11" s="13" t="s">
        <v>4</v>
      </c>
      <c r="B11" s="14" t="s">
        <v>4</v>
      </c>
      <c r="C11" s="126" t="s">
        <v>34</v>
      </c>
      <c r="D11" s="127"/>
      <c r="E11" s="14" t="s">
        <v>4</v>
      </c>
      <c r="F11" s="14" t="s">
        <v>4</v>
      </c>
      <c r="G11" s="15" t="s">
        <v>35</v>
      </c>
      <c r="H11" s="16" t="s">
        <v>36</v>
      </c>
      <c r="I11" s="17" t="s">
        <v>37</v>
      </c>
      <c r="J11" s="18" t="s">
        <v>38</v>
      </c>
      <c r="K11" s="19" t="s">
        <v>39</v>
      </c>
      <c r="Z11" s="11" t="s">
        <v>40</v>
      </c>
      <c r="AA11" s="11" t="s">
        <v>41</v>
      </c>
      <c r="AB11" s="11" t="s">
        <v>42</v>
      </c>
      <c r="AC11" s="11" t="s">
        <v>43</v>
      </c>
      <c r="AD11" s="11" t="s">
        <v>44</v>
      </c>
      <c r="AE11" s="11" t="s">
        <v>45</v>
      </c>
      <c r="AF11" s="11" t="s">
        <v>46</v>
      </c>
      <c r="AG11" s="11" t="s">
        <v>47</v>
      </c>
      <c r="AH11" s="11" t="s">
        <v>48</v>
      </c>
      <c r="BH11" s="11" t="s">
        <v>49</v>
      </c>
      <c r="BI11" s="11" t="s">
        <v>50</v>
      </c>
      <c r="BJ11" s="11" t="s">
        <v>51</v>
      </c>
    </row>
    <row r="12" spans="1:76" x14ac:dyDescent="0.25">
      <c r="A12" s="20" t="s">
        <v>52</v>
      </c>
      <c r="B12" s="21" t="s">
        <v>52</v>
      </c>
      <c r="C12" s="131" t="s">
        <v>53</v>
      </c>
      <c r="D12" s="132"/>
      <c r="E12" s="22" t="s">
        <v>4</v>
      </c>
      <c r="F12" s="22" t="s">
        <v>4</v>
      </c>
      <c r="G12" s="23" t="s">
        <v>4</v>
      </c>
      <c r="H12" s="24">
        <f>H13+H21+H25+H61+H98+H105+H115+H123+H128+H132+H136+H152+H196+H246+H277+H334+H341+H368+H371+H382+H385+H388+H413+H426+H428</f>
        <v>0</v>
      </c>
      <c r="I12" s="24">
        <f>I13+I21+I25+I61+I98+I105+I115+I123+I128+I132+I136+I152+I196+I246+I277+I334+I341+I368+I371+I382+I385+I388+I413+I426+I428</f>
        <v>0</v>
      </c>
      <c r="J12" s="24">
        <f>J13+J21+J25+J61+J98+J105+J115+J123+J128+J132+J136+J152+J196+J246+J277+J334+J341+J368+J371+J382+J385+J388+J413+J426+J428</f>
        <v>0</v>
      </c>
      <c r="K12" s="25" t="s">
        <v>52</v>
      </c>
    </row>
    <row r="13" spans="1:76" x14ac:dyDescent="0.25">
      <c r="A13" s="26" t="s">
        <v>52</v>
      </c>
      <c r="B13" s="27" t="s">
        <v>54</v>
      </c>
      <c r="C13" s="133" t="s">
        <v>55</v>
      </c>
      <c r="D13" s="134"/>
      <c r="E13" s="28" t="s">
        <v>4</v>
      </c>
      <c r="F13" s="28" t="s">
        <v>4</v>
      </c>
      <c r="G13" s="29" t="s">
        <v>4</v>
      </c>
      <c r="H13" s="1">
        <f>SUM(H14:H19)</f>
        <v>0</v>
      </c>
      <c r="I13" s="1">
        <f>SUM(I14:I19)</f>
        <v>0</v>
      </c>
      <c r="J13" s="1">
        <f>SUM(J14:J19)</f>
        <v>0</v>
      </c>
      <c r="K13" s="30" t="s">
        <v>52</v>
      </c>
      <c r="AI13" s="11" t="s">
        <v>56</v>
      </c>
      <c r="AS13" s="1">
        <f>SUM(AJ14:AJ19)</f>
        <v>0</v>
      </c>
      <c r="AT13" s="1">
        <f>SUM(AK14:AK19)</f>
        <v>0</v>
      </c>
      <c r="AU13" s="1">
        <f>SUM(AL14:AL19)</f>
        <v>0</v>
      </c>
    </row>
    <row r="14" spans="1:76" x14ac:dyDescent="0.25">
      <c r="A14" s="2" t="s">
        <v>56</v>
      </c>
      <c r="B14" s="3" t="s">
        <v>57</v>
      </c>
      <c r="C14" s="112" t="s">
        <v>58</v>
      </c>
      <c r="D14" s="107"/>
      <c r="E14" s="3" t="s">
        <v>59</v>
      </c>
      <c r="F14" s="31">
        <v>7.5</v>
      </c>
      <c r="G14" s="32">
        <v>0</v>
      </c>
      <c r="H14" s="31">
        <f>ROUND(F14*AO14,2)</f>
        <v>0</v>
      </c>
      <c r="I14" s="31">
        <f>ROUND(F14*AP14,2)</f>
        <v>0</v>
      </c>
      <c r="J14" s="31">
        <f>ROUND(F14*G14,2)</f>
        <v>0</v>
      </c>
      <c r="K14" s="33" t="s">
        <v>60</v>
      </c>
      <c r="Z14" s="31">
        <f>ROUND(IF(AQ14="5",BJ14,0),2)</f>
        <v>0</v>
      </c>
      <c r="AB14" s="31">
        <f>ROUND(IF(AQ14="1",BH14,0),2)</f>
        <v>0</v>
      </c>
      <c r="AC14" s="31">
        <f>ROUND(IF(AQ14="1",BI14,0),2)</f>
        <v>0</v>
      </c>
      <c r="AD14" s="31">
        <f>ROUND(IF(AQ14="7",BH14,0),2)</f>
        <v>0</v>
      </c>
      <c r="AE14" s="31">
        <f>ROUND(IF(AQ14="7",BI14,0),2)</f>
        <v>0</v>
      </c>
      <c r="AF14" s="31">
        <f>ROUND(IF(AQ14="2",BH14,0),2)</f>
        <v>0</v>
      </c>
      <c r="AG14" s="31">
        <f>ROUND(IF(AQ14="2",BI14,0),2)</f>
        <v>0</v>
      </c>
      <c r="AH14" s="31">
        <f>ROUND(IF(AQ14="0",BJ14,0),2)</f>
        <v>0</v>
      </c>
      <c r="AI14" s="11" t="s">
        <v>56</v>
      </c>
      <c r="AJ14" s="31">
        <f>IF(AN14=0,J14,0)</f>
        <v>0</v>
      </c>
      <c r="AK14" s="31">
        <f>IF(AN14=12,J14,0)</f>
        <v>0</v>
      </c>
      <c r="AL14" s="31">
        <f>IF(AN14=21,J14,0)</f>
        <v>0</v>
      </c>
      <c r="AN14" s="31">
        <v>21</v>
      </c>
      <c r="AO14" s="31">
        <f>G14*0.064344569</f>
        <v>0</v>
      </c>
      <c r="AP14" s="31">
        <f>G14*(1-0.064344569)</f>
        <v>0</v>
      </c>
      <c r="AQ14" s="34" t="s">
        <v>56</v>
      </c>
      <c r="AV14" s="31">
        <f>ROUND(AW14+AX14,2)</f>
        <v>0</v>
      </c>
      <c r="AW14" s="31">
        <f>ROUND(F14*AO14,2)</f>
        <v>0</v>
      </c>
      <c r="AX14" s="31">
        <f>ROUND(F14*AP14,2)</f>
        <v>0</v>
      </c>
      <c r="AY14" s="34" t="s">
        <v>61</v>
      </c>
      <c r="AZ14" s="34" t="s">
        <v>62</v>
      </c>
      <c r="BA14" s="11" t="s">
        <v>63</v>
      </c>
      <c r="BC14" s="31">
        <f>AW14+AX14</f>
        <v>0</v>
      </c>
      <c r="BD14" s="31">
        <f>G14/(100-BE14)*100</f>
        <v>0</v>
      </c>
      <c r="BE14" s="31">
        <v>0</v>
      </c>
      <c r="BF14" s="31">
        <f>14</f>
        <v>14</v>
      </c>
      <c r="BH14" s="31">
        <f>F14*AO14</f>
        <v>0</v>
      </c>
      <c r="BI14" s="31">
        <f>F14*AP14</f>
        <v>0</v>
      </c>
      <c r="BJ14" s="31">
        <f>F14*G14</f>
        <v>0</v>
      </c>
      <c r="BK14" s="34" t="s">
        <v>64</v>
      </c>
      <c r="BL14" s="31">
        <v>18</v>
      </c>
      <c r="BW14" s="31">
        <v>21</v>
      </c>
      <c r="BX14" s="5" t="s">
        <v>58</v>
      </c>
    </row>
    <row r="15" spans="1:76" x14ac:dyDescent="0.25">
      <c r="A15" s="35"/>
      <c r="C15" s="36" t="s">
        <v>65</v>
      </c>
      <c r="D15" s="36" t="s">
        <v>52</v>
      </c>
      <c r="F15" s="37">
        <v>7.5</v>
      </c>
      <c r="K15" s="38"/>
    </row>
    <row r="16" spans="1:76" x14ac:dyDescent="0.25">
      <c r="A16" s="39" t="s">
        <v>66</v>
      </c>
      <c r="B16" s="40" t="s">
        <v>67</v>
      </c>
      <c r="C16" s="135" t="s">
        <v>68</v>
      </c>
      <c r="D16" s="136"/>
      <c r="E16" s="40" t="s">
        <v>69</v>
      </c>
      <c r="F16" s="42">
        <v>0.3</v>
      </c>
      <c r="G16" s="43">
        <v>0</v>
      </c>
      <c r="H16" s="42">
        <f>ROUND(F16*AO16,2)</f>
        <v>0</v>
      </c>
      <c r="I16" s="42">
        <f>ROUND(F16*AP16,2)</f>
        <v>0</v>
      </c>
      <c r="J16" s="42">
        <f>ROUND(F16*G16,2)</f>
        <v>0</v>
      </c>
      <c r="K16" s="44" t="s">
        <v>60</v>
      </c>
      <c r="Z16" s="31">
        <f>ROUND(IF(AQ16="5",BJ16,0),2)</f>
        <v>0</v>
      </c>
      <c r="AB16" s="31">
        <f>ROUND(IF(AQ16="1",BH16,0),2)</f>
        <v>0</v>
      </c>
      <c r="AC16" s="31">
        <f>ROUND(IF(AQ16="1",BI16,0),2)</f>
        <v>0</v>
      </c>
      <c r="AD16" s="31">
        <f>ROUND(IF(AQ16="7",BH16,0),2)</f>
        <v>0</v>
      </c>
      <c r="AE16" s="31">
        <f>ROUND(IF(AQ16="7",BI16,0),2)</f>
        <v>0</v>
      </c>
      <c r="AF16" s="31">
        <f>ROUND(IF(AQ16="2",BH16,0),2)</f>
        <v>0</v>
      </c>
      <c r="AG16" s="31">
        <f>ROUND(IF(AQ16="2",BI16,0),2)</f>
        <v>0</v>
      </c>
      <c r="AH16" s="31">
        <f>ROUND(IF(AQ16="0",BJ16,0),2)</f>
        <v>0</v>
      </c>
      <c r="AI16" s="11" t="s">
        <v>56</v>
      </c>
      <c r="AJ16" s="42">
        <f>IF(AN16=0,J16,0)</f>
        <v>0</v>
      </c>
      <c r="AK16" s="42">
        <f>IF(AN16=12,J16,0)</f>
        <v>0</v>
      </c>
      <c r="AL16" s="42">
        <f>IF(AN16=21,J16,0)</f>
        <v>0</v>
      </c>
      <c r="AN16" s="31">
        <v>21</v>
      </c>
      <c r="AO16" s="31">
        <f>G16*1</f>
        <v>0</v>
      </c>
      <c r="AP16" s="31">
        <f>G16*(1-1)</f>
        <v>0</v>
      </c>
      <c r="AQ16" s="45" t="s">
        <v>56</v>
      </c>
      <c r="AV16" s="31">
        <f>ROUND(AW16+AX16,2)</f>
        <v>0</v>
      </c>
      <c r="AW16" s="31">
        <f>ROUND(F16*AO16,2)</f>
        <v>0</v>
      </c>
      <c r="AX16" s="31">
        <f>ROUND(F16*AP16,2)</f>
        <v>0</v>
      </c>
      <c r="AY16" s="34" t="s">
        <v>61</v>
      </c>
      <c r="AZ16" s="34" t="s">
        <v>62</v>
      </c>
      <c r="BA16" s="11" t="s">
        <v>63</v>
      </c>
      <c r="BC16" s="31">
        <f>AW16+AX16</f>
        <v>0</v>
      </c>
      <c r="BD16" s="31">
        <f>G16/(100-BE16)*100</f>
        <v>0</v>
      </c>
      <c r="BE16" s="31">
        <v>0</v>
      </c>
      <c r="BF16" s="31">
        <f>16</f>
        <v>16</v>
      </c>
      <c r="BH16" s="42">
        <f>F16*AO16</f>
        <v>0</v>
      </c>
      <c r="BI16" s="42">
        <f>F16*AP16</f>
        <v>0</v>
      </c>
      <c r="BJ16" s="42">
        <f>F16*G16</f>
        <v>0</v>
      </c>
      <c r="BK16" s="45" t="s">
        <v>70</v>
      </c>
      <c r="BL16" s="31">
        <v>18</v>
      </c>
      <c r="BW16" s="31">
        <v>21</v>
      </c>
      <c r="BX16" s="41" t="s">
        <v>68</v>
      </c>
    </row>
    <row r="17" spans="1:76" x14ac:dyDescent="0.25">
      <c r="A17" s="35"/>
      <c r="C17" s="36" t="s">
        <v>71</v>
      </c>
      <c r="D17" s="36" t="s">
        <v>52</v>
      </c>
      <c r="F17" s="37">
        <v>0</v>
      </c>
      <c r="K17" s="38"/>
    </row>
    <row r="18" spans="1:76" x14ac:dyDescent="0.25">
      <c r="A18" s="35"/>
      <c r="C18" s="36" t="s">
        <v>72</v>
      </c>
      <c r="D18" s="36" t="s">
        <v>52</v>
      </c>
      <c r="F18" s="37">
        <v>0.3</v>
      </c>
      <c r="K18" s="38"/>
    </row>
    <row r="19" spans="1:76" x14ac:dyDescent="0.25">
      <c r="A19" s="2" t="s">
        <v>73</v>
      </c>
      <c r="B19" s="3" t="s">
        <v>74</v>
      </c>
      <c r="C19" s="112" t="s">
        <v>75</v>
      </c>
      <c r="D19" s="107"/>
      <c r="E19" s="3" t="s">
        <v>59</v>
      </c>
      <c r="F19" s="31">
        <v>7.5</v>
      </c>
      <c r="G19" s="32">
        <v>0</v>
      </c>
      <c r="H19" s="31">
        <f>ROUND(F19*AO19,2)</f>
        <v>0</v>
      </c>
      <c r="I19" s="31">
        <f>ROUND(F19*AP19,2)</f>
        <v>0</v>
      </c>
      <c r="J19" s="31">
        <f>ROUND(F19*G19,2)</f>
        <v>0</v>
      </c>
      <c r="K19" s="33" t="s">
        <v>60</v>
      </c>
      <c r="Z19" s="31">
        <f>ROUND(IF(AQ19="5",BJ19,0),2)</f>
        <v>0</v>
      </c>
      <c r="AB19" s="31">
        <f>ROUND(IF(AQ19="1",BH19,0),2)</f>
        <v>0</v>
      </c>
      <c r="AC19" s="31">
        <f>ROUND(IF(AQ19="1",BI19,0),2)</f>
        <v>0</v>
      </c>
      <c r="AD19" s="31">
        <f>ROUND(IF(AQ19="7",BH19,0),2)</f>
        <v>0</v>
      </c>
      <c r="AE19" s="31">
        <f>ROUND(IF(AQ19="7",BI19,0),2)</f>
        <v>0</v>
      </c>
      <c r="AF19" s="31">
        <f>ROUND(IF(AQ19="2",BH19,0),2)</f>
        <v>0</v>
      </c>
      <c r="AG19" s="31">
        <f>ROUND(IF(AQ19="2",BI19,0),2)</f>
        <v>0</v>
      </c>
      <c r="AH19" s="31">
        <f>ROUND(IF(AQ19="0",BJ19,0),2)</f>
        <v>0</v>
      </c>
      <c r="AI19" s="11" t="s">
        <v>56</v>
      </c>
      <c r="AJ19" s="31">
        <f>IF(AN19=0,J19,0)</f>
        <v>0</v>
      </c>
      <c r="AK19" s="31">
        <f>IF(AN19=12,J19,0)</f>
        <v>0</v>
      </c>
      <c r="AL19" s="31">
        <f>IF(AN19=21,J19,0)</f>
        <v>0</v>
      </c>
      <c r="AN19" s="31">
        <v>21</v>
      </c>
      <c r="AO19" s="31">
        <f>G19*0</f>
        <v>0</v>
      </c>
      <c r="AP19" s="31">
        <f>G19*(1-0)</f>
        <v>0</v>
      </c>
      <c r="AQ19" s="34" t="s">
        <v>56</v>
      </c>
      <c r="AV19" s="31">
        <f>ROUND(AW19+AX19,2)</f>
        <v>0</v>
      </c>
      <c r="AW19" s="31">
        <f>ROUND(F19*AO19,2)</f>
        <v>0</v>
      </c>
      <c r="AX19" s="31">
        <f>ROUND(F19*AP19,2)</f>
        <v>0</v>
      </c>
      <c r="AY19" s="34" t="s">
        <v>61</v>
      </c>
      <c r="AZ19" s="34" t="s">
        <v>62</v>
      </c>
      <c r="BA19" s="11" t="s">
        <v>63</v>
      </c>
      <c r="BC19" s="31">
        <f>AW19+AX19</f>
        <v>0</v>
      </c>
      <c r="BD19" s="31">
        <f>G19/(100-BE19)*100</f>
        <v>0</v>
      </c>
      <c r="BE19" s="31">
        <v>0</v>
      </c>
      <c r="BF19" s="31">
        <f>19</f>
        <v>19</v>
      </c>
      <c r="BH19" s="31">
        <f>F19*AO19</f>
        <v>0</v>
      </c>
      <c r="BI19" s="31">
        <f>F19*AP19</f>
        <v>0</v>
      </c>
      <c r="BJ19" s="31">
        <f>F19*G19</f>
        <v>0</v>
      </c>
      <c r="BK19" s="34" t="s">
        <v>64</v>
      </c>
      <c r="BL19" s="31">
        <v>18</v>
      </c>
      <c r="BW19" s="31">
        <v>21</v>
      </c>
      <c r="BX19" s="5" t="s">
        <v>75</v>
      </c>
    </row>
    <row r="20" spans="1:76" x14ac:dyDescent="0.25">
      <c r="A20" s="35"/>
      <c r="C20" s="36" t="s">
        <v>65</v>
      </c>
      <c r="D20" s="36" t="s">
        <v>52</v>
      </c>
      <c r="F20" s="37">
        <v>7.5</v>
      </c>
      <c r="K20" s="38"/>
    </row>
    <row r="21" spans="1:76" x14ac:dyDescent="0.25">
      <c r="A21" s="26" t="s">
        <v>52</v>
      </c>
      <c r="B21" s="27" t="s">
        <v>76</v>
      </c>
      <c r="C21" s="133" t="s">
        <v>77</v>
      </c>
      <c r="D21" s="134"/>
      <c r="E21" s="28" t="s">
        <v>4</v>
      </c>
      <c r="F21" s="28" t="s">
        <v>4</v>
      </c>
      <c r="G21" s="29" t="s">
        <v>4</v>
      </c>
      <c r="H21" s="1">
        <f>SUM(H22:H24)</f>
        <v>0</v>
      </c>
      <c r="I21" s="1">
        <f>SUM(I22:I24)</f>
        <v>0</v>
      </c>
      <c r="J21" s="1">
        <f>SUM(J22:J24)</f>
        <v>0</v>
      </c>
      <c r="K21" s="30" t="s">
        <v>52</v>
      </c>
      <c r="AI21" s="11" t="s">
        <v>56</v>
      </c>
      <c r="AS21" s="1">
        <f>SUM(AJ22:AJ24)</f>
        <v>0</v>
      </c>
      <c r="AT21" s="1">
        <f>SUM(AK22:AK24)</f>
        <v>0</v>
      </c>
      <c r="AU21" s="1">
        <f>SUM(AL22:AL24)</f>
        <v>0</v>
      </c>
    </row>
    <row r="22" spans="1:76" x14ac:dyDescent="0.25">
      <c r="A22" s="2" t="s">
        <v>78</v>
      </c>
      <c r="B22" s="3" t="s">
        <v>79</v>
      </c>
      <c r="C22" s="112" t="s">
        <v>80</v>
      </c>
      <c r="D22" s="107"/>
      <c r="E22" s="3" t="s">
        <v>81</v>
      </c>
      <c r="F22" s="31">
        <v>1</v>
      </c>
      <c r="G22" s="32">
        <v>0</v>
      </c>
      <c r="H22" s="31">
        <f>ROUND(F22*AO22,2)</f>
        <v>0</v>
      </c>
      <c r="I22" s="31">
        <f>ROUND(F22*AP22,2)</f>
        <v>0</v>
      </c>
      <c r="J22" s="31">
        <f>ROUND(F22*G22,2)</f>
        <v>0</v>
      </c>
      <c r="K22" s="33" t="s">
        <v>60</v>
      </c>
      <c r="Z22" s="31">
        <f>ROUND(IF(AQ22="5",BJ22,0),2)</f>
        <v>0</v>
      </c>
      <c r="AB22" s="31">
        <f>ROUND(IF(AQ22="1",BH22,0),2)</f>
        <v>0</v>
      </c>
      <c r="AC22" s="31">
        <f>ROUND(IF(AQ22="1",BI22,0),2)</f>
        <v>0</v>
      </c>
      <c r="AD22" s="31">
        <f>ROUND(IF(AQ22="7",BH22,0),2)</f>
        <v>0</v>
      </c>
      <c r="AE22" s="31">
        <f>ROUND(IF(AQ22="7",BI22,0),2)</f>
        <v>0</v>
      </c>
      <c r="AF22" s="31">
        <f>ROUND(IF(AQ22="2",BH22,0),2)</f>
        <v>0</v>
      </c>
      <c r="AG22" s="31">
        <f>ROUND(IF(AQ22="2",BI22,0),2)</f>
        <v>0</v>
      </c>
      <c r="AH22" s="31">
        <f>ROUND(IF(AQ22="0",BJ22,0),2)</f>
        <v>0</v>
      </c>
      <c r="AI22" s="11" t="s">
        <v>56</v>
      </c>
      <c r="AJ22" s="31">
        <f>IF(AN22=0,J22,0)</f>
        <v>0</v>
      </c>
      <c r="AK22" s="31">
        <f>IF(AN22=12,J22,0)</f>
        <v>0</v>
      </c>
      <c r="AL22" s="31">
        <f>IF(AN22=21,J22,0)</f>
        <v>0</v>
      </c>
      <c r="AN22" s="31">
        <v>21</v>
      </c>
      <c r="AO22" s="31">
        <f>G22*0.042435316</f>
        <v>0</v>
      </c>
      <c r="AP22" s="31">
        <f>G22*(1-0.042435316)</f>
        <v>0</v>
      </c>
      <c r="AQ22" s="34" t="s">
        <v>56</v>
      </c>
      <c r="AV22" s="31">
        <f>ROUND(AW22+AX22,2)</f>
        <v>0</v>
      </c>
      <c r="AW22" s="31">
        <f>ROUND(F22*AO22,2)</f>
        <v>0</v>
      </c>
      <c r="AX22" s="31">
        <f>ROUND(F22*AP22,2)</f>
        <v>0</v>
      </c>
      <c r="AY22" s="34" t="s">
        <v>82</v>
      </c>
      <c r="AZ22" s="34" t="s">
        <v>83</v>
      </c>
      <c r="BA22" s="11" t="s">
        <v>63</v>
      </c>
      <c r="BC22" s="31">
        <f>AW22+AX22</f>
        <v>0</v>
      </c>
      <c r="BD22" s="31">
        <f>G22/(100-BE22)*100</f>
        <v>0</v>
      </c>
      <c r="BE22" s="31">
        <v>0</v>
      </c>
      <c r="BF22" s="31">
        <f>22</f>
        <v>22</v>
      </c>
      <c r="BH22" s="31">
        <f>F22*AO22</f>
        <v>0</v>
      </c>
      <c r="BI22" s="31">
        <f>F22*AP22</f>
        <v>0</v>
      </c>
      <c r="BJ22" s="31">
        <f>F22*G22</f>
        <v>0</v>
      </c>
      <c r="BK22" s="34" t="s">
        <v>64</v>
      </c>
      <c r="BL22" s="31">
        <v>31</v>
      </c>
      <c r="BW22" s="31">
        <v>21</v>
      </c>
      <c r="BX22" s="5" t="s">
        <v>80</v>
      </c>
    </row>
    <row r="23" spans="1:76" ht="13.5" customHeight="1" x14ac:dyDescent="0.25">
      <c r="A23" s="35"/>
      <c r="C23" s="137" t="s">
        <v>84</v>
      </c>
      <c r="D23" s="138"/>
      <c r="E23" s="138"/>
      <c r="F23" s="138"/>
      <c r="G23" s="139"/>
      <c r="H23" s="138"/>
      <c r="I23" s="138"/>
      <c r="J23" s="138"/>
      <c r="K23" s="140"/>
    </row>
    <row r="24" spans="1:76" x14ac:dyDescent="0.25">
      <c r="A24" s="39" t="s">
        <v>85</v>
      </c>
      <c r="B24" s="40" t="s">
        <v>86</v>
      </c>
      <c r="C24" s="135" t="s">
        <v>87</v>
      </c>
      <c r="D24" s="136"/>
      <c r="E24" s="40" t="s">
        <v>81</v>
      </c>
      <c r="F24" s="42">
        <v>1</v>
      </c>
      <c r="G24" s="43">
        <v>0</v>
      </c>
      <c r="H24" s="42">
        <f>ROUND(F24*AO24,2)</f>
        <v>0</v>
      </c>
      <c r="I24" s="42">
        <f>ROUND(F24*AP24,2)</f>
        <v>0</v>
      </c>
      <c r="J24" s="42">
        <f>ROUND(F24*G24,2)</f>
        <v>0</v>
      </c>
      <c r="K24" s="44" t="s">
        <v>60</v>
      </c>
      <c r="Z24" s="31">
        <f>ROUND(IF(AQ24="5",BJ24,0),2)</f>
        <v>0</v>
      </c>
      <c r="AB24" s="31">
        <f>ROUND(IF(AQ24="1",BH24,0),2)</f>
        <v>0</v>
      </c>
      <c r="AC24" s="31">
        <f>ROUND(IF(AQ24="1",BI24,0),2)</f>
        <v>0</v>
      </c>
      <c r="AD24" s="31">
        <f>ROUND(IF(AQ24="7",BH24,0),2)</f>
        <v>0</v>
      </c>
      <c r="AE24" s="31">
        <f>ROUND(IF(AQ24="7",BI24,0),2)</f>
        <v>0</v>
      </c>
      <c r="AF24" s="31">
        <f>ROUND(IF(AQ24="2",BH24,0),2)</f>
        <v>0</v>
      </c>
      <c r="AG24" s="31">
        <f>ROUND(IF(AQ24="2",BI24,0),2)</f>
        <v>0</v>
      </c>
      <c r="AH24" s="31">
        <f>ROUND(IF(AQ24="0",BJ24,0),2)</f>
        <v>0</v>
      </c>
      <c r="AI24" s="11" t="s">
        <v>56</v>
      </c>
      <c r="AJ24" s="42">
        <f>IF(AN24=0,J24,0)</f>
        <v>0</v>
      </c>
      <c r="AK24" s="42">
        <f>IF(AN24=12,J24,0)</f>
        <v>0</v>
      </c>
      <c r="AL24" s="42">
        <f>IF(AN24=21,J24,0)</f>
        <v>0</v>
      </c>
      <c r="AN24" s="31">
        <v>21</v>
      </c>
      <c r="AO24" s="31">
        <f>G24*1</f>
        <v>0</v>
      </c>
      <c r="AP24" s="31">
        <f>G24*(1-1)</f>
        <v>0</v>
      </c>
      <c r="AQ24" s="45" t="s">
        <v>56</v>
      </c>
      <c r="AV24" s="31">
        <f>ROUND(AW24+AX24,2)</f>
        <v>0</v>
      </c>
      <c r="AW24" s="31">
        <f>ROUND(F24*AO24,2)</f>
        <v>0</v>
      </c>
      <c r="AX24" s="31">
        <f>ROUND(F24*AP24,2)</f>
        <v>0</v>
      </c>
      <c r="AY24" s="34" t="s">
        <v>82</v>
      </c>
      <c r="AZ24" s="34" t="s">
        <v>83</v>
      </c>
      <c r="BA24" s="11" t="s">
        <v>63</v>
      </c>
      <c r="BC24" s="31">
        <f>AW24+AX24</f>
        <v>0</v>
      </c>
      <c r="BD24" s="31">
        <f>G24/(100-BE24)*100</f>
        <v>0</v>
      </c>
      <c r="BE24" s="31">
        <v>0</v>
      </c>
      <c r="BF24" s="31">
        <f>24</f>
        <v>24</v>
      </c>
      <c r="BH24" s="42">
        <f>F24*AO24</f>
        <v>0</v>
      </c>
      <c r="BI24" s="42">
        <f>F24*AP24</f>
        <v>0</v>
      </c>
      <c r="BJ24" s="42">
        <f>F24*G24</f>
        <v>0</v>
      </c>
      <c r="BK24" s="45" t="s">
        <v>70</v>
      </c>
      <c r="BL24" s="31">
        <v>31</v>
      </c>
      <c r="BW24" s="31">
        <v>21</v>
      </c>
      <c r="BX24" s="41" t="s">
        <v>87</v>
      </c>
    </row>
    <row r="25" spans="1:76" x14ac:dyDescent="0.25">
      <c r="A25" s="26" t="s">
        <v>52</v>
      </c>
      <c r="B25" s="27" t="s">
        <v>88</v>
      </c>
      <c r="C25" s="133" t="s">
        <v>89</v>
      </c>
      <c r="D25" s="134"/>
      <c r="E25" s="28" t="s">
        <v>4</v>
      </c>
      <c r="F25" s="28" t="s">
        <v>4</v>
      </c>
      <c r="G25" s="29" t="s">
        <v>4</v>
      </c>
      <c r="H25" s="1">
        <f>SUM(H26:H58)</f>
        <v>0</v>
      </c>
      <c r="I25" s="1">
        <f>SUM(I26:I58)</f>
        <v>0</v>
      </c>
      <c r="J25" s="1">
        <f>SUM(J26:J58)</f>
        <v>0</v>
      </c>
      <c r="K25" s="30" t="s">
        <v>52</v>
      </c>
      <c r="AI25" s="11" t="s">
        <v>56</v>
      </c>
      <c r="AS25" s="1">
        <f>SUM(AJ26:AJ58)</f>
        <v>0</v>
      </c>
      <c r="AT25" s="1">
        <f>SUM(AK26:AK58)</f>
        <v>0</v>
      </c>
      <c r="AU25" s="1">
        <f>SUM(AL26:AL58)</f>
        <v>0</v>
      </c>
    </row>
    <row r="26" spans="1:76" x14ac:dyDescent="0.25">
      <c r="A26" s="2" t="s">
        <v>90</v>
      </c>
      <c r="B26" s="3" t="s">
        <v>91</v>
      </c>
      <c r="C26" s="112" t="s">
        <v>92</v>
      </c>
      <c r="D26" s="107"/>
      <c r="E26" s="3" t="s">
        <v>59</v>
      </c>
      <c r="F26" s="31">
        <v>15.7</v>
      </c>
      <c r="G26" s="32">
        <v>0</v>
      </c>
      <c r="H26" s="31">
        <f>ROUND(F26*AO26,2)</f>
        <v>0</v>
      </c>
      <c r="I26" s="31">
        <f>ROUND(F26*AP26,2)</f>
        <v>0</v>
      </c>
      <c r="J26" s="31">
        <f>ROUND(F26*G26,2)</f>
        <v>0</v>
      </c>
      <c r="K26" s="33" t="s">
        <v>60</v>
      </c>
      <c r="Z26" s="31">
        <f>ROUND(IF(AQ26="5",BJ26,0),2)</f>
        <v>0</v>
      </c>
      <c r="AB26" s="31">
        <f>ROUND(IF(AQ26="1",BH26,0),2)</f>
        <v>0</v>
      </c>
      <c r="AC26" s="31">
        <f>ROUND(IF(AQ26="1",BI26,0),2)</f>
        <v>0</v>
      </c>
      <c r="AD26" s="31">
        <f>ROUND(IF(AQ26="7",BH26,0),2)</f>
        <v>0</v>
      </c>
      <c r="AE26" s="31">
        <f>ROUND(IF(AQ26="7",BI26,0),2)</f>
        <v>0</v>
      </c>
      <c r="AF26" s="31">
        <f>ROUND(IF(AQ26="2",BH26,0),2)</f>
        <v>0</v>
      </c>
      <c r="AG26" s="31">
        <f>ROUND(IF(AQ26="2",BI26,0),2)</f>
        <v>0</v>
      </c>
      <c r="AH26" s="31">
        <f>ROUND(IF(AQ26="0",BJ26,0),2)</f>
        <v>0</v>
      </c>
      <c r="AI26" s="11" t="s">
        <v>56</v>
      </c>
      <c r="AJ26" s="31">
        <f>IF(AN26=0,J26,0)</f>
        <v>0</v>
      </c>
      <c r="AK26" s="31">
        <f>IF(AN26=12,J26,0)</f>
        <v>0</v>
      </c>
      <c r="AL26" s="31">
        <f>IF(AN26=21,J26,0)</f>
        <v>0</v>
      </c>
      <c r="AN26" s="31">
        <v>21</v>
      </c>
      <c r="AO26" s="31">
        <f>G26*0.145015189</f>
        <v>0</v>
      </c>
      <c r="AP26" s="31">
        <f>G26*(1-0.145015189)</f>
        <v>0</v>
      </c>
      <c r="AQ26" s="34" t="s">
        <v>56</v>
      </c>
      <c r="AV26" s="31">
        <f>ROUND(AW26+AX26,2)</f>
        <v>0</v>
      </c>
      <c r="AW26" s="31">
        <f>ROUND(F26*AO26,2)</f>
        <v>0</v>
      </c>
      <c r="AX26" s="31">
        <f>ROUND(F26*AP26,2)</f>
        <v>0</v>
      </c>
      <c r="AY26" s="34" t="s">
        <v>93</v>
      </c>
      <c r="AZ26" s="34" t="s">
        <v>83</v>
      </c>
      <c r="BA26" s="11" t="s">
        <v>63</v>
      </c>
      <c r="BC26" s="31">
        <f>AW26+AX26</f>
        <v>0</v>
      </c>
      <c r="BD26" s="31">
        <f>G26/(100-BE26)*100</f>
        <v>0</v>
      </c>
      <c r="BE26" s="31">
        <v>0</v>
      </c>
      <c r="BF26" s="31">
        <f>26</f>
        <v>26</v>
      </c>
      <c r="BH26" s="31">
        <f>F26*AO26</f>
        <v>0</v>
      </c>
      <c r="BI26" s="31">
        <f>F26*AP26</f>
        <v>0</v>
      </c>
      <c r="BJ26" s="31">
        <f>F26*G26</f>
        <v>0</v>
      </c>
      <c r="BK26" s="34" t="s">
        <v>64</v>
      </c>
      <c r="BL26" s="31">
        <v>34</v>
      </c>
      <c r="BW26" s="31">
        <v>21</v>
      </c>
      <c r="BX26" s="5" t="s">
        <v>92</v>
      </c>
    </row>
    <row r="27" spans="1:76" ht="13.5" customHeight="1" x14ac:dyDescent="0.25">
      <c r="A27" s="35"/>
      <c r="C27" s="137" t="s">
        <v>94</v>
      </c>
      <c r="D27" s="138"/>
      <c r="E27" s="138"/>
      <c r="F27" s="138"/>
      <c r="G27" s="139"/>
      <c r="H27" s="138"/>
      <c r="I27" s="138"/>
      <c r="J27" s="138"/>
      <c r="K27" s="140"/>
    </row>
    <row r="28" spans="1:76" x14ac:dyDescent="0.25">
      <c r="A28" s="35"/>
      <c r="C28" s="36" t="s">
        <v>95</v>
      </c>
      <c r="D28" s="36" t="s">
        <v>96</v>
      </c>
      <c r="F28" s="37">
        <v>2.9</v>
      </c>
      <c r="K28" s="38"/>
    </row>
    <row r="29" spans="1:76" x14ac:dyDescent="0.25">
      <c r="A29" s="35"/>
      <c r="C29" s="36" t="s">
        <v>97</v>
      </c>
      <c r="D29" s="36" t="s">
        <v>98</v>
      </c>
      <c r="F29" s="37">
        <v>12.3</v>
      </c>
      <c r="K29" s="38"/>
    </row>
    <row r="30" spans="1:76" x14ac:dyDescent="0.25">
      <c r="A30" s="35"/>
      <c r="C30" s="36" t="s">
        <v>99</v>
      </c>
      <c r="D30" s="36" t="s">
        <v>100</v>
      </c>
      <c r="F30" s="37">
        <v>0.5</v>
      </c>
      <c r="K30" s="38"/>
    </row>
    <row r="31" spans="1:76" x14ac:dyDescent="0.25">
      <c r="A31" s="2" t="s">
        <v>101</v>
      </c>
      <c r="B31" s="3" t="s">
        <v>102</v>
      </c>
      <c r="C31" s="112" t="s">
        <v>103</v>
      </c>
      <c r="D31" s="107"/>
      <c r="E31" s="3" t="s">
        <v>59</v>
      </c>
      <c r="F31" s="31">
        <v>62.445</v>
      </c>
      <c r="G31" s="32">
        <v>0</v>
      </c>
      <c r="H31" s="31">
        <f>ROUND(F31*AO31,2)</f>
        <v>0</v>
      </c>
      <c r="I31" s="31">
        <f>ROUND(F31*AP31,2)</f>
        <v>0</v>
      </c>
      <c r="J31" s="31">
        <f>ROUND(F31*G31,2)</f>
        <v>0</v>
      </c>
      <c r="K31" s="33" t="s">
        <v>60</v>
      </c>
      <c r="Z31" s="31">
        <f>ROUND(IF(AQ31="5",BJ31,0),2)</f>
        <v>0</v>
      </c>
      <c r="AB31" s="31">
        <f>ROUND(IF(AQ31="1",BH31,0),2)</f>
        <v>0</v>
      </c>
      <c r="AC31" s="31">
        <f>ROUND(IF(AQ31="1",BI31,0),2)</f>
        <v>0</v>
      </c>
      <c r="AD31" s="31">
        <f>ROUND(IF(AQ31="7",BH31,0),2)</f>
        <v>0</v>
      </c>
      <c r="AE31" s="31">
        <f>ROUND(IF(AQ31="7",BI31,0),2)</f>
        <v>0</v>
      </c>
      <c r="AF31" s="31">
        <f>ROUND(IF(AQ31="2",BH31,0),2)</f>
        <v>0</v>
      </c>
      <c r="AG31" s="31">
        <f>ROUND(IF(AQ31="2",BI31,0),2)</f>
        <v>0</v>
      </c>
      <c r="AH31" s="31">
        <f>ROUND(IF(AQ31="0",BJ31,0),2)</f>
        <v>0</v>
      </c>
      <c r="AI31" s="11" t="s">
        <v>56</v>
      </c>
      <c r="AJ31" s="31">
        <f>IF(AN31=0,J31,0)</f>
        <v>0</v>
      </c>
      <c r="AK31" s="31">
        <f>IF(AN31=12,J31,0)</f>
        <v>0</v>
      </c>
      <c r="AL31" s="31">
        <f>IF(AN31=21,J31,0)</f>
        <v>0</v>
      </c>
      <c r="AN31" s="31">
        <v>21</v>
      </c>
      <c r="AO31" s="31">
        <f>G31*0.519985432</f>
        <v>0</v>
      </c>
      <c r="AP31" s="31">
        <f>G31*(1-0.519985432)</f>
        <v>0</v>
      </c>
      <c r="AQ31" s="34" t="s">
        <v>56</v>
      </c>
      <c r="AV31" s="31">
        <f>ROUND(AW31+AX31,2)</f>
        <v>0</v>
      </c>
      <c r="AW31" s="31">
        <f>ROUND(F31*AO31,2)</f>
        <v>0</v>
      </c>
      <c r="AX31" s="31">
        <f>ROUND(F31*AP31,2)</f>
        <v>0</v>
      </c>
      <c r="AY31" s="34" t="s">
        <v>93</v>
      </c>
      <c r="AZ31" s="34" t="s">
        <v>83</v>
      </c>
      <c r="BA31" s="11" t="s">
        <v>63</v>
      </c>
      <c r="BC31" s="31">
        <f>AW31+AX31</f>
        <v>0</v>
      </c>
      <c r="BD31" s="31">
        <f>G31/(100-BE31)*100</f>
        <v>0</v>
      </c>
      <c r="BE31" s="31">
        <v>0</v>
      </c>
      <c r="BF31" s="31">
        <f>31</f>
        <v>31</v>
      </c>
      <c r="BH31" s="31">
        <f>F31*AO31</f>
        <v>0</v>
      </c>
      <c r="BI31" s="31">
        <f>F31*AP31</f>
        <v>0</v>
      </c>
      <c r="BJ31" s="31">
        <f>F31*G31</f>
        <v>0</v>
      </c>
      <c r="BK31" s="34" t="s">
        <v>64</v>
      </c>
      <c r="BL31" s="31">
        <v>34</v>
      </c>
      <c r="BW31" s="31">
        <v>21</v>
      </c>
      <c r="BX31" s="5" t="s">
        <v>103</v>
      </c>
    </row>
    <row r="32" spans="1:76" ht="13.5" customHeight="1" x14ac:dyDescent="0.25">
      <c r="A32" s="35"/>
      <c r="C32" s="137" t="s">
        <v>104</v>
      </c>
      <c r="D32" s="138"/>
      <c r="E32" s="138"/>
      <c r="F32" s="138"/>
      <c r="G32" s="139"/>
      <c r="H32" s="138"/>
      <c r="I32" s="138"/>
      <c r="J32" s="138"/>
      <c r="K32" s="140"/>
    </row>
    <row r="33" spans="1:76" x14ac:dyDescent="0.25">
      <c r="A33" s="35"/>
      <c r="C33" s="36" t="s">
        <v>105</v>
      </c>
      <c r="D33" s="36" t="s">
        <v>52</v>
      </c>
      <c r="F33" s="37">
        <v>71.400000000000006</v>
      </c>
      <c r="K33" s="38"/>
    </row>
    <row r="34" spans="1:76" x14ac:dyDescent="0.25">
      <c r="A34" s="35"/>
      <c r="C34" s="36" t="s">
        <v>106</v>
      </c>
      <c r="D34" s="36" t="s">
        <v>52</v>
      </c>
      <c r="F34" s="37">
        <v>0</v>
      </c>
      <c r="K34" s="38"/>
    </row>
    <row r="35" spans="1:76" x14ac:dyDescent="0.25">
      <c r="A35" s="35"/>
      <c r="C35" s="36" t="s">
        <v>107</v>
      </c>
      <c r="D35" s="36" t="s">
        <v>108</v>
      </c>
      <c r="F35" s="37">
        <v>-5.5350000000000001</v>
      </c>
      <c r="K35" s="38"/>
    </row>
    <row r="36" spans="1:76" x14ac:dyDescent="0.25">
      <c r="A36" s="35"/>
      <c r="C36" s="36" t="s">
        <v>109</v>
      </c>
      <c r="D36" s="36" t="s">
        <v>110</v>
      </c>
      <c r="F36" s="37">
        <v>-0.81</v>
      </c>
      <c r="K36" s="38"/>
    </row>
    <row r="37" spans="1:76" x14ac:dyDescent="0.25">
      <c r="A37" s="35"/>
      <c r="C37" s="36" t="s">
        <v>111</v>
      </c>
      <c r="D37" s="36" t="s">
        <v>112</v>
      </c>
      <c r="F37" s="37">
        <v>-2.61</v>
      </c>
      <c r="K37" s="38"/>
    </row>
    <row r="38" spans="1:76" x14ac:dyDescent="0.25">
      <c r="A38" s="2" t="s">
        <v>113</v>
      </c>
      <c r="B38" s="3" t="s">
        <v>114</v>
      </c>
      <c r="C38" s="112" t="s">
        <v>115</v>
      </c>
      <c r="D38" s="107"/>
      <c r="E38" s="3" t="s">
        <v>59</v>
      </c>
      <c r="F38" s="31">
        <v>3.6</v>
      </c>
      <c r="G38" s="32">
        <v>0</v>
      </c>
      <c r="H38" s="31">
        <f>ROUND(F38*AO38,2)</f>
        <v>0</v>
      </c>
      <c r="I38" s="31">
        <f>ROUND(F38*AP38,2)</f>
        <v>0</v>
      </c>
      <c r="J38" s="31">
        <f>ROUND(F38*G38,2)</f>
        <v>0</v>
      </c>
      <c r="K38" s="33" t="s">
        <v>60</v>
      </c>
      <c r="Z38" s="31">
        <f>ROUND(IF(AQ38="5",BJ38,0),2)</f>
        <v>0</v>
      </c>
      <c r="AB38" s="31">
        <f>ROUND(IF(AQ38="1",BH38,0),2)</f>
        <v>0</v>
      </c>
      <c r="AC38" s="31">
        <f>ROUND(IF(AQ38="1",BI38,0),2)</f>
        <v>0</v>
      </c>
      <c r="AD38" s="31">
        <f>ROUND(IF(AQ38="7",BH38,0),2)</f>
        <v>0</v>
      </c>
      <c r="AE38" s="31">
        <f>ROUND(IF(AQ38="7",BI38,0),2)</f>
        <v>0</v>
      </c>
      <c r="AF38" s="31">
        <f>ROUND(IF(AQ38="2",BH38,0),2)</f>
        <v>0</v>
      </c>
      <c r="AG38" s="31">
        <f>ROUND(IF(AQ38="2",BI38,0),2)</f>
        <v>0</v>
      </c>
      <c r="AH38" s="31">
        <f>ROUND(IF(AQ38="0",BJ38,0),2)</f>
        <v>0</v>
      </c>
      <c r="AI38" s="11" t="s">
        <v>56</v>
      </c>
      <c r="AJ38" s="31">
        <f>IF(AN38=0,J38,0)</f>
        <v>0</v>
      </c>
      <c r="AK38" s="31">
        <f>IF(AN38=12,J38,0)</f>
        <v>0</v>
      </c>
      <c r="AL38" s="31">
        <f>IF(AN38=21,J38,0)</f>
        <v>0</v>
      </c>
      <c r="AN38" s="31">
        <v>21</v>
      </c>
      <c r="AO38" s="31">
        <f>G38*0.497166419</f>
        <v>0</v>
      </c>
      <c r="AP38" s="31">
        <f>G38*(1-0.497166419)</f>
        <v>0</v>
      </c>
      <c r="AQ38" s="34" t="s">
        <v>56</v>
      </c>
      <c r="AV38" s="31">
        <f>ROUND(AW38+AX38,2)</f>
        <v>0</v>
      </c>
      <c r="AW38" s="31">
        <f>ROUND(F38*AO38,2)</f>
        <v>0</v>
      </c>
      <c r="AX38" s="31">
        <f>ROUND(F38*AP38,2)</f>
        <v>0</v>
      </c>
      <c r="AY38" s="34" t="s">
        <v>93</v>
      </c>
      <c r="AZ38" s="34" t="s">
        <v>83</v>
      </c>
      <c r="BA38" s="11" t="s">
        <v>63</v>
      </c>
      <c r="BC38" s="31">
        <f>AW38+AX38</f>
        <v>0</v>
      </c>
      <c r="BD38" s="31">
        <f>G38/(100-BE38)*100</f>
        <v>0</v>
      </c>
      <c r="BE38" s="31">
        <v>0</v>
      </c>
      <c r="BF38" s="31">
        <f>38</f>
        <v>38</v>
      </c>
      <c r="BH38" s="31">
        <f>F38*AO38</f>
        <v>0</v>
      </c>
      <c r="BI38" s="31">
        <f>F38*AP38</f>
        <v>0</v>
      </c>
      <c r="BJ38" s="31">
        <f>F38*G38</f>
        <v>0</v>
      </c>
      <c r="BK38" s="34" t="s">
        <v>64</v>
      </c>
      <c r="BL38" s="31">
        <v>34</v>
      </c>
      <c r="BW38" s="31">
        <v>21</v>
      </c>
      <c r="BX38" s="5" t="s">
        <v>115</v>
      </c>
    </row>
    <row r="39" spans="1:76" x14ac:dyDescent="0.25">
      <c r="A39" s="35"/>
      <c r="C39" s="36" t="s">
        <v>116</v>
      </c>
      <c r="D39" s="36" t="s">
        <v>52</v>
      </c>
      <c r="F39" s="37">
        <v>3.6</v>
      </c>
      <c r="K39" s="38"/>
    </row>
    <row r="40" spans="1:76" x14ac:dyDescent="0.25">
      <c r="A40" s="2" t="s">
        <v>117</v>
      </c>
      <c r="B40" s="3" t="s">
        <v>118</v>
      </c>
      <c r="C40" s="112" t="s">
        <v>119</v>
      </c>
      <c r="D40" s="107"/>
      <c r="E40" s="3" t="s">
        <v>59</v>
      </c>
      <c r="F40" s="31">
        <v>2.0453999999999999</v>
      </c>
      <c r="G40" s="32">
        <v>0</v>
      </c>
      <c r="H40" s="31">
        <f>ROUND(F40*AO40,2)</f>
        <v>0</v>
      </c>
      <c r="I40" s="31">
        <f>ROUND(F40*AP40,2)</f>
        <v>0</v>
      </c>
      <c r="J40" s="31">
        <f>ROUND(F40*G40,2)</f>
        <v>0</v>
      </c>
      <c r="K40" s="33" t="s">
        <v>60</v>
      </c>
      <c r="Z40" s="31">
        <f>ROUND(IF(AQ40="5",BJ40,0),2)</f>
        <v>0</v>
      </c>
      <c r="AB40" s="31">
        <f>ROUND(IF(AQ40="1",BH40,0),2)</f>
        <v>0</v>
      </c>
      <c r="AC40" s="31">
        <f>ROUND(IF(AQ40="1",BI40,0),2)</f>
        <v>0</v>
      </c>
      <c r="AD40" s="31">
        <f>ROUND(IF(AQ40="7",BH40,0),2)</f>
        <v>0</v>
      </c>
      <c r="AE40" s="31">
        <f>ROUND(IF(AQ40="7",BI40,0),2)</f>
        <v>0</v>
      </c>
      <c r="AF40" s="31">
        <f>ROUND(IF(AQ40="2",BH40,0),2)</f>
        <v>0</v>
      </c>
      <c r="AG40" s="31">
        <f>ROUND(IF(AQ40="2",BI40,0),2)</f>
        <v>0</v>
      </c>
      <c r="AH40" s="31">
        <f>ROUND(IF(AQ40="0",BJ40,0),2)</f>
        <v>0</v>
      </c>
      <c r="AI40" s="11" t="s">
        <v>56</v>
      </c>
      <c r="AJ40" s="31">
        <f>IF(AN40=0,J40,0)</f>
        <v>0</v>
      </c>
      <c r="AK40" s="31">
        <f>IF(AN40=12,J40,0)</f>
        <v>0</v>
      </c>
      <c r="AL40" s="31">
        <f>IF(AN40=21,J40,0)</f>
        <v>0</v>
      </c>
      <c r="AN40" s="31">
        <v>21</v>
      </c>
      <c r="AO40" s="31">
        <f>G40*0.629989419</f>
        <v>0</v>
      </c>
      <c r="AP40" s="31">
        <f>G40*(1-0.629989419)</f>
        <v>0</v>
      </c>
      <c r="AQ40" s="34" t="s">
        <v>56</v>
      </c>
      <c r="AV40" s="31">
        <f>ROUND(AW40+AX40,2)</f>
        <v>0</v>
      </c>
      <c r="AW40" s="31">
        <f>ROUND(F40*AO40,2)</f>
        <v>0</v>
      </c>
      <c r="AX40" s="31">
        <f>ROUND(F40*AP40,2)</f>
        <v>0</v>
      </c>
      <c r="AY40" s="34" t="s">
        <v>93</v>
      </c>
      <c r="AZ40" s="34" t="s">
        <v>83</v>
      </c>
      <c r="BA40" s="11" t="s">
        <v>63</v>
      </c>
      <c r="BC40" s="31">
        <f>AW40+AX40</f>
        <v>0</v>
      </c>
      <c r="BD40" s="31">
        <f>G40/(100-BE40)*100</f>
        <v>0</v>
      </c>
      <c r="BE40" s="31">
        <v>0</v>
      </c>
      <c r="BF40" s="31">
        <f>40</f>
        <v>40</v>
      </c>
      <c r="BH40" s="31">
        <f>F40*AO40</f>
        <v>0</v>
      </c>
      <c r="BI40" s="31">
        <f>F40*AP40</f>
        <v>0</v>
      </c>
      <c r="BJ40" s="31">
        <f>F40*G40</f>
        <v>0</v>
      </c>
      <c r="BK40" s="34" t="s">
        <v>64</v>
      </c>
      <c r="BL40" s="31">
        <v>34</v>
      </c>
      <c r="BW40" s="31">
        <v>21</v>
      </c>
      <c r="BX40" s="5" t="s">
        <v>119</v>
      </c>
    </row>
    <row r="41" spans="1:76" x14ac:dyDescent="0.25">
      <c r="A41" s="35"/>
      <c r="C41" s="36" t="s">
        <v>120</v>
      </c>
      <c r="D41" s="36" t="s">
        <v>121</v>
      </c>
      <c r="F41" s="37">
        <v>5.8650000000000002</v>
      </c>
      <c r="K41" s="38"/>
    </row>
    <row r="42" spans="1:76" x14ac:dyDescent="0.25">
      <c r="A42" s="35"/>
      <c r="C42" s="36" t="s">
        <v>122</v>
      </c>
      <c r="D42" s="36" t="s">
        <v>123</v>
      </c>
      <c r="F42" s="37">
        <v>-3.4849999999999999</v>
      </c>
      <c r="K42" s="38"/>
    </row>
    <row r="43" spans="1:76" x14ac:dyDescent="0.25">
      <c r="A43" s="35"/>
      <c r="C43" s="36" t="s">
        <v>124</v>
      </c>
      <c r="D43" s="36" t="s">
        <v>125</v>
      </c>
      <c r="F43" s="37">
        <v>-0.33460000000000001</v>
      </c>
      <c r="K43" s="38"/>
    </row>
    <row r="44" spans="1:76" x14ac:dyDescent="0.25">
      <c r="A44" s="2" t="s">
        <v>126</v>
      </c>
      <c r="B44" s="3" t="s">
        <v>127</v>
      </c>
      <c r="C44" s="112" t="s">
        <v>128</v>
      </c>
      <c r="D44" s="107"/>
      <c r="E44" s="3" t="s">
        <v>81</v>
      </c>
      <c r="F44" s="31">
        <v>1</v>
      </c>
      <c r="G44" s="32">
        <v>0</v>
      </c>
      <c r="H44" s="31">
        <f>ROUND(F44*AO44,2)</f>
        <v>0</v>
      </c>
      <c r="I44" s="31">
        <f>ROUND(F44*AP44,2)</f>
        <v>0</v>
      </c>
      <c r="J44" s="31">
        <f>ROUND(F44*G44,2)</f>
        <v>0</v>
      </c>
      <c r="K44" s="33" t="s">
        <v>60</v>
      </c>
      <c r="Z44" s="31">
        <f>ROUND(IF(AQ44="5",BJ44,0),2)</f>
        <v>0</v>
      </c>
      <c r="AB44" s="31">
        <f>ROUND(IF(AQ44="1",BH44,0),2)</f>
        <v>0</v>
      </c>
      <c r="AC44" s="31">
        <f>ROUND(IF(AQ44="1",BI44,0),2)</f>
        <v>0</v>
      </c>
      <c r="AD44" s="31">
        <f>ROUND(IF(AQ44="7",BH44,0),2)</f>
        <v>0</v>
      </c>
      <c r="AE44" s="31">
        <f>ROUND(IF(AQ44="7",BI44,0),2)</f>
        <v>0</v>
      </c>
      <c r="AF44" s="31">
        <f>ROUND(IF(AQ44="2",BH44,0),2)</f>
        <v>0</v>
      </c>
      <c r="AG44" s="31">
        <f>ROUND(IF(AQ44="2",BI44,0),2)</f>
        <v>0</v>
      </c>
      <c r="AH44" s="31">
        <f>ROUND(IF(AQ44="0",BJ44,0),2)</f>
        <v>0</v>
      </c>
      <c r="AI44" s="11" t="s">
        <v>56</v>
      </c>
      <c r="AJ44" s="31">
        <f>IF(AN44=0,J44,0)</f>
        <v>0</v>
      </c>
      <c r="AK44" s="31">
        <f>IF(AN44=12,J44,0)</f>
        <v>0</v>
      </c>
      <c r="AL44" s="31">
        <f>IF(AN44=21,J44,0)</f>
        <v>0</v>
      </c>
      <c r="AN44" s="31">
        <v>21</v>
      </c>
      <c r="AO44" s="31">
        <f>G44*0.358081805</f>
        <v>0</v>
      </c>
      <c r="AP44" s="31">
        <f>G44*(1-0.358081805)</f>
        <v>0</v>
      </c>
      <c r="AQ44" s="34" t="s">
        <v>56</v>
      </c>
      <c r="AV44" s="31">
        <f>ROUND(AW44+AX44,2)</f>
        <v>0</v>
      </c>
      <c r="AW44" s="31">
        <f>ROUND(F44*AO44,2)</f>
        <v>0</v>
      </c>
      <c r="AX44" s="31">
        <f>ROUND(F44*AP44,2)</f>
        <v>0</v>
      </c>
      <c r="AY44" s="34" t="s">
        <v>93</v>
      </c>
      <c r="AZ44" s="34" t="s">
        <v>83</v>
      </c>
      <c r="BA44" s="11" t="s">
        <v>63</v>
      </c>
      <c r="BC44" s="31">
        <f>AW44+AX44</f>
        <v>0</v>
      </c>
      <c r="BD44" s="31">
        <f>G44/(100-BE44)*100</f>
        <v>0</v>
      </c>
      <c r="BE44" s="31">
        <v>0</v>
      </c>
      <c r="BF44" s="31">
        <f>44</f>
        <v>44</v>
      </c>
      <c r="BH44" s="31">
        <f>F44*AO44</f>
        <v>0</v>
      </c>
      <c r="BI44" s="31">
        <f>F44*AP44</f>
        <v>0</v>
      </c>
      <c r="BJ44" s="31">
        <f>F44*G44</f>
        <v>0</v>
      </c>
      <c r="BK44" s="34" t="s">
        <v>64</v>
      </c>
      <c r="BL44" s="31">
        <v>34</v>
      </c>
      <c r="BW44" s="31">
        <v>21</v>
      </c>
      <c r="BX44" s="5" t="s">
        <v>128</v>
      </c>
    </row>
    <row r="45" spans="1:76" x14ac:dyDescent="0.25">
      <c r="A45" s="35"/>
      <c r="C45" s="36" t="s">
        <v>99</v>
      </c>
      <c r="D45" s="36" t="s">
        <v>129</v>
      </c>
      <c r="F45" s="37">
        <v>0.5</v>
      </c>
      <c r="K45" s="38"/>
    </row>
    <row r="46" spans="1:76" x14ac:dyDescent="0.25">
      <c r="A46" s="35"/>
      <c r="C46" s="36" t="s">
        <v>99</v>
      </c>
      <c r="D46" s="36" t="s">
        <v>130</v>
      </c>
      <c r="F46" s="37">
        <v>0.5</v>
      </c>
      <c r="K46" s="38"/>
    </row>
    <row r="47" spans="1:76" x14ac:dyDescent="0.25">
      <c r="A47" s="2" t="s">
        <v>131</v>
      </c>
      <c r="B47" s="3" t="s">
        <v>132</v>
      </c>
      <c r="C47" s="112" t="s">
        <v>133</v>
      </c>
      <c r="D47" s="107"/>
      <c r="E47" s="3" t="s">
        <v>81</v>
      </c>
      <c r="F47" s="31">
        <v>1</v>
      </c>
      <c r="G47" s="32">
        <v>0</v>
      </c>
      <c r="H47" s="31">
        <f>ROUND(F47*AO47,2)</f>
        <v>0</v>
      </c>
      <c r="I47" s="31">
        <f>ROUND(F47*AP47,2)</f>
        <v>0</v>
      </c>
      <c r="J47" s="31">
        <f>ROUND(F47*G47,2)</f>
        <v>0</v>
      </c>
      <c r="K47" s="33" t="s">
        <v>60</v>
      </c>
      <c r="Z47" s="31">
        <f>ROUND(IF(AQ47="5",BJ47,0),2)</f>
        <v>0</v>
      </c>
      <c r="AB47" s="31">
        <f>ROUND(IF(AQ47="1",BH47,0),2)</f>
        <v>0</v>
      </c>
      <c r="AC47" s="31">
        <f>ROUND(IF(AQ47="1",BI47,0),2)</f>
        <v>0</v>
      </c>
      <c r="AD47" s="31">
        <f>ROUND(IF(AQ47="7",BH47,0),2)</f>
        <v>0</v>
      </c>
      <c r="AE47" s="31">
        <f>ROUND(IF(AQ47="7",BI47,0),2)</f>
        <v>0</v>
      </c>
      <c r="AF47" s="31">
        <f>ROUND(IF(AQ47="2",BH47,0),2)</f>
        <v>0</v>
      </c>
      <c r="AG47" s="31">
        <f>ROUND(IF(AQ47="2",BI47,0),2)</f>
        <v>0</v>
      </c>
      <c r="AH47" s="31">
        <f>ROUND(IF(AQ47="0",BJ47,0),2)</f>
        <v>0</v>
      </c>
      <c r="AI47" s="11" t="s">
        <v>56</v>
      </c>
      <c r="AJ47" s="31">
        <f>IF(AN47=0,J47,0)</f>
        <v>0</v>
      </c>
      <c r="AK47" s="31">
        <f>IF(AN47=12,J47,0)</f>
        <v>0</v>
      </c>
      <c r="AL47" s="31">
        <f>IF(AN47=21,J47,0)</f>
        <v>0</v>
      </c>
      <c r="AN47" s="31">
        <v>21</v>
      </c>
      <c r="AO47" s="31">
        <f>G47*0.492429614</f>
        <v>0</v>
      </c>
      <c r="AP47" s="31">
        <f>G47*(1-0.492429614)</f>
        <v>0</v>
      </c>
      <c r="AQ47" s="34" t="s">
        <v>56</v>
      </c>
      <c r="AV47" s="31">
        <f>ROUND(AW47+AX47,2)</f>
        <v>0</v>
      </c>
      <c r="AW47" s="31">
        <f>ROUND(F47*AO47,2)</f>
        <v>0</v>
      </c>
      <c r="AX47" s="31">
        <f>ROUND(F47*AP47,2)</f>
        <v>0</v>
      </c>
      <c r="AY47" s="34" t="s">
        <v>93</v>
      </c>
      <c r="AZ47" s="34" t="s">
        <v>83</v>
      </c>
      <c r="BA47" s="11" t="s">
        <v>63</v>
      </c>
      <c r="BC47" s="31">
        <f>AW47+AX47</f>
        <v>0</v>
      </c>
      <c r="BD47" s="31">
        <f>G47/(100-BE47)*100</f>
        <v>0</v>
      </c>
      <c r="BE47" s="31">
        <v>0</v>
      </c>
      <c r="BF47" s="31">
        <f>47</f>
        <v>47</v>
      </c>
      <c r="BH47" s="31">
        <f>F47*AO47</f>
        <v>0</v>
      </c>
      <c r="BI47" s="31">
        <f>F47*AP47</f>
        <v>0</v>
      </c>
      <c r="BJ47" s="31">
        <f>F47*G47</f>
        <v>0</v>
      </c>
      <c r="BK47" s="34" t="s">
        <v>64</v>
      </c>
      <c r="BL47" s="31">
        <v>34</v>
      </c>
      <c r="BW47" s="31">
        <v>21</v>
      </c>
      <c r="BX47" s="5" t="s">
        <v>133</v>
      </c>
    </row>
    <row r="48" spans="1:76" x14ac:dyDescent="0.25">
      <c r="A48" s="35"/>
      <c r="C48" s="36" t="s">
        <v>99</v>
      </c>
      <c r="D48" s="36" t="s">
        <v>134</v>
      </c>
      <c r="F48" s="37">
        <v>0.5</v>
      </c>
      <c r="K48" s="38"/>
    </row>
    <row r="49" spans="1:76" x14ac:dyDescent="0.25">
      <c r="A49" s="35"/>
      <c r="C49" s="36" t="s">
        <v>99</v>
      </c>
      <c r="D49" s="36" t="s">
        <v>130</v>
      </c>
      <c r="F49" s="37">
        <v>0.5</v>
      </c>
      <c r="K49" s="38"/>
    </row>
    <row r="50" spans="1:76" x14ac:dyDescent="0.25">
      <c r="A50" s="2" t="s">
        <v>135</v>
      </c>
      <c r="B50" s="3" t="s">
        <v>136</v>
      </c>
      <c r="C50" s="112" t="s">
        <v>137</v>
      </c>
      <c r="D50" s="107"/>
      <c r="E50" s="3" t="s">
        <v>138</v>
      </c>
      <c r="F50" s="31">
        <v>0.26400000000000001</v>
      </c>
      <c r="G50" s="32">
        <v>0</v>
      </c>
      <c r="H50" s="31">
        <f>ROUND(F50*AO50,2)</f>
        <v>0</v>
      </c>
      <c r="I50" s="31">
        <f>ROUND(F50*AP50,2)</f>
        <v>0</v>
      </c>
      <c r="J50" s="31">
        <f>ROUND(F50*G50,2)</f>
        <v>0</v>
      </c>
      <c r="K50" s="33" t="s">
        <v>60</v>
      </c>
      <c r="Z50" s="31">
        <f>ROUND(IF(AQ50="5",BJ50,0),2)</f>
        <v>0</v>
      </c>
      <c r="AB50" s="31">
        <f>ROUND(IF(AQ50="1",BH50,0),2)</f>
        <v>0</v>
      </c>
      <c r="AC50" s="31">
        <f>ROUND(IF(AQ50="1",BI50,0),2)</f>
        <v>0</v>
      </c>
      <c r="AD50" s="31">
        <f>ROUND(IF(AQ50="7",BH50,0),2)</f>
        <v>0</v>
      </c>
      <c r="AE50" s="31">
        <f>ROUND(IF(AQ50="7",BI50,0),2)</f>
        <v>0</v>
      </c>
      <c r="AF50" s="31">
        <f>ROUND(IF(AQ50="2",BH50,0),2)</f>
        <v>0</v>
      </c>
      <c r="AG50" s="31">
        <f>ROUND(IF(AQ50="2",BI50,0),2)</f>
        <v>0</v>
      </c>
      <c r="AH50" s="31">
        <f>ROUND(IF(AQ50="0",BJ50,0),2)</f>
        <v>0</v>
      </c>
      <c r="AI50" s="11" t="s">
        <v>56</v>
      </c>
      <c r="AJ50" s="31">
        <f>IF(AN50=0,J50,0)</f>
        <v>0</v>
      </c>
      <c r="AK50" s="31">
        <f>IF(AN50=12,J50,0)</f>
        <v>0</v>
      </c>
      <c r="AL50" s="31">
        <f>IF(AN50=21,J50,0)</f>
        <v>0</v>
      </c>
      <c r="AN50" s="31">
        <v>21</v>
      </c>
      <c r="AO50" s="31">
        <f>G50*0.736530954</f>
        <v>0</v>
      </c>
      <c r="AP50" s="31">
        <f>G50*(1-0.736530954)</f>
        <v>0</v>
      </c>
      <c r="AQ50" s="34" t="s">
        <v>56</v>
      </c>
      <c r="AV50" s="31">
        <f>ROUND(AW50+AX50,2)</f>
        <v>0</v>
      </c>
      <c r="AW50" s="31">
        <f>ROUND(F50*AO50,2)</f>
        <v>0</v>
      </c>
      <c r="AX50" s="31">
        <f>ROUND(F50*AP50,2)</f>
        <v>0</v>
      </c>
      <c r="AY50" s="34" t="s">
        <v>93</v>
      </c>
      <c r="AZ50" s="34" t="s">
        <v>83</v>
      </c>
      <c r="BA50" s="11" t="s">
        <v>63</v>
      </c>
      <c r="BC50" s="31">
        <f>AW50+AX50</f>
        <v>0</v>
      </c>
      <c r="BD50" s="31">
        <f>G50/(100-BE50)*100</f>
        <v>0</v>
      </c>
      <c r="BE50" s="31">
        <v>0</v>
      </c>
      <c r="BF50" s="31">
        <f>50</f>
        <v>50</v>
      </c>
      <c r="BH50" s="31">
        <f>F50*AO50</f>
        <v>0</v>
      </c>
      <c r="BI50" s="31">
        <f>F50*AP50</f>
        <v>0</v>
      </c>
      <c r="BJ50" s="31">
        <f>F50*G50</f>
        <v>0</v>
      </c>
      <c r="BK50" s="34" t="s">
        <v>64</v>
      </c>
      <c r="BL50" s="31">
        <v>34</v>
      </c>
      <c r="BW50" s="31">
        <v>21</v>
      </c>
      <c r="BX50" s="5" t="s">
        <v>137</v>
      </c>
    </row>
    <row r="51" spans="1:76" x14ac:dyDescent="0.25">
      <c r="A51" s="35"/>
      <c r="C51" s="36" t="s">
        <v>139</v>
      </c>
      <c r="D51" s="36" t="s">
        <v>140</v>
      </c>
      <c r="F51" s="37">
        <v>0.26400000000000001</v>
      </c>
      <c r="K51" s="38"/>
    </row>
    <row r="52" spans="1:76" x14ac:dyDescent="0.25">
      <c r="A52" s="2" t="s">
        <v>141</v>
      </c>
      <c r="B52" s="3" t="s">
        <v>142</v>
      </c>
      <c r="C52" s="112" t="s">
        <v>143</v>
      </c>
      <c r="D52" s="107"/>
      <c r="E52" s="3" t="s">
        <v>59</v>
      </c>
      <c r="F52" s="31">
        <v>4.8</v>
      </c>
      <c r="G52" s="32">
        <v>0</v>
      </c>
      <c r="H52" s="31">
        <f>ROUND(F52*AO52,2)</f>
        <v>0</v>
      </c>
      <c r="I52" s="31">
        <f>ROUND(F52*AP52,2)</f>
        <v>0</v>
      </c>
      <c r="J52" s="31">
        <f>ROUND(F52*G52,2)</f>
        <v>0</v>
      </c>
      <c r="K52" s="33" t="s">
        <v>60</v>
      </c>
      <c r="Z52" s="31">
        <f>ROUND(IF(AQ52="5",BJ52,0),2)</f>
        <v>0</v>
      </c>
      <c r="AB52" s="31">
        <f>ROUND(IF(AQ52="1",BH52,0),2)</f>
        <v>0</v>
      </c>
      <c r="AC52" s="31">
        <f>ROUND(IF(AQ52="1",BI52,0),2)</f>
        <v>0</v>
      </c>
      <c r="AD52" s="31">
        <f>ROUND(IF(AQ52="7",BH52,0),2)</f>
        <v>0</v>
      </c>
      <c r="AE52" s="31">
        <f>ROUND(IF(AQ52="7",BI52,0),2)</f>
        <v>0</v>
      </c>
      <c r="AF52" s="31">
        <f>ROUND(IF(AQ52="2",BH52,0),2)</f>
        <v>0</v>
      </c>
      <c r="AG52" s="31">
        <f>ROUND(IF(AQ52="2",BI52,0),2)</f>
        <v>0</v>
      </c>
      <c r="AH52" s="31">
        <f>ROUND(IF(AQ52="0",BJ52,0),2)</f>
        <v>0</v>
      </c>
      <c r="AI52" s="11" t="s">
        <v>56</v>
      </c>
      <c r="AJ52" s="31">
        <f>IF(AN52=0,J52,0)</f>
        <v>0</v>
      </c>
      <c r="AK52" s="31">
        <f>IF(AN52=12,J52,0)</f>
        <v>0</v>
      </c>
      <c r="AL52" s="31">
        <f>IF(AN52=21,J52,0)</f>
        <v>0</v>
      </c>
      <c r="AN52" s="31">
        <v>21</v>
      </c>
      <c r="AO52" s="31">
        <f>G52*0.320612272</f>
        <v>0</v>
      </c>
      <c r="AP52" s="31">
        <f>G52*(1-0.320612272)</f>
        <v>0</v>
      </c>
      <c r="AQ52" s="34" t="s">
        <v>56</v>
      </c>
      <c r="AV52" s="31">
        <f>ROUND(AW52+AX52,2)</f>
        <v>0</v>
      </c>
      <c r="AW52" s="31">
        <f>ROUND(F52*AO52,2)</f>
        <v>0</v>
      </c>
      <c r="AX52" s="31">
        <f>ROUND(F52*AP52,2)</f>
        <v>0</v>
      </c>
      <c r="AY52" s="34" t="s">
        <v>93</v>
      </c>
      <c r="AZ52" s="34" t="s">
        <v>83</v>
      </c>
      <c r="BA52" s="11" t="s">
        <v>63</v>
      </c>
      <c r="BC52" s="31">
        <f>AW52+AX52</f>
        <v>0</v>
      </c>
      <c r="BD52" s="31">
        <f>G52/(100-BE52)*100</f>
        <v>0</v>
      </c>
      <c r="BE52" s="31">
        <v>0</v>
      </c>
      <c r="BF52" s="31">
        <f>52</f>
        <v>52</v>
      </c>
      <c r="BH52" s="31">
        <f>F52*AO52</f>
        <v>0</v>
      </c>
      <c r="BI52" s="31">
        <f>F52*AP52</f>
        <v>0</v>
      </c>
      <c r="BJ52" s="31">
        <f>F52*G52</f>
        <v>0</v>
      </c>
      <c r="BK52" s="34" t="s">
        <v>64</v>
      </c>
      <c r="BL52" s="31">
        <v>34</v>
      </c>
      <c r="BW52" s="31">
        <v>21</v>
      </c>
      <c r="BX52" s="5" t="s">
        <v>143</v>
      </c>
    </row>
    <row r="53" spans="1:76" ht="13.5" customHeight="1" x14ac:dyDescent="0.25">
      <c r="A53" s="35"/>
      <c r="C53" s="137" t="s">
        <v>144</v>
      </c>
      <c r="D53" s="138"/>
      <c r="E53" s="138"/>
      <c r="F53" s="138"/>
      <c r="G53" s="139"/>
      <c r="H53" s="138"/>
      <c r="I53" s="138"/>
      <c r="J53" s="138"/>
      <c r="K53" s="140"/>
    </row>
    <row r="54" spans="1:76" x14ac:dyDescent="0.25">
      <c r="A54" s="35"/>
      <c r="C54" s="36" t="s">
        <v>145</v>
      </c>
      <c r="D54" s="36" t="s">
        <v>146</v>
      </c>
      <c r="F54" s="37">
        <v>4.8</v>
      </c>
      <c r="K54" s="38"/>
    </row>
    <row r="55" spans="1:76" x14ac:dyDescent="0.25">
      <c r="A55" s="2" t="s">
        <v>147</v>
      </c>
      <c r="B55" s="3" t="s">
        <v>102</v>
      </c>
      <c r="C55" s="112" t="s">
        <v>103</v>
      </c>
      <c r="D55" s="107"/>
      <c r="E55" s="3" t="s">
        <v>59</v>
      </c>
      <c r="F55" s="31">
        <v>2.7</v>
      </c>
      <c r="G55" s="32">
        <v>0</v>
      </c>
      <c r="H55" s="31">
        <f>ROUND(F55*AO55,2)</f>
        <v>0</v>
      </c>
      <c r="I55" s="31">
        <f>ROUND(F55*AP55,2)</f>
        <v>0</v>
      </c>
      <c r="J55" s="31">
        <f>ROUND(F55*G55,2)</f>
        <v>0</v>
      </c>
      <c r="K55" s="33" t="s">
        <v>60</v>
      </c>
      <c r="Z55" s="31">
        <f>ROUND(IF(AQ55="5",BJ55,0),2)</f>
        <v>0</v>
      </c>
      <c r="AB55" s="31">
        <f>ROUND(IF(AQ55="1",BH55,0),2)</f>
        <v>0</v>
      </c>
      <c r="AC55" s="31">
        <f>ROUND(IF(AQ55="1",BI55,0),2)</f>
        <v>0</v>
      </c>
      <c r="AD55" s="31">
        <f>ROUND(IF(AQ55="7",BH55,0),2)</f>
        <v>0</v>
      </c>
      <c r="AE55" s="31">
        <f>ROUND(IF(AQ55="7",BI55,0),2)</f>
        <v>0</v>
      </c>
      <c r="AF55" s="31">
        <f>ROUND(IF(AQ55="2",BH55,0),2)</f>
        <v>0</v>
      </c>
      <c r="AG55" s="31">
        <f>ROUND(IF(AQ55="2",BI55,0),2)</f>
        <v>0</v>
      </c>
      <c r="AH55" s="31">
        <f>ROUND(IF(AQ55="0",BJ55,0),2)</f>
        <v>0</v>
      </c>
      <c r="AI55" s="11" t="s">
        <v>56</v>
      </c>
      <c r="AJ55" s="31">
        <f>IF(AN55=0,J55,0)</f>
        <v>0</v>
      </c>
      <c r="AK55" s="31">
        <f>IF(AN55=12,J55,0)</f>
        <v>0</v>
      </c>
      <c r="AL55" s="31">
        <f>IF(AN55=21,J55,0)</f>
        <v>0</v>
      </c>
      <c r="AN55" s="31">
        <v>21</v>
      </c>
      <c r="AO55" s="31">
        <f>G55*0.519985617</f>
        <v>0</v>
      </c>
      <c r="AP55" s="31">
        <f>G55*(1-0.519985617)</f>
        <v>0</v>
      </c>
      <c r="AQ55" s="34" t="s">
        <v>56</v>
      </c>
      <c r="AV55" s="31">
        <f>ROUND(AW55+AX55,2)</f>
        <v>0</v>
      </c>
      <c r="AW55" s="31">
        <f>ROUND(F55*AO55,2)</f>
        <v>0</v>
      </c>
      <c r="AX55" s="31">
        <f>ROUND(F55*AP55,2)</f>
        <v>0</v>
      </c>
      <c r="AY55" s="34" t="s">
        <v>93</v>
      </c>
      <c r="AZ55" s="34" t="s">
        <v>83</v>
      </c>
      <c r="BA55" s="11" t="s">
        <v>63</v>
      </c>
      <c r="BC55" s="31">
        <f>AW55+AX55</f>
        <v>0</v>
      </c>
      <c r="BD55" s="31">
        <f>G55/(100-BE55)*100</f>
        <v>0</v>
      </c>
      <c r="BE55" s="31">
        <v>0</v>
      </c>
      <c r="BF55" s="31">
        <f>55</f>
        <v>55</v>
      </c>
      <c r="BH55" s="31">
        <f>F55*AO55</f>
        <v>0</v>
      </c>
      <c r="BI55" s="31">
        <f>F55*AP55</f>
        <v>0</v>
      </c>
      <c r="BJ55" s="31">
        <f>F55*G55</f>
        <v>0</v>
      </c>
      <c r="BK55" s="34" t="s">
        <v>64</v>
      </c>
      <c r="BL55" s="31">
        <v>34</v>
      </c>
      <c r="BW55" s="31">
        <v>21</v>
      </c>
      <c r="BX55" s="5" t="s">
        <v>103</v>
      </c>
    </row>
    <row r="56" spans="1:76" ht="13.5" customHeight="1" x14ac:dyDescent="0.25">
      <c r="A56" s="35"/>
      <c r="C56" s="137" t="s">
        <v>104</v>
      </c>
      <c r="D56" s="138"/>
      <c r="E56" s="138"/>
      <c r="F56" s="138"/>
      <c r="G56" s="139"/>
      <c r="H56" s="138"/>
      <c r="I56" s="138"/>
      <c r="J56" s="138"/>
      <c r="K56" s="140"/>
    </row>
    <row r="57" spans="1:76" x14ac:dyDescent="0.25">
      <c r="A57" s="35"/>
      <c r="C57" s="36" t="s">
        <v>148</v>
      </c>
      <c r="D57" s="36" t="s">
        <v>149</v>
      </c>
      <c r="F57" s="37">
        <v>2.7</v>
      </c>
      <c r="K57" s="38"/>
    </row>
    <row r="58" spans="1:76" x14ac:dyDescent="0.25">
      <c r="A58" s="39" t="s">
        <v>150</v>
      </c>
      <c r="B58" s="40" t="s">
        <v>151</v>
      </c>
      <c r="C58" s="135" t="s">
        <v>152</v>
      </c>
      <c r="D58" s="136"/>
      <c r="E58" s="40" t="s">
        <v>59</v>
      </c>
      <c r="F58" s="42">
        <v>-8.1</v>
      </c>
      <c r="G58" s="43">
        <v>0</v>
      </c>
      <c r="H58" s="42">
        <f>ROUND(F58*AO58,2)</f>
        <v>0</v>
      </c>
      <c r="I58" s="42">
        <f>ROUND(F58*AP58,2)</f>
        <v>0</v>
      </c>
      <c r="J58" s="42">
        <f>ROUND(F58*G58,2)</f>
        <v>0</v>
      </c>
      <c r="K58" s="44" t="s">
        <v>60</v>
      </c>
      <c r="Z58" s="31">
        <f>ROUND(IF(AQ58="5",BJ58,0),2)</f>
        <v>0</v>
      </c>
      <c r="AB58" s="31">
        <f>ROUND(IF(AQ58="1",BH58,0),2)</f>
        <v>0</v>
      </c>
      <c r="AC58" s="31">
        <f>ROUND(IF(AQ58="1",BI58,0),2)</f>
        <v>0</v>
      </c>
      <c r="AD58" s="31">
        <f>ROUND(IF(AQ58="7",BH58,0),2)</f>
        <v>0</v>
      </c>
      <c r="AE58" s="31">
        <f>ROUND(IF(AQ58="7",BI58,0),2)</f>
        <v>0</v>
      </c>
      <c r="AF58" s="31">
        <f>ROUND(IF(AQ58="2",BH58,0),2)</f>
        <v>0</v>
      </c>
      <c r="AG58" s="31">
        <f>ROUND(IF(AQ58="2",BI58,0),2)</f>
        <v>0</v>
      </c>
      <c r="AH58" s="31">
        <f>ROUND(IF(AQ58="0",BJ58,0),2)</f>
        <v>0</v>
      </c>
      <c r="AI58" s="11" t="s">
        <v>56</v>
      </c>
      <c r="AJ58" s="42">
        <f>IF(AN58=0,J58,0)</f>
        <v>0</v>
      </c>
      <c r="AK58" s="42">
        <f>IF(AN58=12,J58,0)</f>
        <v>0</v>
      </c>
      <c r="AL58" s="42">
        <f>IF(AN58=21,J58,0)</f>
        <v>0</v>
      </c>
      <c r="AN58" s="31">
        <v>21</v>
      </c>
      <c r="AO58" s="31">
        <f>G58*1</f>
        <v>0</v>
      </c>
      <c r="AP58" s="31">
        <f>G58*(1-1)</f>
        <v>0</v>
      </c>
      <c r="AQ58" s="45" t="s">
        <v>56</v>
      </c>
      <c r="AV58" s="31">
        <f>ROUND(AW58+AX58,2)</f>
        <v>0</v>
      </c>
      <c r="AW58" s="31">
        <f>ROUND(F58*AO58,2)</f>
        <v>0</v>
      </c>
      <c r="AX58" s="31">
        <f>ROUND(F58*AP58,2)</f>
        <v>0</v>
      </c>
      <c r="AY58" s="34" t="s">
        <v>93</v>
      </c>
      <c r="AZ58" s="34" t="s">
        <v>83</v>
      </c>
      <c r="BA58" s="11" t="s">
        <v>63</v>
      </c>
      <c r="BC58" s="31">
        <f>AW58+AX58</f>
        <v>0</v>
      </c>
      <c r="BD58" s="31">
        <f>G58/(100-BE58)*100</f>
        <v>0</v>
      </c>
      <c r="BE58" s="31">
        <v>0</v>
      </c>
      <c r="BF58" s="31">
        <f>58</f>
        <v>58</v>
      </c>
      <c r="BH58" s="42">
        <f>F58*AO58</f>
        <v>0</v>
      </c>
      <c r="BI58" s="42">
        <f>F58*AP58</f>
        <v>0</v>
      </c>
      <c r="BJ58" s="42">
        <f>F58*G58</f>
        <v>0</v>
      </c>
      <c r="BK58" s="45" t="s">
        <v>70</v>
      </c>
      <c r="BL58" s="31">
        <v>34</v>
      </c>
      <c r="BW58" s="31">
        <v>21</v>
      </c>
      <c r="BX58" s="41" t="s">
        <v>152</v>
      </c>
    </row>
    <row r="59" spans="1:76" x14ac:dyDescent="0.25">
      <c r="A59" s="35"/>
      <c r="C59" s="36" t="s">
        <v>153</v>
      </c>
      <c r="D59" s="36" t="s">
        <v>52</v>
      </c>
      <c r="F59" s="37">
        <v>0</v>
      </c>
      <c r="K59" s="38"/>
    </row>
    <row r="60" spans="1:76" x14ac:dyDescent="0.25">
      <c r="A60" s="35"/>
      <c r="C60" s="36" t="s">
        <v>154</v>
      </c>
      <c r="D60" s="36" t="s">
        <v>52</v>
      </c>
      <c r="F60" s="37">
        <v>-8.1</v>
      </c>
      <c r="K60" s="38"/>
    </row>
    <row r="61" spans="1:76" x14ac:dyDescent="0.25">
      <c r="A61" s="26" t="s">
        <v>52</v>
      </c>
      <c r="B61" s="27" t="s">
        <v>155</v>
      </c>
      <c r="C61" s="133" t="s">
        <v>156</v>
      </c>
      <c r="D61" s="134"/>
      <c r="E61" s="28" t="s">
        <v>4</v>
      </c>
      <c r="F61" s="28" t="s">
        <v>4</v>
      </c>
      <c r="G61" s="29" t="s">
        <v>4</v>
      </c>
      <c r="H61" s="1">
        <f>SUM(H62:H95)</f>
        <v>0</v>
      </c>
      <c r="I61" s="1">
        <f>SUM(I62:I95)</f>
        <v>0</v>
      </c>
      <c r="J61" s="1">
        <f>SUM(J62:J95)</f>
        <v>0</v>
      </c>
      <c r="K61" s="30" t="s">
        <v>52</v>
      </c>
      <c r="AI61" s="11" t="s">
        <v>56</v>
      </c>
      <c r="AS61" s="1">
        <f>SUM(AJ62:AJ95)</f>
        <v>0</v>
      </c>
      <c r="AT61" s="1">
        <f>SUM(AK62:AK95)</f>
        <v>0</v>
      </c>
      <c r="AU61" s="1">
        <f>SUM(AL62:AL95)</f>
        <v>0</v>
      </c>
    </row>
    <row r="62" spans="1:76" x14ac:dyDescent="0.25">
      <c r="A62" s="2" t="s">
        <v>157</v>
      </c>
      <c r="B62" s="3" t="s">
        <v>158</v>
      </c>
      <c r="C62" s="112" t="s">
        <v>159</v>
      </c>
      <c r="D62" s="107"/>
      <c r="E62" s="3" t="s">
        <v>59</v>
      </c>
      <c r="F62" s="31">
        <v>0.95850000000000002</v>
      </c>
      <c r="G62" s="32">
        <v>0</v>
      </c>
      <c r="H62" s="31">
        <f>ROUND(F62*AO62,2)</f>
        <v>0</v>
      </c>
      <c r="I62" s="31">
        <f>ROUND(F62*AP62,2)</f>
        <v>0</v>
      </c>
      <c r="J62" s="31">
        <f>ROUND(F62*G62,2)</f>
        <v>0</v>
      </c>
      <c r="K62" s="33" t="s">
        <v>60</v>
      </c>
      <c r="Z62" s="31">
        <f>ROUND(IF(AQ62="5",BJ62,0),2)</f>
        <v>0</v>
      </c>
      <c r="AB62" s="31">
        <f>ROUND(IF(AQ62="1",BH62,0),2)</f>
        <v>0</v>
      </c>
      <c r="AC62" s="31">
        <f>ROUND(IF(AQ62="1",BI62,0),2)</f>
        <v>0</v>
      </c>
      <c r="AD62" s="31">
        <f>ROUND(IF(AQ62="7",BH62,0),2)</f>
        <v>0</v>
      </c>
      <c r="AE62" s="31">
        <f>ROUND(IF(AQ62="7",BI62,0),2)</f>
        <v>0</v>
      </c>
      <c r="AF62" s="31">
        <f>ROUND(IF(AQ62="2",BH62,0),2)</f>
        <v>0</v>
      </c>
      <c r="AG62" s="31">
        <f>ROUND(IF(AQ62="2",BI62,0),2)</f>
        <v>0</v>
      </c>
      <c r="AH62" s="31">
        <f>ROUND(IF(AQ62="0",BJ62,0),2)</f>
        <v>0</v>
      </c>
      <c r="AI62" s="11" t="s">
        <v>56</v>
      </c>
      <c r="AJ62" s="31">
        <f>IF(AN62=0,J62,0)</f>
        <v>0</v>
      </c>
      <c r="AK62" s="31">
        <f>IF(AN62=12,J62,0)</f>
        <v>0</v>
      </c>
      <c r="AL62" s="31">
        <f>IF(AN62=21,J62,0)</f>
        <v>0</v>
      </c>
      <c r="AN62" s="31">
        <v>21</v>
      </c>
      <c r="AO62" s="31">
        <f>G62*0.809439319</f>
        <v>0</v>
      </c>
      <c r="AP62" s="31">
        <f>G62*(1-0.809439319)</f>
        <v>0</v>
      </c>
      <c r="AQ62" s="34" t="s">
        <v>56</v>
      </c>
      <c r="AV62" s="31">
        <f>ROUND(AW62+AX62,2)</f>
        <v>0</v>
      </c>
      <c r="AW62" s="31">
        <f>ROUND(F62*AO62,2)</f>
        <v>0</v>
      </c>
      <c r="AX62" s="31">
        <f>ROUND(F62*AP62,2)</f>
        <v>0</v>
      </c>
      <c r="AY62" s="34" t="s">
        <v>160</v>
      </c>
      <c r="AZ62" s="34" t="s">
        <v>161</v>
      </c>
      <c r="BA62" s="11" t="s">
        <v>63</v>
      </c>
      <c r="BC62" s="31">
        <f>AW62+AX62</f>
        <v>0</v>
      </c>
      <c r="BD62" s="31">
        <f>G62/(100-BE62)*100</f>
        <v>0</v>
      </c>
      <c r="BE62" s="31">
        <v>0</v>
      </c>
      <c r="BF62" s="31">
        <f>62</f>
        <v>62</v>
      </c>
      <c r="BH62" s="31">
        <f>F62*AO62</f>
        <v>0</v>
      </c>
      <c r="BI62" s="31">
        <f>F62*AP62</f>
        <v>0</v>
      </c>
      <c r="BJ62" s="31">
        <f>F62*G62</f>
        <v>0</v>
      </c>
      <c r="BK62" s="34" t="s">
        <v>64</v>
      </c>
      <c r="BL62" s="31">
        <v>61</v>
      </c>
      <c r="BW62" s="31">
        <v>21</v>
      </c>
      <c r="BX62" s="5" t="s">
        <v>159</v>
      </c>
    </row>
    <row r="63" spans="1:76" x14ac:dyDescent="0.25">
      <c r="A63" s="35"/>
      <c r="C63" s="36" t="s">
        <v>162</v>
      </c>
      <c r="D63" s="36" t="s">
        <v>163</v>
      </c>
      <c r="F63" s="37">
        <v>0.252</v>
      </c>
      <c r="K63" s="38"/>
    </row>
    <row r="64" spans="1:76" x14ac:dyDescent="0.25">
      <c r="A64" s="35"/>
      <c r="C64" s="36" t="s">
        <v>164</v>
      </c>
      <c r="D64" s="36" t="s">
        <v>165</v>
      </c>
      <c r="F64" s="37">
        <v>0.39250000000000002</v>
      </c>
      <c r="K64" s="38"/>
    </row>
    <row r="65" spans="1:76" x14ac:dyDescent="0.25">
      <c r="A65" s="35"/>
      <c r="C65" s="36" t="s">
        <v>166</v>
      </c>
      <c r="D65" s="36" t="s">
        <v>167</v>
      </c>
      <c r="F65" s="37">
        <v>0.314</v>
      </c>
      <c r="K65" s="38"/>
    </row>
    <row r="66" spans="1:76" x14ac:dyDescent="0.25">
      <c r="A66" s="2" t="s">
        <v>168</v>
      </c>
      <c r="B66" s="3" t="s">
        <v>169</v>
      </c>
      <c r="C66" s="112" t="s">
        <v>170</v>
      </c>
      <c r="D66" s="107"/>
      <c r="E66" s="3" t="s">
        <v>59</v>
      </c>
      <c r="F66" s="31">
        <v>11.1976</v>
      </c>
      <c r="G66" s="32">
        <v>0</v>
      </c>
      <c r="H66" s="31">
        <f>ROUND(F66*AO66,2)</f>
        <v>0</v>
      </c>
      <c r="I66" s="31">
        <f>ROUND(F66*AP66,2)</f>
        <v>0</v>
      </c>
      <c r="J66" s="31">
        <f>ROUND(F66*G66,2)</f>
        <v>0</v>
      </c>
      <c r="K66" s="33" t="s">
        <v>60</v>
      </c>
      <c r="Z66" s="31">
        <f>ROUND(IF(AQ66="5",BJ66,0),2)</f>
        <v>0</v>
      </c>
      <c r="AB66" s="31">
        <f>ROUND(IF(AQ66="1",BH66,0),2)</f>
        <v>0</v>
      </c>
      <c r="AC66" s="31">
        <f>ROUND(IF(AQ66="1",BI66,0),2)</f>
        <v>0</v>
      </c>
      <c r="AD66" s="31">
        <f>ROUND(IF(AQ66="7",BH66,0),2)</f>
        <v>0</v>
      </c>
      <c r="AE66" s="31">
        <f>ROUND(IF(AQ66="7",BI66,0),2)</f>
        <v>0</v>
      </c>
      <c r="AF66" s="31">
        <f>ROUND(IF(AQ66="2",BH66,0),2)</f>
        <v>0</v>
      </c>
      <c r="AG66" s="31">
        <f>ROUND(IF(AQ66="2",BI66,0),2)</f>
        <v>0</v>
      </c>
      <c r="AH66" s="31">
        <f>ROUND(IF(AQ66="0",BJ66,0),2)</f>
        <v>0</v>
      </c>
      <c r="AI66" s="11" t="s">
        <v>56</v>
      </c>
      <c r="AJ66" s="31">
        <f>IF(AN66=0,J66,0)</f>
        <v>0</v>
      </c>
      <c r="AK66" s="31">
        <f>IF(AN66=12,J66,0)</f>
        <v>0</v>
      </c>
      <c r="AL66" s="31">
        <f>IF(AN66=21,J66,0)</f>
        <v>0</v>
      </c>
      <c r="AN66" s="31">
        <v>21</v>
      </c>
      <c r="AO66" s="31">
        <f>G66*0.113660714</f>
        <v>0</v>
      </c>
      <c r="AP66" s="31">
        <f>G66*(1-0.113660714)</f>
        <v>0</v>
      </c>
      <c r="AQ66" s="34" t="s">
        <v>56</v>
      </c>
      <c r="AV66" s="31">
        <f>ROUND(AW66+AX66,2)</f>
        <v>0</v>
      </c>
      <c r="AW66" s="31">
        <f>ROUND(F66*AO66,2)</f>
        <v>0</v>
      </c>
      <c r="AX66" s="31">
        <f>ROUND(F66*AP66,2)</f>
        <v>0</v>
      </c>
      <c r="AY66" s="34" t="s">
        <v>160</v>
      </c>
      <c r="AZ66" s="34" t="s">
        <v>161</v>
      </c>
      <c r="BA66" s="11" t="s">
        <v>63</v>
      </c>
      <c r="BC66" s="31">
        <f>AW66+AX66</f>
        <v>0</v>
      </c>
      <c r="BD66" s="31">
        <f>G66/(100-BE66)*100</f>
        <v>0</v>
      </c>
      <c r="BE66" s="31">
        <v>0</v>
      </c>
      <c r="BF66" s="31">
        <f>66</f>
        <v>66</v>
      </c>
      <c r="BH66" s="31">
        <f>F66*AO66</f>
        <v>0</v>
      </c>
      <c r="BI66" s="31">
        <f>F66*AP66</f>
        <v>0</v>
      </c>
      <c r="BJ66" s="31">
        <f>F66*G66</f>
        <v>0</v>
      </c>
      <c r="BK66" s="34" t="s">
        <v>64</v>
      </c>
      <c r="BL66" s="31">
        <v>61</v>
      </c>
      <c r="BW66" s="31">
        <v>21</v>
      </c>
      <c r="BX66" s="5" t="s">
        <v>170</v>
      </c>
    </row>
    <row r="67" spans="1:76" ht="13.5" customHeight="1" x14ac:dyDescent="0.25">
      <c r="A67" s="35"/>
      <c r="C67" s="137" t="s">
        <v>171</v>
      </c>
      <c r="D67" s="138"/>
      <c r="E67" s="138"/>
      <c r="F67" s="138"/>
      <c r="G67" s="139"/>
      <c r="H67" s="138"/>
      <c r="I67" s="138"/>
      <c r="J67" s="138"/>
      <c r="K67" s="140"/>
    </row>
    <row r="68" spans="1:76" x14ac:dyDescent="0.25">
      <c r="A68" s="35"/>
      <c r="C68" s="36" t="s">
        <v>172</v>
      </c>
      <c r="D68" s="36" t="s">
        <v>173</v>
      </c>
      <c r="F68" s="37">
        <v>3.7976000000000001</v>
      </c>
      <c r="K68" s="38"/>
    </row>
    <row r="69" spans="1:76" x14ac:dyDescent="0.25">
      <c r="A69" s="35"/>
      <c r="C69" s="36" t="s">
        <v>174</v>
      </c>
      <c r="D69" s="36" t="s">
        <v>175</v>
      </c>
      <c r="F69" s="37">
        <v>7.4</v>
      </c>
      <c r="K69" s="38"/>
    </row>
    <row r="70" spans="1:76" x14ac:dyDescent="0.25">
      <c r="A70" s="2" t="s">
        <v>54</v>
      </c>
      <c r="B70" s="3" t="s">
        <v>176</v>
      </c>
      <c r="C70" s="112" t="s">
        <v>177</v>
      </c>
      <c r="D70" s="107"/>
      <c r="E70" s="3" t="s">
        <v>59</v>
      </c>
      <c r="F70" s="31">
        <v>69.944999999999993</v>
      </c>
      <c r="G70" s="32">
        <v>0</v>
      </c>
      <c r="H70" s="31">
        <f>ROUND(F70*AO70,2)</f>
        <v>0</v>
      </c>
      <c r="I70" s="31">
        <f>ROUND(F70*AP70,2)</f>
        <v>0</v>
      </c>
      <c r="J70" s="31">
        <f>ROUND(F70*G70,2)</f>
        <v>0</v>
      </c>
      <c r="K70" s="33" t="s">
        <v>60</v>
      </c>
      <c r="Z70" s="31">
        <f>ROUND(IF(AQ70="5",BJ70,0),2)</f>
        <v>0</v>
      </c>
      <c r="AB70" s="31">
        <f>ROUND(IF(AQ70="1",BH70,0),2)</f>
        <v>0</v>
      </c>
      <c r="AC70" s="31">
        <f>ROUND(IF(AQ70="1",BI70,0),2)</f>
        <v>0</v>
      </c>
      <c r="AD70" s="31">
        <f>ROUND(IF(AQ70="7",BH70,0),2)</f>
        <v>0</v>
      </c>
      <c r="AE70" s="31">
        <f>ROUND(IF(AQ70="7",BI70,0),2)</f>
        <v>0</v>
      </c>
      <c r="AF70" s="31">
        <f>ROUND(IF(AQ70="2",BH70,0),2)</f>
        <v>0</v>
      </c>
      <c r="AG70" s="31">
        <f>ROUND(IF(AQ70="2",BI70,0),2)</f>
        <v>0</v>
      </c>
      <c r="AH70" s="31">
        <f>ROUND(IF(AQ70="0",BJ70,0),2)</f>
        <v>0</v>
      </c>
      <c r="AI70" s="11" t="s">
        <v>56</v>
      </c>
      <c r="AJ70" s="31">
        <f>IF(AN70=0,J70,0)</f>
        <v>0</v>
      </c>
      <c r="AK70" s="31">
        <f>IF(AN70=12,J70,0)</f>
        <v>0</v>
      </c>
      <c r="AL70" s="31">
        <f>IF(AN70=21,J70,0)</f>
        <v>0</v>
      </c>
      <c r="AN70" s="31">
        <v>21</v>
      </c>
      <c r="AO70" s="31">
        <f>G70*0.224333405</f>
        <v>0</v>
      </c>
      <c r="AP70" s="31">
        <f>G70*(1-0.224333405)</f>
        <v>0</v>
      </c>
      <c r="AQ70" s="34" t="s">
        <v>56</v>
      </c>
      <c r="AV70" s="31">
        <f>ROUND(AW70+AX70,2)</f>
        <v>0</v>
      </c>
      <c r="AW70" s="31">
        <f>ROUND(F70*AO70,2)</f>
        <v>0</v>
      </c>
      <c r="AX70" s="31">
        <f>ROUND(F70*AP70,2)</f>
        <v>0</v>
      </c>
      <c r="AY70" s="34" t="s">
        <v>160</v>
      </c>
      <c r="AZ70" s="34" t="s">
        <v>161</v>
      </c>
      <c r="BA70" s="11" t="s">
        <v>63</v>
      </c>
      <c r="BC70" s="31">
        <f>AW70+AX70</f>
        <v>0</v>
      </c>
      <c r="BD70" s="31">
        <f>G70/(100-BE70)*100</f>
        <v>0</v>
      </c>
      <c r="BE70" s="31">
        <v>0</v>
      </c>
      <c r="BF70" s="31">
        <f>70</f>
        <v>70</v>
      </c>
      <c r="BH70" s="31">
        <f>F70*AO70</f>
        <v>0</v>
      </c>
      <c r="BI70" s="31">
        <f>F70*AP70</f>
        <v>0</v>
      </c>
      <c r="BJ70" s="31">
        <f>F70*G70</f>
        <v>0</v>
      </c>
      <c r="BK70" s="34" t="s">
        <v>64</v>
      </c>
      <c r="BL70" s="31">
        <v>61</v>
      </c>
      <c r="BW70" s="31">
        <v>21</v>
      </c>
      <c r="BX70" s="5" t="s">
        <v>177</v>
      </c>
    </row>
    <row r="71" spans="1:76" x14ac:dyDescent="0.25">
      <c r="A71" s="35"/>
      <c r="C71" s="36" t="s">
        <v>105</v>
      </c>
      <c r="D71" s="36" t="s">
        <v>178</v>
      </c>
      <c r="F71" s="37">
        <v>71.400000000000006</v>
      </c>
      <c r="K71" s="38"/>
    </row>
    <row r="72" spans="1:76" x14ac:dyDescent="0.25">
      <c r="A72" s="35"/>
      <c r="C72" s="36" t="s">
        <v>106</v>
      </c>
      <c r="D72" s="36" t="s">
        <v>52</v>
      </c>
      <c r="F72" s="37">
        <v>0</v>
      </c>
      <c r="K72" s="38"/>
    </row>
    <row r="73" spans="1:76" x14ac:dyDescent="0.25">
      <c r="A73" s="35"/>
      <c r="C73" s="36" t="s">
        <v>107</v>
      </c>
      <c r="D73" s="36" t="s">
        <v>108</v>
      </c>
      <c r="F73" s="37">
        <v>-5.5350000000000001</v>
      </c>
      <c r="K73" s="38"/>
    </row>
    <row r="74" spans="1:76" x14ac:dyDescent="0.25">
      <c r="A74" s="35"/>
      <c r="C74" s="36" t="s">
        <v>109</v>
      </c>
      <c r="D74" s="36" t="s">
        <v>110</v>
      </c>
      <c r="F74" s="37">
        <v>-0.81</v>
      </c>
      <c r="K74" s="38"/>
    </row>
    <row r="75" spans="1:76" x14ac:dyDescent="0.25">
      <c r="A75" s="35"/>
      <c r="C75" s="36" t="s">
        <v>111</v>
      </c>
      <c r="D75" s="36" t="s">
        <v>112</v>
      </c>
      <c r="F75" s="37">
        <v>-2.61</v>
      </c>
      <c r="K75" s="38"/>
    </row>
    <row r="76" spans="1:76" x14ac:dyDescent="0.25">
      <c r="A76" s="35"/>
      <c r="C76" s="36" t="s">
        <v>179</v>
      </c>
      <c r="D76" s="36" t="s">
        <v>149</v>
      </c>
      <c r="F76" s="37">
        <v>7.5</v>
      </c>
      <c r="K76" s="38"/>
    </row>
    <row r="77" spans="1:76" x14ac:dyDescent="0.25">
      <c r="A77" s="2" t="s">
        <v>180</v>
      </c>
      <c r="B77" s="3" t="s">
        <v>181</v>
      </c>
      <c r="C77" s="112" t="s">
        <v>182</v>
      </c>
      <c r="D77" s="107"/>
      <c r="E77" s="3" t="s">
        <v>81</v>
      </c>
      <c r="F77" s="31">
        <v>4</v>
      </c>
      <c r="G77" s="32">
        <v>0</v>
      </c>
      <c r="H77" s="31">
        <f>ROUND(F77*AO77,2)</f>
        <v>0</v>
      </c>
      <c r="I77" s="31">
        <f>ROUND(F77*AP77,2)</f>
        <v>0</v>
      </c>
      <c r="J77" s="31">
        <f>ROUND(F77*G77,2)</f>
        <v>0</v>
      </c>
      <c r="K77" s="33" t="s">
        <v>60</v>
      </c>
      <c r="Z77" s="31">
        <f>ROUND(IF(AQ77="5",BJ77,0),2)</f>
        <v>0</v>
      </c>
      <c r="AB77" s="31">
        <f>ROUND(IF(AQ77="1",BH77,0),2)</f>
        <v>0</v>
      </c>
      <c r="AC77" s="31">
        <f>ROUND(IF(AQ77="1",BI77,0),2)</f>
        <v>0</v>
      </c>
      <c r="AD77" s="31">
        <f>ROUND(IF(AQ77="7",BH77,0),2)</f>
        <v>0</v>
      </c>
      <c r="AE77" s="31">
        <f>ROUND(IF(AQ77="7",BI77,0),2)</f>
        <v>0</v>
      </c>
      <c r="AF77" s="31">
        <f>ROUND(IF(AQ77="2",BH77,0),2)</f>
        <v>0</v>
      </c>
      <c r="AG77" s="31">
        <f>ROUND(IF(AQ77="2",BI77,0),2)</f>
        <v>0</v>
      </c>
      <c r="AH77" s="31">
        <f>ROUND(IF(AQ77="0",BJ77,0),2)</f>
        <v>0</v>
      </c>
      <c r="AI77" s="11" t="s">
        <v>56</v>
      </c>
      <c r="AJ77" s="31">
        <f>IF(AN77=0,J77,0)</f>
        <v>0</v>
      </c>
      <c r="AK77" s="31">
        <f>IF(AN77=12,J77,0)</f>
        <v>0</v>
      </c>
      <c r="AL77" s="31">
        <f>IF(AN77=21,J77,0)</f>
        <v>0</v>
      </c>
      <c r="AN77" s="31">
        <v>21</v>
      </c>
      <c r="AO77" s="31">
        <f>G77*0.114342857</f>
        <v>0</v>
      </c>
      <c r="AP77" s="31">
        <f>G77*(1-0.114342857)</f>
        <v>0</v>
      </c>
      <c r="AQ77" s="34" t="s">
        <v>56</v>
      </c>
      <c r="AV77" s="31">
        <f>ROUND(AW77+AX77,2)</f>
        <v>0</v>
      </c>
      <c r="AW77" s="31">
        <f>ROUND(F77*AO77,2)</f>
        <v>0</v>
      </c>
      <c r="AX77" s="31">
        <f>ROUND(F77*AP77,2)</f>
        <v>0</v>
      </c>
      <c r="AY77" s="34" t="s">
        <v>160</v>
      </c>
      <c r="AZ77" s="34" t="s">
        <v>161</v>
      </c>
      <c r="BA77" s="11" t="s">
        <v>63</v>
      </c>
      <c r="BC77" s="31">
        <f>AW77+AX77</f>
        <v>0</v>
      </c>
      <c r="BD77" s="31">
        <f>G77/(100-BE77)*100</f>
        <v>0</v>
      </c>
      <c r="BE77" s="31">
        <v>0</v>
      </c>
      <c r="BF77" s="31">
        <f>77</f>
        <v>77</v>
      </c>
      <c r="BH77" s="31">
        <f>F77*AO77</f>
        <v>0</v>
      </c>
      <c r="BI77" s="31">
        <f>F77*AP77</f>
        <v>0</v>
      </c>
      <c r="BJ77" s="31">
        <f>F77*G77</f>
        <v>0</v>
      </c>
      <c r="BK77" s="34" t="s">
        <v>64</v>
      </c>
      <c r="BL77" s="31">
        <v>61</v>
      </c>
      <c r="BW77" s="31">
        <v>21</v>
      </c>
      <c r="BX77" s="5" t="s">
        <v>182</v>
      </c>
    </row>
    <row r="78" spans="1:76" x14ac:dyDescent="0.25">
      <c r="A78" s="35"/>
      <c r="C78" s="36" t="s">
        <v>183</v>
      </c>
      <c r="D78" s="36" t="s">
        <v>184</v>
      </c>
      <c r="F78" s="37">
        <v>4</v>
      </c>
      <c r="K78" s="38"/>
    </row>
    <row r="79" spans="1:76" x14ac:dyDescent="0.25">
      <c r="A79" s="2" t="s">
        <v>185</v>
      </c>
      <c r="B79" s="3" t="s">
        <v>186</v>
      </c>
      <c r="C79" s="112" t="s">
        <v>187</v>
      </c>
      <c r="D79" s="107"/>
      <c r="E79" s="3" t="s">
        <v>59</v>
      </c>
      <c r="F79" s="31">
        <v>91.045000000000002</v>
      </c>
      <c r="G79" s="32">
        <v>0</v>
      </c>
      <c r="H79" s="31">
        <f>ROUND(F79*AO79,2)</f>
        <v>0</v>
      </c>
      <c r="I79" s="31">
        <f>ROUND(F79*AP79,2)</f>
        <v>0</v>
      </c>
      <c r="J79" s="31">
        <f>ROUND(F79*G79,2)</f>
        <v>0</v>
      </c>
      <c r="K79" s="33" t="s">
        <v>60</v>
      </c>
      <c r="Z79" s="31">
        <f>ROUND(IF(AQ79="5",BJ79,0),2)</f>
        <v>0</v>
      </c>
      <c r="AB79" s="31">
        <f>ROUND(IF(AQ79="1",BH79,0),2)</f>
        <v>0</v>
      </c>
      <c r="AC79" s="31">
        <f>ROUND(IF(AQ79="1",BI79,0),2)</f>
        <v>0</v>
      </c>
      <c r="AD79" s="31">
        <f>ROUND(IF(AQ79="7",BH79,0),2)</f>
        <v>0</v>
      </c>
      <c r="AE79" s="31">
        <f>ROUND(IF(AQ79="7",BI79,0),2)</f>
        <v>0</v>
      </c>
      <c r="AF79" s="31">
        <f>ROUND(IF(AQ79="2",BH79,0),2)</f>
        <v>0</v>
      </c>
      <c r="AG79" s="31">
        <f>ROUND(IF(AQ79="2",BI79,0),2)</f>
        <v>0</v>
      </c>
      <c r="AH79" s="31">
        <f>ROUND(IF(AQ79="0",BJ79,0),2)</f>
        <v>0</v>
      </c>
      <c r="AI79" s="11" t="s">
        <v>56</v>
      </c>
      <c r="AJ79" s="31">
        <f>IF(AN79=0,J79,0)</f>
        <v>0</v>
      </c>
      <c r="AK79" s="31">
        <f>IF(AN79=12,J79,0)</f>
        <v>0</v>
      </c>
      <c r="AL79" s="31">
        <f>IF(AN79=21,J79,0)</f>
        <v>0</v>
      </c>
      <c r="AN79" s="31">
        <v>21</v>
      </c>
      <c r="AO79" s="31">
        <f>G79*0.267961843</f>
        <v>0</v>
      </c>
      <c r="AP79" s="31">
        <f>G79*(1-0.267961843)</f>
        <v>0</v>
      </c>
      <c r="AQ79" s="34" t="s">
        <v>56</v>
      </c>
      <c r="AV79" s="31">
        <f>ROUND(AW79+AX79,2)</f>
        <v>0</v>
      </c>
      <c r="AW79" s="31">
        <f>ROUND(F79*AO79,2)</f>
        <v>0</v>
      </c>
      <c r="AX79" s="31">
        <f>ROUND(F79*AP79,2)</f>
        <v>0</v>
      </c>
      <c r="AY79" s="34" t="s">
        <v>160</v>
      </c>
      <c r="AZ79" s="34" t="s">
        <v>161</v>
      </c>
      <c r="BA79" s="11" t="s">
        <v>63</v>
      </c>
      <c r="BC79" s="31">
        <f>AW79+AX79</f>
        <v>0</v>
      </c>
      <c r="BD79" s="31">
        <f>G79/(100-BE79)*100</f>
        <v>0</v>
      </c>
      <c r="BE79" s="31">
        <v>0</v>
      </c>
      <c r="BF79" s="31">
        <f>79</f>
        <v>79</v>
      </c>
      <c r="BH79" s="31">
        <f>F79*AO79</f>
        <v>0</v>
      </c>
      <c r="BI79" s="31">
        <f>F79*AP79</f>
        <v>0</v>
      </c>
      <c r="BJ79" s="31">
        <f>F79*G79</f>
        <v>0</v>
      </c>
      <c r="BK79" s="34" t="s">
        <v>64</v>
      </c>
      <c r="BL79" s="31">
        <v>61</v>
      </c>
      <c r="BW79" s="31">
        <v>21</v>
      </c>
      <c r="BX79" s="5" t="s">
        <v>187</v>
      </c>
    </row>
    <row r="80" spans="1:76" x14ac:dyDescent="0.25">
      <c r="A80" s="35"/>
      <c r="C80" s="36" t="s">
        <v>188</v>
      </c>
      <c r="D80" s="36" t="s">
        <v>52</v>
      </c>
      <c r="F80" s="37">
        <v>0</v>
      </c>
      <c r="K80" s="38"/>
    </row>
    <row r="81" spans="1:76" x14ac:dyDescent="0.25">
      <c r="A81" s="35"/>
      <c r="C81" s="36" t="s">
        <v>189</v>
      </c>
      <c r="D81" s="36" t="s">
        <v>190</v>
      </c>
      <c r="F81" s="37">
        <v>4.1399999999999997</v>
      </c>
      <c r="K81" s="38"/>
    </row>
    <row r="82" spans="1:76" x14ac:dyDescent="0.25">
      <c r="A82" s="35"/>
      <c r="C82" s="36" t="s">
        <v>191</v>
      </c>
      <c r="D82" s="36" t="s">
        <v>192</v>
      </c>
      <c r="F82" s="37">
        <v>2.64</v>
      </c>
      <c r="K82" s="38"/>
    </row>
    <row r="83" spans="1:76" x14ac:dyDescent="0.25">
      <c r="A83" s="35"/>
      <c r="C83" s="36" t="s">
        <v>193</v>
      </c>
      <c r="D83" s="36" t="s">
        <v>194</v>
      </c>
      <c r="F83" s="37">
        <v>2.64</v>
      </c>
      <c r="K83" s="38"/>
    </row>
    <row r="84" spans="1:76" x14ac:dyDescent="0.25">
      <c r="A84" s="35"/>
      <c r="C84" s="36" t="s">
        <v>195</v>
      </c>
      <c r="D84" s="36" t="s">
        <v>196</v>
      </c>
      <c r="F84" s="37">
        <v>1.1000000000000001</v>
      </c>
      <c r="K84" s="38"/>
    </row>
    <row r="85" spans="1:76" x14ac:dyDescent="0.25">
      <c r="A85" s="35"/>
      <c r="C85" s="36" t="s">
        <v>197</v>
      </c>
      <c r="D85" s="36" t="s">
        <v>198</v>
      </c>
      <c r="F85" s="37">
        <v>4.2750000000000004</v>
      </c>
      <c r="K85" s="38"/>
    </row>
    <row r="86" spans="1:76" x14ac:dyDescent="0.25">
      <c r="A86" s="35"/>
      <c r="C86" s="36" t="s">
        <v>199</v>
      </c>
      <c r="D86" s="36" t="s">
        <v>108</v>
      </c>
      <c r="F86" s="37">
        <v>33.21</v>
      </c>
      <c r="K86" s="38"/>
    </row>
    <row r="87" spans="1:76" x14ac:dyDescent="0.25">
      <c r="A87" s="35"/>
      <c r="C87" s="36" t="s">
        <v>200</v>
      </c>
      <c r="D87" s="36" t="s">
        <v>201</v>
      </c>
      <c r="F87" s="37">
        <v>6.75</v>
      </c>
      <c r="K87" s="38"/>
    </row>
    <row r="88" spans="1:76" x14ac:dyDescent="0.25">
      <c r="A88" s="35"/>
      <c r="C88" s="36" t="s">
        <v>202</v>
      </c>
      <c r="D88" s="36" t="s">
        <v>203</v>
      </c>
      <c r="F88" s="37">
        <v>3.28</v>
      </c>
      <c r="K88" s="38"/>
    </row>
    <row r="89" spans="1:76" x14ac:dyDescent="0.25">
      <c r="A89" s="35"/>
      <c r="C89" s="36" t="s">
        <v>204</v>
      </c>
      <c r="D89" s="36" t="s">
        <v>205</v>
      </c>
      <c r="F89" s="37">
        <v>8.61</v>
      </c>
      <c r="K89" s="38"/>
    </row>
    <row r="90" spans="1:76" x14ac:dyDescent="0.25">
      <c r="A90" s="35"/>
      <c r="C90" s="36" t="s">
        <v>206</v>
      </c>
      <c r="D90" s="36" t="s">
        <v>207</v>
      </c>
      <c r="F90" s="37">
        <v>15.4</v>
      </c>
      <c r="K90" s="38"/>
    </row>
    <row r="91" spans="1:76" x14ac:dyDescent="0.25">
      <c r="A91" s="35"/>
      <c r="C91" s="36" t="s">
        <v>208</v>
      </c>
      <c r="D91" s="36" t="s">
        <v>209</v>
      </c>
      <c r="F91" s="37">
        <v>7.2</v>
      </c>
      <c r="K91" s="38"/>
    </row>
    <row r="92" spans="1:76" x14ac:dyDescent="0.25">
      <c r="A92" s="35"/>
      <c r="C92" s="36" t="s">
        <v>210</v>
      </c>
      <c r="D92" s="36" t="s">
        <v>211</v>
      </c>
      <c r="F92" s="37">
        <v>1.8</v>
      </c>
      <c r="K92" s="38"/>
    </row>
    <row r="93" spans="1:76" x14ac:dyDescent="0.25">
      <c r="A93" s="2" t="s">
        <v>212</v>
      </c>
      <c r="B93" s="3" t="s">
        <v>213</v>
      </c>
      <c r="C93" s="112" t="s">
        <v>214</v>
      </c>
      <c r="D93" s="107"/>
      <c r="E93" s="3" t="s">
        <v>215</v>
      </c>
      <c r="F93" s="31">
        <v>57</v>
      </c>
      <c r="G93" s="32">
        <v>0</v>
      </c>
      <c r="H93" s="31">
        <f>ROUND(F93*AO93,2)</f>
        <v>0</v>
      </c>
      <c r="I93" s="31">
        <f>ROUND(F93*AP93,2)</f>
        <v>0</v>
      </c>
      <c r="J93" s="31">
        <f>ROUND(F93*G93,2)</f>
        <v>0</v>
      </c>
      <c r="K93" s="33" t="s">
        <v>60</v>
      </c>
      <c r="Z93" s="31">
        <f>ROUND(IF(AQ93="5",BJ93,0),2)</f>
        <v>0</v>
      </c>
      <c r="AB93" s="31">
        <f>ROUND(IF(AQ93="1",BH93,0),2)</f>
        <v>0</v>
      </c>
      <c r="AC93" s="31">
        <f>ROUND(IF(AQ93="1",BI93,0),2)</f>
        <v>0</v>
      </c>
      <c r="AD93" s="31">
        <f>ROUND(IF(AQ93="7",BH93,0),2)</f>
        <v>0</v>
      </c>
      <c r="AE93" s="31">
        <f>ROUND(IF(AQ93="7",BI93,0),2)</f>
        <v>0</v>
      </c>
      <c r="AF93" s="31">
        <f>ROUND(IF(AQ93="2",BH93,0),2)</f>
        <v>0</v>
      </c>
      <c r="AG93" s="31">
        <f>ROUND(IF(AQ93="2",BI93,0),2)</f>
        <v>0</v>
      </c>
      <c r="AH93" s="31">
        <f>ROUND(IF(AQ93="0",BJ93,0),2)</f>
        <v>0</v>
      </c>
      <c r="AI93" s="11" t="s">
        <v>56</v>
      </c>
      <c r="AJ93" s="31">
        <f>IF(AN93=0,J93,0)</f>
        <v>0</v>
      </c>
      <c r="AK93" s="31">
        <f>IF(AN93=12,J93,0)</f>
        <v>0</v>
      </c>
      <c r="AL93" s="31">
        <f>IF(AN93=21,J93,0)</f>
        <v>0</v>
      </c>
      <c r="AN93" s="31">
        <v>21</v>
      </c>
      <c r="AO93" s="31">
        <f>G93*1</f>
        <v>0</v>
      </c>
      <c r="AP93" s="31">
        <f>G93*(1-1)</f>
        <v>0</v>
      </c>
      <c r="AQ93" s="34" t="s">
        <v>56</v>
      </c>
      <c r="AV93" s="31">
        <f>ROUND(AW93+AX93,2)</f>
        <v>0</v>
      </c>
      <c r="AW93" s="31">
        <f>ROUND(F93*AO93,2)</f>
        <v>0</v>
      </c>
      <c r="AX93" s="31">
        <f>ROUND(F93*AP93,2)</f>
        <v>0</v>
      </c>
      <c r="AY93" s="34" t="s">
        <v>160</v>
      </c>
      <c r="AZ93" s="34" t="s">
        <v>161</v>
      </c>
      <c r="BA93" s="11" t="s">
        <v>63</v>
      </c>
      <c r="BC93" s="31">
        <f>AW93+AX93</f>
        <v>0</v>
      </c>
      <c r="BD93" s="31">
        <f>G93/(100-BE93)*100</f>
        <v>0</v>
      </c>
      <c r="BE93" s="31">
        <v>0</v>
      </c>
      <c r="BF93" s="31">
        <f>93</f>
        <v>93</v>
      </c>
      <c r="BH93" s="31">
        <f>F93*AO93</f>
        <v>0</v>
      </c>
      <c r="BI93" s="31">
        <f>F93*AP93</f>
        <v>0</v>
      </c>
      <c r="BJ93" s="31">
        <f>F93*G93</f>
        <v>0</v>
      </c>
      <c r="BK93" s="34" t="s">
        <v>64</v>
      </c>
      <c r="BL93" s="31">
        <v>61</v>
      </c>
      <c r="BW93" s="31">
        <v>21</v>
      </c>
      <c r="BX93" s="5" t="s">
        <v>214</v>
      </c>
    </row>
    <row r="94" spans="1:76" x14ac:dyDescent="0.25">
      <c r="A94" s="35"/>
      <c r="C94" s="36" t="s">
        <v>216</v>
      </c>
      <c r="D94" s="36" t="s">
        <v>217</v>
      </c>
      <c r="F94" s="37">
        <v>57</v>
      </c>
      <c r="K94" s="38"/>
    </row>
    <row r="95" spans="1:76" x14ac:dyDescent="0.25">
      <c r="A95" s="39" t="s">
        <v>218</v>
      </c>
      <c r="B95" s="40" t="s">
        <v>219</v>
      </c>
      <c r="C95" s="135" t="s">
        <v>220</v>
      </c>
      <c r="D95" s="136"/>
      <c r="E95" s="40" t="s">
        <v>215</v>
      </c>
      <c r="F95" s="42">
        <v>59.85</v>
      </c>
      <c r="G95" s="43">
        <v>0</v>
      </c>
      <c r="H95" s="42">
        <f>ROUND(F95*AO95,2)</f>
        <v>0</v>
      </c>
      <c r="I95" s="42">
        <f>ROUND(F95*AP95,2)</f>
        <v>0</v>
      </c>
      <c r="J95" s="42">
        <f>ROUND(F95*G95,2)</f>
        <v>0</v>
      </c>
      <c r="K95" s="44" t="s">
        <v>60</v>
      </c>
      <c r="Z95" s="31">
        <f>ROUND(IF(AQ95="5",BJ95,0),2)</f>
        <v>0</v>
      </c>
      <c r="AB95" s="31">
        <f>ROUND(IF(AQ95="1",BH95,0),2)</f>
        <v>0</v>
      </c>
      <c r="AC95" s="31">
        <f>ROUND(IF(AQ95="1",BI95,0),2)</f>
        <v>0</v>
      </c>
      <c r="AD95" s="31">
        <f>ROUND(IF(AQ95="7",BH95,0),2)</f>
        <v>0</v>
      </c>
      <c r="AE95" s="31">
        <f>ROUND(IF(AQ95="7",BI95,0),2)</f>
        <v>0</v>
      </c>
      <c r="AF95" s="31">
        <f>ROUND(IF(AQ95="2",BH95,0),2)</f>
        <v>0</v>
      </c>
      <c r="AG95" s="31">
        <f>ROUND(IF(AQ95="2",BI95,0),2)</f>
        <v>0</v>
      </c>
      <c r="AH95" s="31">
        <f>ROUND(IF(AQ95="0",BJ95,0),2)</f>
        <v>0</v>
      </c>
      <c r="AI95" s="11" t="s">
        <v>56</v>
      </c>
      <c r="AJ95" s="42">
        <f>IF(AN95=0,J95,0)</f>
        <v>0</v>
      </c>
      <c r="AK95" s="42">
        <f>IF(AN95=12,J95,0)</f>
        <v>0</v>
      </c>
      <c r="AL95" s="42">
        <f>IF(AN95=21,J95,0)</f>
        <v>0</v>
      </c>
      <c r="AN95" s="31">
        <v>21</v>
      </c>
      <c r="AO95" s="31">
        <f>G95*1</f>
        <v>0</v>
      </c>
      <c r="AP95" s="31">
        <f>G95*(1-1)</f>
        <v>0</v>
      </c>
      <c r="AQ95" s="45" t="s">
        <v>56</v>
      </c>
      <c r="AV95" s="31">
        <f>ROUND(AW95+AX95,2)</f>
        <v>0</v>
      </c>
      <c r="AW95" s="31">
        <f>ROUND(F95*AO95,2)</f>
        <v>0</v>
      </c>
      <c r="AX95" s="31">
        <f>ROUND(F95*AP95,2)</f>
        <v>0</v>
      </c>
      <c r="AY95" s="34" t="s">
        <v>160</v>
      </c>
      <c r="AZ95" s="34" t="s">
        <v>161</v>
      </c>
      <c r="BA95" s="11" t="s">
        <v>63</v>
      </c>
      <c r="BC95" s="31">
        <f>AW95+AX95</f>
        <v>0</v>
      </c>
      <c r="BD95" s="31">
        <f>G95/(100-BE95)*100</f>
        <v>0</v>
      </c>
      <c r="BE95" s="31">
        <v>0</v>
      </c>
      <c r="BF95" s="31">
        <f>95</f>
        <v>95</v>
      </c>
      <c r="BH95" s="42">
        <f>F95*AO95</f>
        <v>0</v>
      </c>
      <c r="BI95" s="42">
        <f>F95*AP95</f>
        <v>0</v>
      </c>
      <c r="BJ95" s="42">
        <f>F95*G95</f>
        <v>0</v>
      </c>
      <c r="BK95" s="45" t="s">
        <v>70</v>
      </c>
      <c r="BL95" s="31">
        <v>61</v>
      </c>
      <c r="BW95" s="31">
        <v>21</v>
      </c>
      <c r="BX95" s="41" t="s">
        <v>220</v>
      </c>
    </row>
    <row r="96" spans="1:76" x14ac:dyDescent="0.25">
      <c r="A96" s="35"/>
      <c r="C96" s="36" t="s">
        <v>216</v>
      </c>
      <c r="D96" s="36" t="s">
        <v>217</v>
      </c>
      <c r="F96" s="37">
        <v>57</v>
      </c>
      <c r="K96" s="38"/>
    </row>
    <row r="97" spans="1:76" x14ac:dyDescent="0.25">
      <c r="A97" s="35"/>
      <c r="C97" s="36" t="s">
        <v>221</v>
      </c>
      <c r="D97" s="36" t="s">
        <v>52</v>
      </c>
      <c r="F97" s="37">
        <v>2.85</v>
      </c>
      <c r="K97" s="38"/>
    </row>
    <row r="98" spans="1:76" x14ac:dyDescent="0.25">
      <c r="A98" s="26" t="s">
        <v>52</v>
      </c>
      <c r="B98" s="27" t="s">
        <v>222</v>
      </c>
      <c r="C98" s="133" t="s">
        <v>223</v>
      </c>
      <c r="D98" s="134"/>
      <c r="E98" s="28" t="s">
        <v>4</v>
      </c>
      <c r="F98" s="28" t="s">
        <v>4</v>
      </c>
      <c r="G98" s="29" t="s">
        <v>4</v>
      </c>
      <c r="H98" s="1">
        <f>SUM(H99:H99)</f>
        <v>0</v>
      </c>
      <c r="I98" s="1">
        <f>SUM(I99:I99)</f>
        <v>0</v>
      </c>
      <c r="J98" s="1">
        <f>SUM(J99:J99)</f>
        <v>0</v>
      </c>
      <c r="K98" s="30" t="s">
        <v>52</v>
      </c>
      <c r="AI98" s="11" t="s">
        <v>56</v>
      </c>
      <c r="AS98" s="1">
        <f>SUM(AJ99:AJ99)</f>
        <v>0</v>
      </c>
      <c r="AT98" s="1">
        <f>SUM(AK99:AK99)</f>
        <v>0</v>
      </c>
      <c r="AU98" s="1">
        <f>SUM(AL99:AL99)</f>
        <v>0</v>
      </c>
    </row>
    <row r="99" spans="1:76" x14ac:dyDescent="0.25">
      <c r="A99" s="2" t="s">
        <v>224</v>
      </c>
      <c r="B99" s="3" t="s">
        <v>225</v>
      </c>
      <c r="C99" s="112" t="s">
        <v>226</v>
      </c>
      <c r="D99" s="107"/>
      <c r="E99" s="3" t="s">
        <v>59</v>
      </c>
      <c r="F99" s="31">
        <v>30.954999999999998</v>
      </c>
      <c r="G99" s="32">
        <v>0</v>
      </c>
      <c r="H99" s="31">
        <f>ROUND(F99*AO99,2)</f>
        <v>0</v>
      </c>
      <c r="I99" s="31">
        <f>ROUND(F99*AP99,2)</f>
        <v>0</v>
      </c>
      <c r="J99" s="31">
        <f>ROUND(F99*G99,2)</f>
        <v>0</v>
      </c>
      <c r="K99" s="33" t="s">
        <v>60</v>
      </c>
      <c r="Z99" s="31">
        <f>ROUND(IF(AQ99="5",BJ99,0),2)</f>
        <v>0</v>
      </c>
      <c r="AB99" s="31">
        <f>ROUND(IF(AQ99="1",BH99,0),2)</f>
        <v>0</v>
      </c>
      <c r="AC99" s="31">
        <f>ROUND(IF(AQ99="1",BI99,0),2)</f>
        <v>0</v>
      </c>
      <c r="AD99" s="31">
        <f>ROUND(IF(AQ99="7",BH99,0),2)</f>
        <v>0</v>
      </c>
      <c r="AE99" s="31">
        <f>ROUND(IF(AQ99="7",BI99,0),2)</f>
        <v>0</v>
      </c>
      <c r="AF99" s="31">
        <f>ROUND(IF(AQ99="2",BH99,0),2)</f>
        <v>0</v>
      </c>
      <c r="AG99" s="31">
        <f>ROUND(IF(AQ99="2",BI99,0),2)</f>
        <v>0</v>
      </c>
      <c r="AH99" s="31">
        <f>ROUND(IF(AQ99="0",BJ99,0),2)</f>
        <v>0</v>
      </c>
      <c r="AI99" s="11" t="s">
        <v>56</v>
      </c>
      <c r="AJ99" s="31">
        <f>IF(AN99=0,J99,0)</f>
        <v>0</v>
      </c>
      <c r="AK99" s="31">
        <f>IF(AN99=12,J99,0)</f>
        <v>0</v>
      </c>
      <c r="AL99" s="31">
        <f>IF(AN99=21,J99,0)</f>
        <v>0</v>
      </c>
      <c r="AN99" s="31">
        <v>21</v>
      </c>
      <c r="AO99" s="31">
        <f>G99*0.277263912</f>
        <v>0</v>
      </c>
      <c r="AP99" s="31">
        <f>G99*(1-0.277263912)</f>
        <v>0</v>
      </c>
      <c r="AQ99" s="34" t="s">
        <v>56</v>
      </c>
      <c r="AV99" s="31">
        <f>ROUND(AW99+AX99,2)</f>
        <v>0</v>
      </c>
      <c r="AW99" s="31">
        <f>ROUND(F99*AO99,2)</f>
        <v>0</v>
      </c>
      <c r="AX99" s="31">
        <f>ROUND(F99*AP99,2)</f>
        <v>0</v>
      </c>
      <c r="AY99" s="34" t="s">
        <v>227</v>
      </c>
      <c r="AZ99" s="34" t="s">
        <v>161</v>
      </c>
      <c r="BA99" s="11" t="s">
        <v>63</v>
      </c>
      <c r="BC99" s="31">
        <f>AW99+AX99</f>
        <v>0</v>
      </c>
      <c r="BD99" s="31">
        <f>G99/(100-BE99)*100</f>
        <v>0</v>
      </c>
      <c r="BE99" s="31">
        <v>0</v>
      </c>
      <c r="BF99" s="31">
        <f>99</f>
        <v>99</v>
      </c>
      <c r="BH99" s="31">
        <f>F99*AO99</f>
        <v>0</v>
      </c>
      <c r="BI99" s="31">
        <f>F99*AP99</f>
        <v>0</v>
      </c>
      <c r="BJ99" s="31">
        <f>F99*G99</f>
        <v>0</v>
      </c>
      <c r="BK99" s="34" t="s">
        <v>64</v>
      </c>
      <c r="BL99" s="31">
        <v>63</v>
      </c>
      <c r="BW99" s="31">
        <v>21</v>
      </c>
      <c r="BX99" s="5" t="s">
        <v>226</v>
      </c>
    </row>
    <row r="100" spans="1:76" ht="13.5" customHeight="1" x14ac:dyDescent="0.25">
      <c r="A100" s="35"/>
      <c r="C100" s="137" t="s">
        <v>228</v>
      </c>
      <c r="D100" s="138"/>
      <c r="E100" s="138"/>
      <c r="F100" s="138"/>
      <c r="G100" s="139"/>
      <c r="H100" s="138"/>
      <c r="I100" s="138"/>
      <c r="J100" s="138"/>
      <c r="K100" s="140"/>
    </row>
    <row r="101" spans="1:76" x14ac:dyDescent="0.25">
      <c r="A101" s="35"/>
      <c r="C101" s="36" t="s">
        <v>229</v>
      </c>
      <c r="D101" s="36" t="s">
        <v>230</v>
      </c>
      <c r="F101" s="37">
        <v>20.035</v>
      </c>
      <c r="K101" s="38"/>
    </row>
    <row r="102" spans="1:76" x14ac:dyDescent="0.25">
      <c r="A102" s="35"/>
      <c r="C102" s="36" t="s">
        <v>231</v>
      </c>
      <c r="D102" s="36" t="s">
        <v>232</v>
      </c>
      <c r="F102" s="37">
        <v>4.5350000000000001</v>
      </c>
      <c r="K102" s="38"/>
    </row>
    <row r="103" spans="1:76" x14ac:dyDescent="0.25">
      <c r="A103" s="35"/>
      <c r="C103" s="36" t="s">
        <v>233</v>
      </c>
      <c r="D103" s="36" t="s">
        <v>234</v>
      </c>
      <c r="F103" s="37">
        <v>0.48</v>
      </c>
      <c r="K103" s="38"/>
    </row>
    <row r="104" spans="1:76" x14ac:dyDescent="0.25">
      <c r="A104" s="35"/>
      <c r="C104" s="36" t="s">
        <v>235</v>
      </c>
      <c r="D104" s="36" t="s">
        <v>236</v>
      </c>
      <c r="F104" s="37">
        <v>5.9050000000000002</v>
      </c>
      <c r="K104" s="38"/>
    </row>
    <row r="105" spans="1:76" x14ac:dyDescent="0.25">
      <c r="A105" s="26" t="s">
        <v>52</v>
      </c>
      <c r="B105" s="27" t="s">
        <v>237</v>
      </c>
      <c r="C105" s="133" t="s">
        <v>238</v>
      </c>
      <c r="D105" s="134"/>
      <c r="E105" s="28" t="s">
        <v>4</v>
      </c>
      <c r="F105" s="28" t="s">
        <v>4</v>
      </c>
      <c r="G105" s="29" t="s">
        <v>4</v>
      </c>
      <c r="H105" s="1">
        <f>SUM(H106:H114)</f>
        <v>0</v>
      </c>
      <c r="I105" s="1">
        <f>SUM(I106:I114)</f>
        <v>0</v>
      </c>
      <c r="J105" s="1">
        <f>SUM(J106:J114)</f>
        <v>0</v>
      </c>
      <c r="K105" s="30" t="s">
        <v>52</v>
      </c>
      <c r="AI105" s="11" t="s">
        <v>56</v>
      </c>
      <c r="AS105" s="1">
        <f>SUM(AJ106:AJ114)</f>
        <v>0</v>
      </c>
      <c r="AT105" s="1">
        <f>SUM(AK106:AK114)</f>
        <v>0</v>
      </c>
      <c r="AU105" s="1">
        <f>SUM(AL106:AL114)</f>
        <v>0</v>
      </c>
    </row>
    <row r="106" spans="1:76" x14ac:dyDescent="0.25">
      <c r="A106" s="2" t="s">
        <v>239</v>
      </c>
      <c r="B106" s="3" t="s">
        <v>240</v>
      </c>
      <c r="C106" s="112" t="s">
        <v>241</v>
      </c>
      <c r="D106" s="107"/>
      <c r="E106" s="3" t="s">
        <v>81</v>
      </c>
      <c r="F106" s="31">
        <v>1</v>
      </c>
      <c r="G106" s="32">
        <v>0</v>
      </c>
      <c r="H106" s="31">
        <f>ROUND(F106*AO106,2)</f>
        <v>0</v>
      </c>
      <c r="I106" s="31">
        <f>ROUND(F106*AP106,2)</f>
        <v>0</v>
      </c>
      <c r="J106" s="31">
        <f>ROUND(F106*G106,2)</f>
        <v>0</v>
      </c>
      <c r="K106" s="33" t="s">
        <v>242</v>
      </c>
      <c r="Z106" s="31">
        <f>ROUND(IF(AQ106="5",BJ106,0),2)</f>
        <v>0</v>
      </c>
      <c r="AB106" s="31">
        <f>ROUND(IF(AQ106="1",BH106,0),2)</f>
        <v>0</v>
      </c>
      <c r="AC106" s="31">
        <f>ROUND(IF(AQ106="1",BI106,0),2)</f>
        <v>0</v>
      </c>
      <c r="AD106" s="31">
        <f>ROUND(IF(AQ106="7",BH106,0),2)</f>
        <v>0</v>
      </c>
      <c r="AE106" s="31">
        <f>ROUND(IF(AQ106="7",BI106,0),2)</f>
        <v>0</v>
      </c>
      <c r="AF106" s="31">
        <f>ROUND(IF(AQ106="2",BH106,0),2)</f>
        <v>0</v>
      </c>
      <c r="AG106" s="31">
        <f>ROUND(IF(AQ106="2",BI106,0),2)</f>
        <v>0</v>
      </c>
      <c r="AH106" s="31">
        <f>ROUND(IF(AQ106="0",BJ106,0),2)</f>
        <v>0</v>
      </c>
      <c r="AI106" s="11" t="s">
        <v>56</v>
      </c>
      <c r="AJ106" s="31">
        <f>IF(AN106=0,J106,0)</f>
        <v>0</v>
      </c>
      <c r="AK106" s="31">
        <f>IF(AN106=12,J106,0)</f>
        <v>0</v>
      </c>
      <c r="AL106" s="31">
        <f>IF(AN106=21,J106,0)</f>
        <v>0</v>
      </c>
      <c r="AN106" s="31">
        <v>21</v>
      </c>
      <c r="AO106" s="31">
        <f>G106*0.738708637</f>
        <v>0</v>
      </c>
      <c r="AP106" s="31">
        <f>G106*(1-0.738708637)</f>
        <v>0</v>
      </c>
      <c r="AQ106" s="34" t="s">
        <v>56</v>
      </c>
      <c r="AV106" s="31">
        <f>ROUND(AW106+AX106,2)</f>
        <v>0</v>
      </c>
      <c r="AW106" s="31">
        <f>ROUND(F106*AO106,2)</f>
        <v>0</v>
      </c>
      <c r="AX106" s="31">
        <f>ROUND(F106*AP106,2)</f>
        <v>0</v>
      </c>
      <c r="AY106" s="34" t="s">
        <v>243</v>
      </c>
      <c r="AZ106" s="34" t="s">
        <v>161</v>
      </c>
      <c r="BA106" s="11" t="s">
        <v>63</v>
      </c>
      <c r="BC106" s="31">
        <f>AW106+AX106</f>
        <v>0</v>
      </c>
      <c r="BD106" s="31">
        <f>G106/(100-BE106)*100</f>
        <v>0</v>
      </c>
      <c r="BE106" s="31">
        <v>0</v>
      </c>
      <c r="BF106" s="31">
        <f>106</f>
        <v>106</v>
      </c>
      <c r="BH106" s="31">
        <f>F106*AO106</f>
        <v>0</v>
      </c>
      <c r="BI106" s="31">
        <f>F106*AP106</f>
        <v>0</v>
      </c>
      <c r="BJ106" s="31">
        <f>F106*G106</f>
        <v>0</v>
      </c>
      <c r="BK106" s="34" t="s">
        <v>64</v>
      </c>
      <c r="BL106" s="31">
        <v>64</v>
      </c>
      <c r="BW106" s="31">
        <v>21</v>
      </c>
      <c r="BX106" s="5" t="s">
        <v>241</v>
      </c>
    </row>
    <row r="107" spans="1:76" ht="13.5" customHeight="1" x14ac:dyDescent="0.25">
      <c r="A107" s="35"/>
      <c r="C107" s="137" t="s">
        <v>244</v>
      </c>
      <c r="D107" s="138"/>
      <c r="E107" s="138"/>
      <c r="F107" s="138"/>
      <c r="G107" s="139"/>
      <c r="H107" s="138"/>
      <c r="I107" s="138"/>
      <c r="J107" s="138"/>
      <c r="K107" s="140"/>
    </row>
    <row r="108" spans="1:76" x14ac:dyDescent="0.25">
      <c r="A108" s="2" t="s">
        <v>245</v>
      </c>
      <c r="B108" s="3" t="s">
        <v>240</v>
      </c>
      <c r="C108" s="112" t="s">
        <v>241</v>
      </c>
      <c r="D108" s="107"/>
      <c r="E108" s="3" t="s">
        <v>81</v>
      </c>
      <c r="F108" s="31">
        <v>1</v>
      </c>
      <c r="G108" s="32">
        <v>0</v>
      </c>
      <c r="H108" s="31">
        <f>ROUND(F108*AO108,2)</f>
        <v>0</v>
      </c>
      <c r="I108" s="31">
        <f>ROUND(F108*AP108,2)</f>
        <v>0</v>
      </c>
      <c r="J108" s="31">
        <f>ROUND(F108*G108,2)</f>
        <v>0</v>
      </c>
      <c r="K108" s="33" t="s">
        <v>242</v>
      </c>
      <c r="Z108" s="31">
        <f>ROUND(IF(AQ108="5",BJ108,0),2)</f>
        <v>0</v>
      </c>
      <c r="AB108" s="31">
        <f>ROUND(IF(AQ108="1",BH108,0),2)</f>
        <v>0</v>
      </c>
      <c r="AC108" s="31">
        <f>ROUND(IF(AQ108="1",BI108,0),2)</f>
        <v>0</v>
      </c>
      <c r="AD108" s="31">
        <f>ROUND(IF(AQ108="7",BH108,0),2)</f>
        <v>0</v>
      </c>
      <c r="AE108" s="31">
        <f>ROUND(IF(AQ108="7",BI108,0),2)</f>
        <v>0</v>
      </c>
      <c r="AF108" s="31">
        <f>ROUND(IF(AQ108="2",BH108,0),2)</f>
        <v>0</v>
      </c>
      <c r="AG108" s="31">
        <f>ROUND(IF(AQ108="2",BI108,0),2)</f>
        <v>0</v>
      </c>
      <c r="AH108" s="31">
        <f>ROUND(IF(AQ108="0",BJ108,0),2)</f>
        <v>0</v>
      </c>
      <c r="AI108" s="11" t="s">
        <v>56</v>
      </c>
      <c r="AJ108" s="31">
        <f>IF(AN108=0,J108,0)</f>
        <v>0</v>
      </c>
      <c r="AK108" s="31">
        <f>IF(AN108=12,J108,0)</f>
        <v>0</v>
      </c>
      <c r="AL108" s="31">
        <f>IF(AN108=21,J108,0)</f>
        <v>0</v>
      </c>
      <c r="AN108" s="31">
        <v>21</v>
      </c>
      <c r="AO108" s="31">
        <f>G108*0.738708637</f>
        <v>0</v>
      </c>
      <c r="AP108" s="31">
        <f>G108*(1-0.738708637)</f>
        <v>0</v>
      </c>
      <c r="AQ108" s="34" t="s">
        <v>56</v>
      </c>
      <c r="AV108" s="31">
        <f>ROUND(AW108+AX108,2)</f>
        <v>0</v>
      </c>
      <c r="AW108" s="31">
        <f>ROUND(F108*AO108,2)</f>
        <v>0</v>
      </c>
      <c r="AX108" s="31">
        <f>ROUND(F108*AP108,2)</f>
        <v>0</v>
      </c>
      <c r="AY108" s="34" t="s">
        <v>243</v>
      </c>
      <c r="AZ108" s="34" t="s">
        <v>161</v>
      </c>
      <c r="BA108" s="11" t="s">
        <v>63</v>
      </c>
      <c r="BC108" s="31">
        <f>AW108+AX108</f>
        <v>0</v>
      </c>
      <c r="BD108" s="31">
        <f>G108/(100-BE108)*100</f>
        <v>0</v>
      </c>
      <c r="BE108" s="31">
        <v>0</v>
      </c>
      <c r="BF108" s="31">
        <f>108</f>
        <v>108</v>
      </c>
      <c r="BH108" s="31">
        <f>F108*AO108</f>
        <v>0</v>
      </c>
      <c r="BI108" s="31">
        <f>F108*AP108</f>
        <v>0</v>
      </c>
      <c r="BJ108" s="31">
        <f>F108*G108</f>
        <v>0</v>
      </c>
      <c r="BK108" s="34" t="s">
        <v>64</v>
      </c>
      <c r="BL108" s="31">
        <v>64</v>
      </c>
      <c r="BW108" s="31">
        <v>21</v>
      </c>
      <c r="BX108" s="5" t="s">
        <v>241</v>
      </c>
    </row>
    <row r="109" spans="1:76" ht="13.5" customHeight="1" x14ac:dyDescent="0.25">
      <c r="A109" s="35"/>
      <c r="C109" s="137" t="s">
        <v>246</v>
      </c>
      <c r="D109" s="138"/>
      <c r="E109" s="138"/>
      <c r="F109" s="138"/>
      <c r="G109" s="139"/>
      <c r="H109" s="138"/>
      <c r="I109" s="138"/>
      <c r="J109" s="138"/>
      <c r="K109" s="140"/>
    </row>
    <row r="110" spans="1:76" x14ac:dyDescent="0.25">
      <c r="A110" s="2" t="s">
        <v>247</v>
      </c>
      <c r="B110" s="3" t="s">
        <v>248</v>
      </c>
      <c r="C110" s="112" t="s">
        <v>249</v>
      </c>
      <c r="D110" s="107"/>
      <c r="E110" s="3" t="s">
        <v>81</v>
      </c>
      <c r="F110" s="31">
        <v>5</v>
      </c>
      <c r="G110" s="32">
        <v>0</v>
      </c>
      <c r="H110" s="31">
        <f>ROUND(F110*AO110,2)</f>
        <v>0</v>
      </c>
      <c r="I110" s="31">
        <f>ROUND(F110*AP110,2)</f>
        <v>0</v>
      </c>
      <c r="J110" s="31">
        <f>ROUND(F110*G110,2)</f>
        <v>0</v>
      </c>
      <c r="K110" s="33" t="s">
        <v>60</v>
      </c>
      <c r="Z110" s="31">
        <f>ROUND(IF(AQ110="5",BJ110,0),2)</f>
        <v>0</v>
      </c>
      <c r="AB110" s="31">
        <f>ROUND(IF(AQ110="1",BH110,0),2)</f>
        <v>0</v>
      </c>
      <c r="AC110" s="31">
        <f>ROUND(IF(AQ110="1",BI110,0),2)</f>
        <v>0</v>
      </c>
      <c r="AD110" s="31">
        <f>ROUND(IF(AQ110="7",BH110,0),2)</f>
        <v>0</v>
      </c>
      <c r="AE110" s="31">
        <f>ROUND(IF(AQ110="7",BI110,0),2)</f>
        <v>0</v>
      </c>
      <c r="AF110" s="31">
        <f>ROUND(IF(AQ110="2",BH110,0),2)</f>
        <v>0</v>
      </c>
      <c r="AG110" s="31">
        <f>ROUND(IF(AQ110="2",BI110,0),2)</f>
        <v>0</v>
      </c>
      <c r="AH110" s="31">
        <f>ROUND(IF(AQ110="0",BJ110,0),2)</f>
        <v>0</v>
      </c>
      <c r="AI110" s="11" t="s">
        <v>56</v>
      </c>
      <c r="AJ110" s="31">
        <f>IF(AN110=0,J110,0)</f>
        <v>0</v>
      </c>
      <c r="AK110" s="31">
        <f>IF(AN110=12,J110,0)</f>
        <v>0</v>
      </c>
      <c r="AL110" s="31">
        <f>IF(AN110=21,J110,0)</f>
        <v>0</v>
      </c>
      <c r="AN110" s="31">
        <v>21</v>
      </c>
      <c r="AO110" s="31">
        <f>G110*0</f>
        <v>0</v>
      </c>
      <c r="AP110" s="31">
        <f>G110*(1-0)</f>
        <v>0</v>
      </c>
      <c r="AQ110" s="34" t="s">
        <v>56</v>
      </c>
      <c r="AV110" s="31">
        <f>ROUND(AW110+AX110,2)</f>
        <v>0</v>
      </c>
      <c r="AW110" s="31">
        <f>ROUND(F110*AO110,2)</f>
        <v>0</v>
      </c>
      <c r="AX110" s="31">
        <f>ROUND(F110*AP110,2)</f>
        <v>0</v>
      </c>
      <c r="AY110" s="34" t="s">
        <v>243</v>
      </c>
      <c r="AZ110" s="34" t="s">
        <v>161</v>
      </c>
      <c r="BA110" s="11" t="s">
        <v>63</v>
      </c>
      <c r="BC110" s="31">
        <f>AW110+AX110</f>
        <v>0</v>
      </c>
      <c r="BD110" s="31">
        <f>G110/(100-BE110)*100</f>
        <v>0</v>
      </c>
      <c r="BE110" s="31">
        <v>0</v>
      </c>
      <c r="BF110" s="31">
        <f>110</f>
        <v>110</v>
      </c>
      <c r="BH110" s="31">
        <f>F110*AO110</f>
        <v>0</v>
      </c>
      <c r="BI110" s="31">
        <f>F110*AP110</f>
        <v>0</v>
      </c>
      <c r="BJ110" s="31">
        <f>F110*G110</f>
        <v>0</v>
      </c>
      <c r="BK110" s="34" t="s">
        <v>64</v>
      </c>
      <c r="BL110" s="31">
        <v>64</v>
      </c>
      <c r="BW110" s="31">
        <v>21</v>
      </c>
      <c r="BX110" s="5" t="s">
        <v>249</v>
      </c>
    </row>
    <row r="111" spans="1:76" x14ac:dyDescent="0.25">
      <c r="A111" s="35"/>
      <c r="C111" s="36" t="s">
        <v>250</v>
      </c>
      <c r="D111" s="36" t="s">
        <v>52</v>
      </c>
      <c r="F111" s="37">
        <v>5</v>
      </c>
      <c r="K111" s="38"/>
    </row>
    <row r="112" spans="1:76" ht="25.5" x14ac:dyDescent="0.25">
      <c r="A112" s="39" t="s">
        <v>251</v>
      </c>
      <c r="B112" s="40" t="s">
        <v>252</v>
      </c>
      <c r="C112" s="135" t="s">
        <v>253</v>
      </c>
      <c r="D112" s="136"/>
      <c r="E112" s="40" t="s">
        <v>81</v>
      </c>
      <c r="F112" s="42">
        <v>3</v>
      </c>
      <c r="G112" s="43">
        <v>0</v>
      </c>
      <c r="H112" s="42">
        <f>ROUND(F112*AO112,2)</f>
        <v>0</v>
      </c>
      <c r="I112" s="42">
        <f>ROUND(F112*AP112,2)</f>
        <v>0</v>
      </c>
      <c r="J112" s="42">
        <f>ROUND(F112*G112,2)</f>
        <v>0</v>
      </c>
      <c r="K112" s="44" t="s">
        <v>60</v>
      </c>
      <c r="Z112" s="31">
        <f>ROUND(IF(AQ112="5",BJ112,0),2)</f>
        <v>0</v>
      </c>
      <c r="AB112" s="31">
        <f>ROUND(IF(AQ112="1",BH112,0),2)</f>
        <v>0</v>
      </c>
      <c r="AC112" s="31">
        <f>ROUND(IF(AQ112="1",BI112,0),2)</f>
        <v>0</v>
      </c>
      <c r="AD112" s="31">
        <f>ROUND(IF(AQ112="7",BH112,0),2)</f>
        <v>0</v>
      </c>
      <c r="AE112" s="31">
        <f>ROUND(IF(AQ112="7",BI112,0),2)</f>
        <v>0</v>
      </c>
      <c r="AF112" s="31">
        <f>ROUND(IF(AQ112="2",BH112,0),2)</f>
        <v>0</v>
      </c>
      <c r="AG112" s="31">
        <f>ROUND(IF(AQ112="2",BI112,0),2)</f>
        <v>0</v>
      </c>
      <c r="AH112" s="31">
        <f>ROUND(IF(AQ112="0",BJ112,0),2)</f>
        <v>0</v>
      </c>
      <c r="AI112" s="11" t="s">
        <v>56</v>
      </c>
      <c r="AJ112" s="42">
        <f>IF(AN112=0,J112,0)</f>
        <v>0</v>
      </c>
      <c r="AK112" s="42">
        <f>IF(AN112=12,J112,0)</f>
        <v>0</v>
      </c>
      <c r="AL112" s="42">
        <f>IF(AN112=21,J112,0)</f>
        <v>0</v>
      </c>
      <c r="AN112" s="31">
        <v>21</v>
      </c>
      <c r="AO112" s="31">
        <f>G112*1</f>
        <v>0</v>
      </c>
      <c r="AP112" s="31">
        <f>G112*(1-1)</f>
        <v>0</v>
      </c>
      <c r="AQ112" s="45" t="s">
        <v>56</v>
      </c>
      <c r="AV112" s="31">
        <f>ROUND(AW112+AX112,2)</f>
        <v>0</v>
      </c>
      <c r="AW112" s="31">
        <f>ROUND(F112*AO112,2)</f>
        <v>0</v>
      </c>
      <c r="AX112" s="31">
        <f>ROUND(F112*AP112,2)</f>
        <v>0</v>
      </c>
      <c r="AY112" s="34" t="s">
        <v>243</v>
      </c>
      <c r="AZ112" s="34" t="s">
        <v>161</v>
      </c>
      <c r="BA112" s="11" t="s">
        <v>63</v>
      </c>
      <c r="BC112" s="31">
        <f>AW112+AX112</f>
        <v>0</v>
      </c>
      <c r="BD112" s="31">
        <f>G112/(100-BE112)*100</f>
        <v>0</v>
      </c>
      <c r="BE112" s="31">
        <v>0</v>
      </c>
      <c r="BF112" s="31">
        <f>112</f>
        <v>112</v>
      </c>
      <c r="BH112" s="42">
        <f>F112*AO112</f>
        <v>0</v>
      </c>
      <c r="BI112" s="42">
        <f>F112*AP112</f>
        <v>0</v>
      </c>
      <c r="BJ112" s="42">
        <f>F112*G112</f>
        <v>0</v>
      </c>
      <c r="BK112" s="45" t="s">
        <v>70</v>
      </c>
      <c r="BL112" s="31">
        <v>64</v>
      </c>
      <c r="BW112" s="31">
        <v>21</v>
      </c>
      <c r="BX112" s="41" t="s">
        <v>253</v>
      </c>
    </row>
    <row r="113" spans="1:76" ht="25.5" x14ac:dyDescent="0.25">
      <c r="A113" s="39" t="s">
        <v>254</v>
      </c>
      <c r="B113" s="40" t="s">
        <v>240</v>
      </c>
      <c r="C113" s="135" t="s">
        <v>255</v>
      </c>
      <c r="D113" s="136"/>
      <c r="E113" s="40" t="s">
        <v>81</v>
      </c>
      <c r="F113" s="42">
        <v>1</v>
      </c>
      <c r="G113" s="43">
        <v>0</v>
      </c>
      <c r="H113" s="42">
        <f>ROUND(F113*AO113,2)</f>
        <v>0</v>
      </c>
      <c r="I113" s="42">
        <f>ROUND(F113*AP113,2)</f>
        <v>0</v>
      </c>
      <c r="J113" s="42">
        <f>ROUND(F113*G113,2)</f>
        <v>0</v>
      </c>
      <c r="K113" s="44" t="s">
        <v>242</v>
      </c>
      <c r="Z113" s="31">
        <f>ROUND(IF(AQ113="5",BJ113,0),2)</f>
        <v>0</v>
      </c>
      <c r="AB113" s="31">
        <f>ROUND(IF(AQ113="1",BH113,0),2)</f>
        <v>0</v>
      </c>
      <c r="AC113" s="31">
        <f>ROUND(IF(AQ113="1",BI113,0),2)</f>
        <v>0</v>
      </c>
      <c r="AD113" s="31">
        <f>ROUND(IF(AQ113="7",BH113,0),2)</f>
        <v>0</v>
      </c>
      <c r="AE113" s="31">
        <f>ROUND(IF(AQ113="7",BI113,0),2)</f>
        <v>0</v>
      </c>
      <c r="AF113" s="31">
        <f>ROUND(IF(AQ113="2",BH113,0),2)</f>
        <v>0</v>
      </c>
      <c r="AG113" s="31">
        <f>ROUND(IF(AQ113="2",BI113,0),2)</f>
        <v>0</v>
      </c>
      <c r="AH113" s="31">
        <f>ROUND(IF(AQ113="0",BJ113,0),2)</f>
        <v>0</v>
      </c>
      <c r="AI113" s="11" t="s">
        <v>56</v>
      </c>
      <c r="AJ113" s="42">
        <f>IF(AN113=0,J113,0)</f>
        <v>0</v>
      </c>
      <c r="AK113" s="42">
        <f>IF(AN113=12,J113,0)</f>
        <v>0</v>
      </c>
      <c r="AL113" s="42">
        <f>IF(AN113=21,J113,0)</f>
        <v>0</v>
      </c>
      <c r="AN113" s="31">
        <v>21</v>
      </c>
      <c r="AO113" s="31">
        <f>G113*1</f>
        <v>0</v>
      </c>
      <c r="AP113" s="31">
        <f>G113*(1-1)</f>
        <v>0</v>
      </c>
      <c r="AQ113" s="45" t="s">
        <v>56</v>
      </c>
      <c r="AV113" s="31">
        <f>ROUND(AW113+AX113,2)</f>
        <v>0</v>
      </c>
      <c r="AW113" s="31">
        <f>ROUND(F113*AO113,2)</f>
        <v>0</v>
      </c>
      <c r="AX113" s="31">
        <f>ROUND(F113*AP113,2)</f>
        <v>0</v>
      </c>
      <c r="AY113" s="34" t="s">
        <v>243</v>
      </c>
      <c r="AZ113" s="34" t="s">
        <v>161</v>
      </c>
      <c r="BA113" s="11" t="s">
        <v>63</v>
      </c>
      <c r="BC113" s="31">
        <f>AW113+AX113</f>
        <v>0</v>
      </c>
      <c r="BD113" s="31">
        <f>G113/(100-BE113)*100</f>
        <v>0</v>
      </c>
      <c r="BE113" s="31">
        <v>0</v>
      </c>
      <c r="BF113" s="31">
        <f>113</f>
        <v>113</v>
      </c>
      <c r="BH113" s="42">
        <f>F113*AO113</f>
        <v>0</v>
      </c>
      <c r="BI113" s="42">
        <f>F113*AP113</f>
        <v>0</v>
      </c>
      <c r="BJ113" s="42">
        <f>F113*G113</f>
        <v>0</v>
      </c>
      <c r="BK113" s="45" t="s">
        <v>70</v>
      </c>
      <c r="BL113" s="31">
        <v>64</v>
      </c>
      <c r="BW113" s="31">
        <v>21</v>
      </c>
      <c r="BX113" s="41" t="s">
        <v>255</v>
      </c>
    </row>
    <row r="114" spans="1:76" x14ac:dyDescent="0.25">
      <c r="A114" s="39" t="s">
        <v>256</v>
      </c>
      <c r="B114" s="40" t="s">
        <v>240</v>
      </c>
      <c r="C114" s="135" t="s">
        <v>257</v>
      </c>
      <c r="D114" s="136"/>
      <c r="E114" s="40" t="s">
        <v>81</v>
      </c>
      <c r="F114" s="42">
        <v>1</v>
      </c>
      <c r="G114" s="43">
        <v>0</v>
      </c>
      <c r="H114" s="42">
        <f>ROUND(F114*AO114,2)</f>
        <v>0</v>
      </c>
      <c r="I114" s="42">
        <f>ROUND(F114*AP114,2)</f>
        <v>0</v>
      </c>
      <c r="J114" s="42">
        <f>ROUND(F114*G114,2)</f>
        <v>0</v>
      </c>
      <c r="K114" s="44" t="s">
        <v>242</v>
      </c>
      <c r="Z114" s="31">
        <f>ROUND(IF(AQ114="5",BJ114,0),2)</f>
        <v>0</v>
      </c>
      <c r="AB114" s="31">
        <f>ROUND(IF(AQ114="1",BH114,0),2)</f>
        <v>0</v>
      </c>
      <c r="AC114" s="31">
        <f>ROUND(IF(AQ114="1",BI114,0),2)</f>
        <v>0</v>
      </c>
      <c r="AD114" s="31">
        <f>ROUND(IF(AQ114="7",BH114,0),2)</f>
        <v>0</v>
      </c>
      <c r="AE114" s="31">
        <f>ROUND(IF(AQ114="7",BI114,0),2)</f>
        <v>0</v>
      </c>
      <c r="AF114" s="31">
        <f>ROUND(IF(AQ114="2",BH114,0),2)</f>
        <v>0</v>
      </c>
      <c r="AG114" s="31">
        <f>ROUND(IF(AQ114="2",BI114,0),2)</f>
        <v>0</v>
      </c>
      <c r="AH114" s="31">
        <f>ROUND(IF(AQ114="0",BJ114,0),2)</f>
        <v>0</v>
      </c>
      <c r="AI114" s="11" t="s">
        <v>56</v>
      </c>
      <c r="AJ114" s="42">
        <f>IF(AN114=0,J114,0)</f>
        <v>0</v>
      </c>
      <c r="AK114" s="42">
        <f>IF(AN114=12,J114,0)</f>
        <v>0</v>
      </c>
      <c r="AL114" s="42">
        <f>IF(AN114=21,J114,0)</f>
        <v>0</v>
      </c>
      <c r="AN114" s="31">
        <v>21</v>
      </c>
      <c r="AO114" s="31">
        <f>G114*1</f>
        <v>0</v>
      </c>
      <c r="AP114" s="31">
        <f>G114*(1-1)</f>
        <v>0</v>
      </c>
      <c r="AQ114" s="45" t="s">
        <v>56</v>
      </c>
      <c r="AV114" s="31">
        <f>ROUND(AW114+AX114,2)</f>
        <v>0</v>
      </c>
      <c r="AW114" s="31">
        <f>ROUND(F114*AO114,2)</f>
        <v>0</v>
      </c>
      <c r="AX114" s="31">
        <f>ROUND(F114*AP114,2)</f>
        <v>0</v>
      </c>
      <c r="AY114" s="34" t="s">
        <v>243</v>
      </c>
      <c r="AZ114" s="34" t="s">
        <v>161</v>
      </c>
      <c r="BA114" s="11" t="s">
        <v>63</v>
      </c>
      <c r="BC114" s="31">
        <f>AW114+AX114</f>
        <v>0</v>
      </c>
      <c r="BD114" s="31">
        <f>G114/(100-BE114)*100</f>
        <v>0</v>
      </c>
      <c r="BE114" s="31">
        <v>0</v>
      </c>
      <c r="BF114" s="31">
        <f>114</f>
        <v>114</v>
      </c>
      <c r="BH114" s="42">
        <f>F114*AO114</f>
        <v>0</v>
      </c>
      <c r="BI114" s="42">
        <f>F114*AP114</f>
        <v>0</v>
      </c>
      <c r="BJ114" s="42">
        <f>F114*G114</f>
        <v>0</v>
      </c>
      <c r="BK114" s="45" t="s">
        <v>70</v>
      </c>
      <c r="BL114" s="31">
        <v>64</v>
      </c>
      <c r="BW114" s="31">
        <v>21</v>
      </c>
      <c r="BX114" s="41" t="s">
        <v>257</v>
      </c>
    </row>
    <row r="115" spans="1:76" x14ac:dyDescent="0.25">
      <c r="A115" s="26" t="s">
        <v>52</v>
      </c>
      <c r="B115" s="27" t="s">
        <v>258</v>
      </c>
      <c r="C115" s="133" t="s">
        <v>259</v>
      </c>
      <c r="D115" s="134"/>
      <c r="E115" s="28" t="s">
        <v>4</v>
      </c>
      <c r="F115" s="28" t="s">
        <v>4</v>
      </c>
      <c r="G115" s="29" t="s">
        <v>4</v>
      </c>
      <c r="H115" s="1">
        <f>SUM(H116:H122)</f>
        <v>0</v>
      </c>
      <c r="I115" s="1">
        <f>SUM(I116:I122)</f>
        <v>0</v>
      </c>
      <c r="J115" s="1">
        <f>SUM(J116:J122)</f>
        <v>0</v>
      </c>
      <c r="K115" s="30" t="s">
        <v>52</v>
      </c>
      <c r="AI115" s="11" t="s">
        <v>56</v>
      </c>
      <c r="AS115" s="1">
        <f>SUM(AJ116:AJ122)</f>
        <v>0</v>
      </c>
      <c r="AT115" s="1">
        <f>SUM(AK116:AK122)</f>
        <v>0</v>
      </c>
      <c r="AU115" s="1">
        <f>SUM(AL116:AL122)</f>
        <v>0</v>
      </c>
    </row>
    <row r="116" spans="1:76" x14ac:dyDescent="0.25">
      <c r="A116" s="2" t="s">
        <v>260</v>
      </c>
      <c r="B116" s="3" t="s">
        <v>261</v>
      </c>
      <c r="C116" s="112" t="s">
        <v>262</v>
      </c>
      <c r="D116" s="107"/>
      <c r="E116" s="3" t="s">
        <v>59</v>
      </c>
      <c r="F116" s="31">
        <v>11.132999999999999</v>
      </c>
      <c r="G116" s="32">
        <v>0</v>
      </c>
      <c r="H116" s="31">
        <f>ROUND(F116*AO116,2)</f>
        <v>0</v>
      </c>
      <c r="I116" s="31">
        <f>ROUND(F116*AP116,2)</f>
        <v>0</v>
      </c>
      <c r="J116" s="31">
        <f>ROUND(F116*G116,2)</f>
        <v>0</v>
      </c>
      <c r="K116" s="33" t="s">
        <v>60</v>
      </c>
      <c r="Z116" s="31">
        <f>ROUND(IF(AQ116="5",BJ116,0),2)</f>
        <v>0</v>
      </c>
      <c r="AB116" s="31">
        <f>ROUND(IF(AQ116="1",BH116,0),2)</f>
        <v>0</v>
      </c>
      <c r="AC116" s="31">
        <f>ROUND(IF(AQ116="1",BI116,0),2)</f>
        <v>0</v>
      </c>
      <c r="AD116" s="31">
        <f>ROUND(IF(AQ116="7",BH116,0),2)</f>
        <v>0</v>
      </c>
      <c r="AE116" s="31">
        <f>ROUND(IF(AQ116="7",BI116,0),2)</f>
        <v>0</v>
      </c>
      <c r="AF116" s="31">
        <f>ROUND(IF(AQ116="2",BH116,0),2)</f>
        <v>0</v>
      </c>
      <c r="AG116" s="31">
        <f>ROUND(IF(AQ116="2",BI116,0),2)</f>
        <v>0</v>
      </c>
      <c r="AH116" s="31">
        <f>ROUND(IF(AQ116="0",BJ116,0),2)</f>
        <v>0</v>
      </c>
      <c r="AI116" s="11" t="s">
        <v>56</v>
      </c>
      <c r="AJ116" s="31">
        <f>IF(AN116=0,J116,0)</f>
        <v>0</v>
      </c>
      <c r="AK116" s="31">
        <f>IF(AN116=12,J116,0)</f>
        <v>0</v>
      </c>
      <c r="AL116" s="31">
        <f>IF(AN116=21,J116,0)</f>
        <v>0</v>
      </c>
      <c r="AN116" s="31">
        <v>21</v>
      </c>
      <c r="AO116" s="31">
        <f>G116*0.528268742</f>
        <v>0</v>
      </c>
      <c r="AP116" s="31">
        <f>G116*(1-0.528268742)</f>
        <v>0</v>
      </c>
      <c r="AQ116" s="34" t="s">
        <v>101</v>
      </c>
      <c r="AV116" s="31">
        <f>ROUND(AW116+AX116,2)</f>
        <v>0</v>
      </c>
      <c r="AW116" s="31">
        <f>ROUND(F116*AO116,2)</f>
        <v>0</v>
      </c>
      <c r="AX116" s="31">
        <f>ROUND(F116*AP116,2)</f>
        <v>0</v>
      </c>
      <c r="AY116" s="34" t="s">
        <v>263</v>
      </c>
      <c r="AZ116" s="34" t="s">
        <v>264</v>
      </c>
      <c r="BA116" s="11" t="s">
        <v>63</v>
      </c>
      <c r="BC116" s="31">
        <f>AW116+AX116</f>
        <v>0</v>
      </c>
      <c r="BD116" s="31">
        <f>G116/(100-BE116)*100</f>
        <v>0</v>
      </c>
      <c r="BE116" s="31">
        <v>0</v>
      </c>
      <c r="BF116" s="31">
        <f>116</f>
        <v>116</v>
      </c>
      <c r="BH116" s="31">
        <f>F116*AO116</f>
        <v>0</v>
      </c>
      <c r="BI116" s="31">
        <f>F116*AP116</f>
        <v>0</v>
      </c>
      <c r="BJ116" s="31">
        <f>F116*G116</f>
        <v>0</v>
      </c>
      <c r="BK116" s="34" t="s">
        <v>64</v>
      </c>
      <c r="BL116" s="31">
        <v>711</v>
      </c>
      <c r="BW116" s="31">
        <v>21</v>
      </c>
      <c r="BX116" s="5" t="s">
        <v>262</v>
      </c>
    </row>
    <row r="117" spans="1:76" ht="13.5" customHeight="1" x14ac:dyDescent="0.25">
      <c r="A117" s="35"/>
      <c r="C117" s="137" t="s">
        <v>265</v>
      </c>
      <c r="D117" s="138"/>
      <c r="E117" s="138"/>
      <c r="F117" s="138"/>
      <c r="G117" s="139"/>
      <c r="H117" s="138"/>
      <c r="I117" s="138"/>
      <c r="J117" s="138"/>
      <c r="K117" s="140"/>
    </row>
    <row r="118" spans="1:76" x14ac:dyDescent="0.25">
      <c r="A118" s="35"/>
      <c r="C118" s="36" t="s">
        <v>266</v>
      </c>
      <c r="D118" s="36" t="s">
        <v>267</v>
      </c>
      <c r="F118" s="37">
        <v>2.85</v>
      </c>
      <c r="K118" s="38"/>
    </row>
    <row r="119" spans="1:76" x14ac:dyDescent="0.25">
      <c r="A119" s="35"/>
      <c r="C119" s="36" t="s">
        <v>268</v>
      </c>
      <c r="D119" s="36" t="s">
        <v>269</v>
      </c>
      <c r="F119" s="37">
        <v>4.5225</v>
      </c>
      <c r="K119" s="38"/>
    </row>
    <row r="120" spans="1:76" x14ac:dyDescent="0.25">
      <c r="A120" s="35"/>
      <c r="C120" s="36" t="s">
        <v>270</v>
      </c>
      <c r="D120" s="36" t="s">
        <v>271</v>
      </c>
      <c r="F120" s="37">
        <v>1.3305</v>
      </c>
      <c r="K120" s="38"/>
    </row>
    <row r="121" spans="1:76" x14ac:dyDescent="0.25">
      <c r="A121" s="35"/>
      <c r="C121" s="36" t="s">
        <v>272</v>
      </c>
      <c r="D121" s="36" t="s">
        <v>273</v>
      </c>
      <c r="F121" s="37">
        <v>2.4300000000000002</v>
      </c>
      <c r="K121" s="38"/>
    </row>
    <row r="122" spans="1:76" x14ac:dyDescent="0.25">
      <c r="A122" s="2" t="s">
        <v>76</v>
      </c>
      <c r="B122" s="3" t="s">
        <v>274</v>
      </c>
      <c r="C122" s="112" t="s">
        <v>275</v>
      </c>
      <c r="D122" s="107"/>
      <c r="E122" s="3" t="s">
        <v>276</v>
      </c>
      <c r="F122" s="31">
        <v>3.6850000000000001E-2</v>
      </c>
      <c r="G122" s="32">
        <v>0</v>
      </c>
      <c r="H122" s="31">
        <f>ROUND(F122*AO122,2)</f>
        <v>0</v>
      </c>
      <c r="I122" s="31">
        <f>ROUND(F122*AP122,2)</f>
        <v>0</v>
      </c>
      <c r="J122" s="31">
        <f>ROUND(F122*G122,2)</f>
        <v>0</v>
      </c>
      <c r="K122" s="33" t="s">
        <v>60</v>
      </c>
      <c r="Z122" s="31">
        <f>ROUND(IF(AQ122="5",BJ122,0),2)</f>
        <v>0</v>
      </c>
      <c r="AB122" s="31">
        <f>ROUND(IF(AQ122="1",BH122,0),2)</f>
        <v>0</v>
      </c>
      <c r="AC122" s="31">
        <f>ROUND(IF(AQ122="1",BI122,0),2)</f>
        <v>0</v>
      </c>
      <c r="AD122" s="31">
        <f>ROUND(IF(AQ122="7",BH122,0),2)</f>
        <v>0</v>
      </c>
      <c r="AE122" s="31">
        <f>ROUND(IF(AQ122="7",BI122,0),2)</f>
        <v>0</v>
      </c>
      <c r="AF122" s="31">
        <f>ROUND(IF(AQ122="2",BH122,0),2)</f>
        <v>0</v>
      </c>
      <c r="AG122" s="31">
        <f>ROUND(IF(AQ122="2",BI122,0),2)</f>
        <v>0</v>
      </c>
      <c r="AH122" s="31">
        <f>ROUND(IF(AQ122="0",BJ122,0),2)</f>
        <v>0</v>
      </c>
      <c r="AI122" s="11" t="s">
        <v>56</v>
      </c>
      <c r="AJ122" s="31">
        <f>IF(AN122=0,J122,0)</f>
        <v>0</v>
      </c>
      <c r="AK122" s="31">
        <f>IF(AN122=12,J122,0)</f>
        <v>0</v>
      </c>
      <c r="AL122" s="31">
        <f>IF(AN122=21,J122,0)</f>
        <v>0</v>
      </c>
      <c r="AN122" s="31">
        <v>21</v>
      </c>
      <c r="AO122" s="31">
        <f>G122*0</f>
        <v>0</v>
      </c>
      <c r="AP122" s="31">
        <f>G122*(1-0)</f>
        <v>0</v>
      </c>
      <c r="AQ122" s="34" t="s">
        <v>85</v>
      </c>
      <c r="AV122" s="31">
        <f>ROUND(AW122+AX122,2)</f>
        <v>0</v>
      </c>
      <c r="AW122" s="31">
        <f>ROUND(F122*AO122,2)</f>
        <v>0</v>
      </c>
      <c r="AX122" s="31">
        <f>ROUND(F122*AP122,2)</f>
        <v>0</v>
      </c>
      <c r="AY122" s="34" t="s">
        <v>263</v>
      </c>
      <c r="AZ122" s="34" t="s">
        <v>264</v>
      </c>
      <c r="BA122" s="11" t="s">
        <v>63</v>
      </c>
      <c r="BC122" s="31">
        <f>AW122+AX122</f>
        <v>0</v>
      </c>
      <c r="BD122" s="31">
        <f>G122/(100-BE122)*100</f>
        <v>0</v>
      </c>
      <c r="BE122" s="31">
        <v>0</v>
      </c>
      <c r="BF122" s="31">
        <f>122</f>
        <v>122</v>
      </c>
      <c r="BH122" s="31">
        <f>F122*AO122</f>
        <v>0</v>
      </c>
      <c r="BI122" s="31">
        <f>F122*AP122</f>
        <v>0</v>
      </c>
      <c r="BJ122" s="31">
        <f>F122*G122</f>
        <v>0</v>
      </c>
      <c r="BK122" s="34" t="s">
        <v>64</v>
      </c>
      <c r="BL122" s="31">
        <v>711</v>
      </c>
      <c r="BW122" s="31">
        <v>21</v>
      </c>
      <c r="BX122" s="5" t="s">
        <v>275</v>
      </c>
    </row>
    <row r="123" spans="1:76" x14ac:dyDescent="0.25">
      <c r="A123" s="26" t="s">
        <v>52</v>
      </c>
      <c r="B123" s="27" t="s">
        <v>277</v>
      </c>
      <c r="C123" s="133" t="s">
        <v>278</v>
      </c>
      <c r="D123" s="134"/>
      <c r="E123" s="28" t="s">
        <v>4</v>
      </c>
      <c r="F123" s="28" t="s">
        <v>4</v>
      </c>
      <c r="G123" s="29" t="s">
        <v>4</v>
      </c>
      <c r="H123" s="1">
        <f>SUM(H124:H127)</f>
        <v>0</v>
      </c>
      <c r="I123" s="1">
        <f>SUM(I124:I127)</f>
        <v>0</v>
      </c>
      <c r="J123" s="1">
        <f>SUM(J124:J127)</f>
        <v>0</v>
      </c>
      <c r="K123" s="30" t="s">
        <v>52</v>
      </c>
      <c r="AI123" s="11" t="s">
        <v>56</v>
      </c>
      <c r="AS123" s="1">
        <f>SUM(AJ124:AJ127)</f>
        <v>0</v>
      </c>
      <c r="AT123" s="1">
        <f>SUM(AK124:AK127)</f>
        <v>0</v>
      </c>
      <c r="AU123" s="1">
        <f>SUM(AL124:AL127)</f>
        <v>0</v>
      </c>
    </row>
    <row r="124" spans="1:76" x14ac:dyDescent="0.25">
      <c r="A124" s="2" t="s">
        <v>279</v>
      </c>
      <c r="B124" s="3" t="s">
        <v>280</v>
      </c>
      <c r="C124" s="112" t="s">
        <v>281</v>
      </c>
      <c r="D124" s="107"/>
      <c r="E124" s="3" t="s">
        <v>59</v>
      </c>
      <c r="F124" s="31">
        <v>2.8</v>
      </c>
      <c r="G124" s="32">
        <v>0</v>
      </c>
      <c r="H124" s="31">
        <f>ROUND(F124*AO124,2)</f>
        <v>0</v>
      </c>
      <c r="I124" s="31">
        <f>ROUND(F124*AP124,2)</f>
        <v>0</v>
      </c>
      <c r="J124" s="31">
        <f>ROUND(F124*G124,2)</f>
        <v>0</v>
      </c>
      <c r="K124" s="33" t="s">
        <v>60</v>
      </c>
      <c r="Z124" s="31">
        <f>ROUND(IF(AQ124="5",BJ124,0),2)</f>
        <v>0</v>
      </c>
      <c r="AB124" s="31">
        <f>ROUND(IF(AQ124="1",BH124,0),2)</f>
        <v>0</v>
      </c>
      <c r="AC124" s="31">
        <f>ROUND(IF(AQ124="1",BI124,0),2)</f>
        <v>0</v>
      </c>
      <c r="AD124" s="31">
        <f>ROUND(IF(AQ124="7",BH124,0),2)</f>
        <v>0</v>
      </c>
      <c r="AE124" s="31">
        <f>ROUND(IF(AQ124="7",BI124,0),2)</f>
        <v>0</v>
      </c>
      <c r="AF124" s="31">
        <f>ROUND(IF(AQ124="2",BH124,0),2)</f>
        <v>0</v>
      </c>
      <c r="AG124" s="31">
        <f>ROUND(IF(AQ124="2",BI124,0),2)</f>
        <v>0</v>
      </c>
      <c r="AH124" s="31">
        <f>ROUND(IF(AQ124="0",BJ124,0),2)</f>
        <v>0</v>
      </c>
      <c r="AI124" s="11" t="s">
        <v>56</v>
      </c>
      <c r="AJ124" s="31">
        <f>IF(AN124=0,J124,0)</f>
        <v>0</v>
      </c>
      <c r="AK124" s="31">
        <f>IF(AN124=12,J124,0)</f>
        <v>0</v>
      </c>
      <c r="AL124" s="31">
        <f>IF(AN124=21,J124,0)</f>
        <v>0</v>
      </c>
      <c r="AN124" s="31">
        <v>21</v>
      </c>
      <c r="AO124" s="31">
        <f>G124*0.234883721</f>
        <v>0</v>
      </c>
      <c r="AP124" s="31">
        <f>G124*(1-0.234883721)</f>
        <v>0</v>
      </c>
      <c r="AQ124" s="34" t="s">
        <v>101</v>
      </c>
      <c r="AV124" s="31">
        <f>ROUND(AW124+AX124,2)</f>
        <v>0</v>
      </c>
      <c r="AW124" s="31">
        <f>ROUND(F124*AO124,2)</f>
        <v>0</v>
      </c>
      <c r="AX124" s="31">
        <f>ROUND(F124*AP124,2)</f>
        <v>0</v>
      </c>
      <c r="AY124" s="34" t="s">
        <v>282</v>
      </c>
      <c r="AZ124" s="34" t="s">
        <v>264</v>
      </c>
      <c r="BA124" s="11" t="s">
        <v>63</v>
      </c>
      <c r="BC124" s="31">
        <f>AW124+AX124</f>
        <v>0</v>
      </c>
      <c r="BD124" s="31">
        <f>G124/(100-BE124)*100</f>
        <v>0</v>
      </c>
      <c r="BE124" s="31">
        <v>0</v>
      </c>
      <c r="BF124" s="31">
        <f>124</f>
        <v>124</v>
      </c>
      <c r="BH124" s="31">
        <f>F124*AO124</f>
        <v>0</v>
      </c>
      <c r="BI124" s="31">
        <f>F124*AP124</f>
        <v>0</v>
      </c>
      <c r="BJ124" s="31">
        <f>F124*G124</f>
        <v>0</v>
      </c>
      <c r="BK124" s="34" t="s">
        <v>64</v>
      </c>
      <c r="BL124" s="31">
        <v>713</v>
      </c>
      <c r="BW124" s="31">
        <v>21</v>
      </c>
      <c r="BX124" s="5" t="s">
        <v>281</v>
      </c>
    </row>
    <row r="125" spans="1:76" ht="13.5" customHeight="1" x14ac:dyDescent="0.25">
      <c r="A125" s="35"/>
      <c r="C125" s="137" t="s">
        <v>283</v>
      </c>
      <c r="D125" s="138"/>
      <c r="E125" s="138"/>
      <c r="F125" s="138"/>
      <c r="G125" s="139"/>
      <c r="H125" s="138"/>
      <c r="I125" s="138"/>
      <c r="J125" s="138"/>
      <c r="K125" s="140"/>
    </row>
    <row r="126" spans="1:76" x14ac:dyDescent="0.25">
      <c r="A126" s="35"/>
      <c r="C126" s="36" t="s">
        <v>284</v>
      </c>
      <c r="D126" s="36" t="s">
        <v>52</v>
      </c>
      <c r="F126" s="37">
        <v>2.8</v>
      </c>
      <c r="K126" s="38"/>
    </row>
    <row r="127" spans="1:76" x14ac:dyDescent="0.25">
      <c r="A127" s="2" t="s">
        <v>285</v>
      </c>
      <c r="B127" s="3" t="s">
        <v>286</v>
      </c>
      <c r="C127" s="112" t="s">
        <v>287</v>
      </c>
      <c r="D127" s="107"/>
      <c r="E127" s="3" t="s">
        <v>276</v>
      </c>
      <c r="F127" s="31">
        <v>4.4999999999999999E-4</v>
      </c>
      <c r="G127" s="32">
        <v>0</v>
      </c>
      <c r="H127" s="31">
        <f>ROUND(F127*AO127,2)</f>
        <v>0</v>
      </c>
      <c r="I127" s="31">
        <f>ROUND(F127*AP127,2)</f>
        <v>0</v>
      </c>
      <c r="J127" s="31">
        <f>ROUND(F127*G127,2)</f>
        <v>0</v>
      </c>
      <c r="K127" s="33" t="s">
        <v>60</v>
      </c>
      <c r="Z127" s="31">
        <f>ROUND(IF(AQ127="5",BJ127,0),2)</f>
        <v>0</v>
      </c>
      <c r="AB127" s="31">
        <f>ROUND(IF(AQ127="1",BH127,0),2)</f>
        <v>0</v>
      </c>
      <c r="AC127" s="31">
        <f>ROUND(IF(AQ127="1",BI127,0),2)</f>
        <v>0</v>
      </c>
      <c r="AD127" s="31">
        <f>ROUND(IF(AQ127="7",BH127,0),2)</f>
        <v>0</v>
      </c>
      <c r="AE127" s="31">
        <f>ROUND(IF(AQ127="7",BI127,0),2)</f>
        <v>0</v>
      </c>
      <c r="AF127" s="31">
        <f>ROUND(IF(AQ127="2",BH127,0),2)</f>
        <v>0</v>
      </c>
      <c r="AG127" s="31">
        <f>ROUND(IF(AQ127="2",BI127,0),2)</f>
        <v>0</v>
      </c>
      <c r="AH127" s="31">
        <f>ROUND(IF(AQ127="0",BJ127,0),2)</f>
        <v>0</v>
      </c>
      <c r="AI127" s="11" t="s">
        <v>56</v>
      </c>
      <c r="AJ127" s="31">
        <f>IF(AN127=0,J127,0)</f>
        <v>0</v>
      </c>
      <c r="AK127" s="31">
        <f>IF(AN127=12,J127,0)</f>
        <v>0</v>
      </c>
      <c r="AL127" s="31">
        <f>IF(AN127=21,J127,0)</f>
        <v>0</v>
      </c>
      <c r="AN127" s="31">
        <v>21</v>
      </c>
      <c r="AO127" s="31">
        <f>G127*0</f>
        <v>0</v>
      </c>
      <c r="AP127" s="31">
        <f>G127*(1-0)</f>
        <v>0</v>
      </c>
      <c r="AQ127" s="34" t="s">
        <v>85</v>
      </c>
      <c r="AV127" s="31">
        <f>ROUND(AW127+AX127,2)</f>
        <v>0</v>
      </c>
      <c r="AW127" s="31">
        <f>ROUND(F127*AO127,2)</f>
        <v>0</v>
      </c>
      <c r="AX127" s="31">
        <f>ROUND(F127*AP127,2)</f>
        <v>0</v>
      </c>
      <c r="AY127" s="34" t="s">
        <v>282</v>
      </c>
      <c r="AZ127" s="34" t="s">
        <v>264</v>
      </c>
      <c r="BA127" s="11" t="s">
        <v>63</v>
      </c>
      <c r="BC127" s="31">
        <f>AW127+AX127</f>
        <v>0</v>
      </c>
      <c r="BD127" s="31">
        <f>G127/(100-BE127)*100</f>
        <v>0</v>
      </c>
      <c r="BE127" s="31">
        <v>0</v>
      </c>
      <c r="BF127" s="31">
        <f>127</f>
        <v>127</v>
      </c>
      <c r="BH127" s="31">
        <f>F127*AO127</f>
        <v>0</v>
      </c>
      <c r="BI127" s="31">
        <f>F127*AP127</f>
        <v>0</v>
      </c>
      <c r="BJ127" s="31">
        <f>F127*G127</f>
        <v>0</v>
      </c>
      <c r="BK127" s="34" t="s">
        <v>64</v>
      </c>
      <c r="BL127" s="31">
        <v>713</v>
      </c>
      <c r="BW127" s="31">
        <v>21</v>
      </c>
      <c r="BX127" s="5" t="s">
        <v>287</v>
      </c>
    </row>
    <row r="128" spans="1:76" x14ac:dyDescent="0.25">
      <c r="A128" s="26" t="s">
        <v>52</v>
      </c>
      <c r="B128" s="27" t="s">
        <v>288</v>
      </c>
      <c r="C128" s="133" t="s">
        <v>289</v>
      </c>
      <c r="D128" s="134"/>
      <c r="E128" s="28" t="s">
        <v>4</v>
      </c>
      <c r="F128" s="28" t="s">
        <v>4</v>
      </c>
      <c r="G128" s="29" t="s">
        <v>4</v>
      </c>
      <c r="H128" s="1">
        <f>SUM(H129:H131)</f>
        <v>0</v>
      </c>
      <c r="I128" s="1">
        <f>SUM(I129:I131)</f>
        <v>0</v>
      </c>
      <c r="J128" s="1">
        <f>SUM(J129:J131)</f>
        <v>0</v>
      </c>
      <c r="K128" s="30" t="s">
        <v>52</v>
      </c>
      <c r="AI128" s="11" t="s">
        <v>56</v>
      </c>
      <c r="AS128" s="1">
        <f>SUM(AJ129:AJ131)</f>
        <v>0</v>
      </c>
      <c r="AT128" s="1">
        <f>SUM(AK129:AK131)</f>
        <v>0</v>
      </c>
      <c r="AU128" s="1">
        <f>SUM(AL129:AL131)</f>
        <v>0</v>
      </c>
    </row>
    <row r="129" spans="1:76" x14ac:dyDescent="0.25">
      <c r="A129" s="2" t="s">
        <v>88</v>
      </c>
      <c r="B129" s="3" t="s">
        <v>290</v>
      </c>
      <c r="C129" s="112" t="s">
        <v>291</v>
      </c>
      <c r="D129" s="107"/>
      <c r="E129" s="3" t="s">
        <v>81</v>
      </c>
      <c r="F129" s="31">
        <v>1</v>
      </c>
      <c r="G129" s="32">
        <v>0</v>
      </c>
      <c r="H129" s="31">
        <f>ROUND(F129*AO129,2)</f>
        <v>0</v>
      </c>
      <c r="I129" s="31">
        <f>ROUND(F129*AP129,2)</f>
        <v>0</v>
      </c>
      <c r="J129" s="31">
        <f>ROUND(F129*G129,2)</f>
        <v>0</v>
      </c>
      <c r="K129" s="33" t="s">
        <v>60</v>
      </c>
      <c r="Z129" s="31">
        <f>ROUND(IF(AQ129="5",BJ129,0),2)</f>
        <v>0</v>
      </c>
      <c r="AB129" s="31">
        <f>ROUND(IF(AQ129="1",BH129,0),2)</f>
        <v>0</v>
      </c>
      <c r="AC129" s="31">
        <f>ROUND(IF(AQ129="1",BI129,0),2)</f>
        <v>0</v>
      </c>
      <c r="AD129" s="31">
        <f>ROUND(IF(AQ129="7",BH129,0),2)</f>
        <v>0</v>
      </c>
      <c r="AE129" s="31">
        <f>ROUND(IF(AQ129="7",BI129,0),2)</f>
        <v>0</v>
      </c>
      <c r="AF129" s="31">
        <f>ROUND(IF(AQ129="2",BH129,0),2)</f>
        <v>0</v>
      </c>
      <c r="AG129" s="31">
        <f>ROUND(IF(AQ129="2",BI129,0),2)</f>
        <v>0</v>
      </c>
      <c r="AH129" s="31">
        <f>ROUND(IF(AQ129="0",BJ129,0),2)</f>
        <v>0</v>
      </c>
      <c r="AI129" s="11" t="s">
        <v>56</v>
      </c>
      <c r="AJ129" s="31">
        <f>IF(AN129=0,J129,0)</f>
        <v>0</v>
      </c>
      <c r="AK129" s="31">
        <f>IF(AN129=12,J129,0)</f>
        <v>0</v>
      </c>
      <c r="AL129" s="31">
        <f>IF(AN129=21,J129,0)</f>
        <v>0</v>
      </c>
      <c r="AN129" s="31">
        <v>21</v>
      </c>
      <c r="AO129" s="31">
        <f>G129*0</f>
        <v>0</v>
      </c>
      <c r="AP129" s="31">
        <f>G129*(1-0)</f>
        <v>0</v>
      </c>
      <c r="AQ129" s="34" t="s">
        <v>101</v>
      </c>
      <c r="AV129" s="31">
        <f>ROUND(AW129+AX129,2)</f>
        <v>0</v>
      </c>
      <c r="AW129" s="31">
        <f>ROUND(F129*AO129,2)</f>
        <v>0</v>
      </c>
      <c r="AX129" s="31">
        <f>ROUND(F129*AP129,2)</f>
        <v>0</v>
      </c>
      <c r="AY129" s="34" t="s">
        <v>292</v>
      </c>
      <c r="AZ129" s="34" t="s">
        <v>293</v>
      </c>
      <c r="BA129" s="11" t="s">
        <v>63</v>
      </c>
      <c r="BC129" s="31">
        <f>AW129+AX129</f>
        <v>0</v>
      </c>
      <c r="BD129" s="31">
        <f>G129/(100-BE129)*100</f>
        <v>0</v>
      </c>
      <c r="BE129" s="31">
        <v>0</v>
      </c>
      <c r="BF129" s="31">
        <f>129</f>
        <v>129</v>
      </c>
      <c r="BH129" s="31">
        <f>F129*AO129</f>
        <v>0</v>
      </c>
      <c r="BI129" s="31">
        <f>F129*AP129</f>
        <v>0</v>
      </c>
      <c r="BJ129" s="31">
        <f>F129*G129</f>
        <v>0</v>
      </c>
      <c r="BK129" s="34" t="s">
        <v>64</v>
      </c>
      <c r="BL129" s="31">
        <v>728</v>
      </c>
      <c r="BW129" s="31">
        <v>21</v>
      </c>
      <c r="BX129" s="5" t="s">
        <v>291</v>
      </c>
    </row>
    <row r="130" spans="1:76" x14ac:dyDescent="0.25">
      <c r="A130" s="35"/>
      <c r="C130" s="36" t="s">
        <v>56</v>
      </c>
      <c r="D130" s="36" t="s">
        <v>294</v>
      </c>
      <c r="F130" s="37">
        <v>1</v>
      </c>
      <c r="K130" s="38"/>
    </row>
    <row r="131" spans="1:76" x14ac:dyDescent="0.25">
      <c r="A131" s="2" t="s">
        <v>295</v>
      </c>
      <c r="B131" s="3" t="s">
        <v>296</v>
      </c>
      <c r="C131" s="112" t="s">
        <v>297</v>
      </c>
      <c r="D131" s="107"/>
      <c r="E131" s="3" t="s">
        <v>276</v>
      </c>
      <c r="F131" s="31">
        <v>2E-3</v>
      </c>
      <c r="G131" s="32">
        <v>0</v>
      </c>
      <c r="H131" s="31">
        <f>ROUND(F131*AO131,2)</f>
        <v>0</v>
      </c>
      <c r="I131" s="31">
        <f>ROUND(F131*AP131,2)</f>
        <v>0</v>
      </c>
      <c r="J131" s="31">
        <f>ROUND(F131*G131,2)</f>
        <v>0</v>
      </c>
      <c r="K131" s="33" t="s">
        <v>60</v>
      </c>
      <c r="Z131" s="31">
        <f>ROUND(IF(AQ131="5",BJ131,0),2)</f>
        <v>0</v>
      </c>
      <c r="AB131" s="31">
        <f>ROUND(IF(AQ131="1",BH131,0),2)</f>
        <v>0</v>
      </c>
      <c r="AC131" s="31">
        <f>ROUND(IF(AQ131="1",BI131,0),2)</f>
        <v>0</v>
      </c>
      <c r="AD131" s="31">
        <f>ROUND(IF(AQ131="7",BH131,0),2)</f>
        <v>0</v>
      </c>
      <c r="AE131" s="31">
        <f>ROUND(IF(AQ131="7",BI131,0),2)</f>
        <v>0</v>
      </c>
      <c r="AF131" s="31">
        <f>ROUND(IF(AQ131="2",BH131,0),2)</f>
        <v>0</v>
      </c>
      <c r="AG131" s="31">
        <f>ROUND(IF(AQ131="2",BI131,0),2)</f>
        <v>0</v>
      </c>
      <c r="AH131" s="31">
        <f>ROUND(IF(AQ131="0",BJ131,0),2)</f>
        <v>0</v>
      </c>
      <c r="AI131" s="11" t="s">
        <v>56</v>
      </c>
      <c r="AJ131" s="31">
        <f>IF(AN131=0,J131,0)</f>
        <v>0</v>
      </c>
      <c r="AK131" s="31">
        <f>IF(AN131=12,J131,0)</f>
        <v>0</v>
      </c>
      <c r="AL131" s="31">
        <f>IF(AN131=21,J131,0)</f>
        <v>0</v>
      </c>
      <c r="AN131" s="31">
        <v>21</v>
      </c>
      <c r="AO131" s="31">
        <f>G131*0</f>
        <v>0</v>
      </c>
      <c r="AP131" s="31">
        <f>G131*(1-0)</f>
        <v>0</v>
      </c>
      <c r="AQ131" s="34" t="s">
        <v>85</v>
      </c>
      <c r="AV131" s="31">
        <f>ROUND(AW131+AX131,2)</f>
        <v>0</v>
      </c>
      <c r="AW131" s="31">
        <f>ROUND(F131*AO131,2)</f>
        <v>0</v>
      </c>
      <c r="AX131" s="31">
        <f>ROUND(F131*AP131,2)</f>
        <v>0</v>
      </c>
      <c r="AY131" s="34" t="s">
        <v>292</v>
      </c>
      <c r="AZ131" s="34" t="s">
        <v>293</v>
      </c>
      <c r="BA131" s="11" t="s">
        <v>63</v>
      </c>
      <c r="BC131" s="31">
        <f>AW131+AX131</f>
        <v>0</v>
      </c>
      <c r="BD131" s="31">
        <f>G131/(100-BE131)*100</f>
        <v>0</v>
      </c>
      <c r="BE131" s="31">
        <v>0</v>
      </c>
      <c r="BF131" s="31">
        <f>131</f>
        <v>131</v>
      </c>
      <c r="BH131" s="31">
        <f>F131*AO131</f>
        <v>0</v>
      </c>
      <c r="BI131" s="31">
        <f>F131*AP131</f>
        <v>0</v>
      </c>
      <c r="BJ131" s="31">
        <f>F131*G131</f>
        <v>0</v>
      </c>
      <c r="BK131" s="34" t="s">
        <v>64</v>
      </c>
      <c r="BL131" s="31">
        <v>728</v>
      </c>
      <c r="BW131" s="31">
        <v>21</v>
      </c>
      <c r="BX131" s="5" t="s">
        <v>297</v>
      </c>
    </row>
    <row r="132" spans="1:76" x14ac:dyDescent="0.25">
      <c r="A132" s="26" t="s">
        <v>52</v>
      </c>
      <c r="B132" s="27" t="s">
        <v>298</v>
      </c>
      <c r="C132" s="133" t="s">
        <v>299</v>
      </c>
      <c r="D132" s="134"/>
      <c r="E132" s="28" t="s">
        <v>4</v>
      </c>
      <c r="F132" s="28" t="s">
        <v>4</v>
      </c>
      <c r="G132" s="29" t="s">
        <v>4</v>
      </c>
      <c r="H132" s="1">
        <f>SUM(H133:H135)</f>
        <v>0</v>
      </c>
      <c r="I132" s="1">
        <f>SUM(I133:I135)</f>
        <v>0</v>
      </c>
      <c r="J132" s="1">
        <f>SUM(J133:J135)</f>
        <v>0</v>
      </c>
      <c r="K132" s="30" t="s">
        <v>52</v>
      </c>
      <c r="AI132" s="11" t="s">
        <v>56</v>
      </c>
      <c r="AS132" s="1">
        <f>SUM(AJ133:AJ135)</f>
        <v>0</v>
      </c>
      <c r="AT132" s="1">
        <f>SUM(AK133:AK135)</f>
        <v>0</v>
      </c>
      <c r="AU132" s="1">
        <f>SUM(AL133:AL135)</f>
        <v>0</v>
      </c>
    </row>
    <row r="133" spans="1:76" x14ac:dyDescent="0.25">
      <c r="A133" s="2" t="s">
        <v>300</v>
      </c>
      <c r="B133" s="3" t="s">
        <v>301</v>
      </c>
      <c r="C133" s="112" t="s">
        <v>302</v>
      </c>
      <c r="D133" s="107"/>
      <c r="E133" s="3" t="s">
        <v>215</v>
      </c>
      <c r="F133" s="31">
        <v>7.6</v>
      </c>
      <c r="G133" s="32">
        <v>0</v>
      </c>
      <c r="H133" s="31">
        <f>ROUND(F133*AO133,2)</f>
        <v>0</v>
      </c>
      <c r="I133" s="31">
        <f>ROUND(F133*AP133,2)</f>
        <v>0</v>
      </c>
      <c r="J133" s="31">
        <f>ROUND(F133*G133,2)</f>
        <v>0</v>
      </c>
      <c r="K133" s="33" t="s">
        <v>60</v>
      </c>
      <c r="Z133" s="31">
        <f>ROUND(IF(AQ133="5",BJ133,0),2)</f>
        <v>0</v>
      </c>
      <c r="AB133" s="31">
        <f>ROUND(IF(AQ133="1",BH133,0),2)</f>
        <v>0</v>
      </c>
      <c r="AC133" s="31">
        <f>ROUND(IF(AQ133="1",BI133,0),2)</f>
        <v>0</v>
      </c>
      <c r="AD133" s="31">
        <f>ROUND(IF(AQ133="7",BH133,0),2)</f>
        <v>0</v>
      </c>
      <c r="AE133" s="31">
        <f>ROUND(IF(AQ133="7",BI133,0),2)</f>
        <v>0</v>
      </c>
      <c r="AF133" s="31">
        <f>ROUND(IF(AQ133="2",BH133,0),2)</f>
        <v>0</v>
      </c>
      <c r="AG133" s="31">
        <f>ROUND(IF(AQ133="2",BI133,0),2)</f>
        <v>0</v>
      </c>
      <c r="AH133" s="31">
        <f>ROUND(IF(AQ133="0",BJ133,0),2)</f>
        <v>0</v>
      </c>
      <c r="AI133" s="11" t="s">
        <v>56</v>
      </c>
      <c r="AJ133" s="31">
        <f>IF(AN133=0,J133,0)</f>
        <v>0</v>
      </c>
      <c r="AK133" s="31">
        <f>IF(AN133=12,J133,0)</f>
        <v>0</v>
      </c>
      <c r="AL133" s="31">
        <f>IF(AN133=21,J133,0)</f>
        <v>0</v>
      </c>
      <c r="AN133" s="31">
        <v>21</v>
      </c>
      <c r="AO133" s="31">
        <f>G133*0</f>
        <v>0</v>
      </c>
      <c r="AP133" s="31">
        <f>G133*(1-0)</f>
        <v>0</v>
      </c>
      <c r="AQ133" s="34" t="s">
        <v>101</v>
      </c>
      <c r="AV133" s="31">
        <f>ROUND(AW133+AX133,2)</f>
        <v>0</v>
      </c>
      <c r="AW133" s="31">
        <f>ROUND(F133*AO133,2)</f>
        <v>0</v>
      </c>
      <c r="AX133" s="31">
        <f>ROUND(F133*AP133,2)</f>
        <v>0</v>
      </c>
      <c r="AY133" s="34" t="s">
        <v>303</v>
      </c>
      <c r="AZ133" s="34" t="s">
        <v>304</v>
      </c>
      <c r="BA133" s="11" t="s">
        <v>63</v>
      </c>
      <c r="BC133" s="31">
        <f>AW133+AX133</f>
        <v>0</v>
      </c>
      <c r="BD133" s="31">
        <f>G133/(100-BE133)*100</f>
        <v>0</v>
      </c>
      <c r="BE133" s="31">
        <v>0</v>
      </c>
      <c r="BF133" s="31">
        <f>133</f>
        <v>133</v>
      </c>
      <c r="BH133" s="31">
        <f>F133*AO133</f>
        <v>0</v>
      </c>
      <c r="BI133" s="31">
        <f>F133*AP133</f>
        <v>0</v>
      </c>
      <c r="BJ133" s="31">
        <f>F133*G133</f>
        <v>0</v>
      </c>
      <c r="BK133" s="34" t="s">
        <v>64</v>
      </c>
      <c r="BL133" s="31">
        <v>764</v>
      </c>
      <c r="BW133" s="31">
        <v>21</v>
      </c>
      <c r="BX133" s="5" t="s">
        <v>302</v>
      </c>
    </row>
    <row r="134" spans="1:76" x14ac:dyDescent="0.25">
      <c r="A134" s="35"/>
      <c r="C134" s="36" t="s">
        <v>305</v>
      </c>
      <c r="D134" s="36" t="s">
        <v>306</v>
      </c>
      <c r="F134" s="37">
        <v>7.6</v>
      </c>
      <c r="K134" s="38"/>
    </row>
    <row r="135" spans="1:76" x14ac:dyDescent="0.25">
      <c r="A135" s="2" t="s">
        <v>307</v>
      </c>
      <c r="B135" s="3" t="s">
        <v>308</v>
      </c>
      <c r="C135" s="112" t="s">
        <v>309</v>
      </c>
      <c r="D135" s="107"/>
      <c r="E135" s="3" t="s">
        <v>276</v>
      </c>
      <c r="F135" s="31">
        <v>1.0789999999999999E-2</v>
      </c>
      <c r="G135" s="32">
        <v>0</v>
      </c>
      <c r="H135" s="31">
        <f>ROUND(F135*AO135,2)</f>
        <v>0</v>
      </c>
      <c r="I135" s="31">
        <f>ROUND(F135*AP135,2)</f>
        <v>0</v>
      </c>
      <c r="J135" s="31">
        <f>ROUND(F135*G135,2)</f>
        <v>0</v>
      </c>
      <c r="K135" s="33" t="s">
        <v>60</v>
      </c>
      <c r="Z135" s="31">
        <f>ROUND(IF(AQ135="5",BJ135,0),2)</f>
        <v>0</v>
      </c>
      <c r="AB135" s="31">
        <f>ROUND(IF(AQ135="1",BH135,0),2)</f>
        <v>0</v>
      </c>
      <c r="AC135" s="31">
        <f>ROUND(IF(AQ135="1",BI135,0),2)</f>
        <v>0</v>
      </c>
      <c r="AD135" s="31">
        <f>ROUND(IF(AQ135="7",BH135,0),2)</f>
        <v>0</v>
      </c>
      <c r="AE135" s="31">
        <f>ROUND(IF(AQ135="7",BI135,0),2)</f>
        <v>0</v>
      </c>
      <c r="AF135" s="31">
        <f>ROUND(IF(AQ135="2",BH135,0),2)</f>
        <v>0</v>
      </c>
      <c r="AG135" s="31">
        <f>ROUND(IF(AQ135="2",BI135,0),2)</f>
        <v>0</v>
      </c>
      <c r="AH135" s="31">
        <f>ROUND(IF(AQ135="0",BJ135,0),2)</f>
        <v>0</v>
      </c>
      <c r="AI135" s="11" t="s">
        <v>56</v>
      </c>
      <c r="AJ135" s="31">
        <f>IF(AN135=0,J135,0)</f>
        <v>0</v>
      </c>
      <c r="AK135" s="31">
        <f>IF(AN135=12,J135,0)</f>
        <v>0</v>
      </c>
      <c r="AL135" s="31">
        <f>IF(AN135=21,J135,0)</f>
        <v>0</v>
      </c>
      <c r="AN135" s="31">
        <v>21</v>
      </c>
      <c r="AO135" s="31">
        <f>G135*0</f>
        <v>0</v>
      </c>
      <c r="AP135" s="31">
        <f>G135*(1-0)</f>
        <v>0</v>
      </c>
      <c r="AQ135" s="34" t="s">
        <v>85</v>
      </c>
      <c r="AV135" s="31">
        <f>ROUND(AW135+AX135,2)</f>
        <v>0</v>
      </c>
      <c r="AW135" s="31">
        <f>ROUND(F135*AO135,2)</f>
        <v>0</v>
      </c>
      <c r="AX135" s="31">
        <f>ROUND(F135*AP135,2)</f>
        <v>0</v>
      </c>
      <c r="AY135" s="34" t="s">
        <v>303</v>
      </c>
      <c r="AZ135" s="34" t="s">
        <v>304</v>
      </c>
      <c r="BA135" s="11" t="s">
        <v>63</v>
      </c>
      <c r="BC135" s="31">
        <f>AW135+AX135</f>
        <v>0</v>
      </c>
      <c r="BD135" s="31">
        <f>G135/(100-BE135)*100</f>
        <v>0</v>
      </c>
      <c r="BE135" s="31">
        <v>0</v>
      </c>
      <c r="BF135" s="31">
        <f>135</f>
        <v>135</v>
      </c>
      <c r="BH135" s="31">
        <f>F135*AO135</f>
        <v>0</v>
      </c>
      <c r="BI135" s="31">
        <f>F135*AP135</f>
        <v>0</v>
      </c>
      <c r="BJ135" s="31">
        <f>F135*G135</f>
        <v>0</v>
      </c>
      <c r="BK135" s="34" t="s">
        <v>64</v>
      </c>
      <c r="BL135" s="31">
        <v>764</v>
      </c>
      <c r="BW135" s="31">
        <v>21</v>
      </c>
      <c r="BX135" s="5" t="s">
        <v>309</v>
      </c>
    </row>
    <row r="136" spans="1:76" x14ac:dyDescent="0.25">
      <c r="A136" s="26" t="s">
        <v>52</v>
      </c>
      <c r="B136" s="27" t="s">
        <v>310</v>
      </c>
      <c r="C136" s="133" t="s">
        <v>311</v>
      </c>
      <c r="D136" s="134"/>
      <c r="E136" s="28" t="s">
        <v>4</v>
      </c>
      <c r="F136" s="28" t="s">
        <v>4</v>
      </c>
      <c r="G136" s="29" t="s">
        <v>4</v>
      </c>
      <c r="H136" s="1">
        <f>SUM(H137:H151)</f>
        <v>0</v>
      </c>
      <c r="I136" s="1">
        <f>SUM(I137:I151)</f>
        <v>0</v>
      </c>
      <c r="J136" s="1">
        <f>SUM(J137:J151)</f>
        <v>0</v>
      </c>
      <c r="K136" s="30" t="s">
        <v>52</v>
      </c>
      <c r="AI136" s="11" t="s">
        <v>56</v>
      </c>
      <c r="AS136" s="1">
        <f>SUM(AJ137:AJ151)</f>
        <v>0</v>
      </c>
      <c r="AT136" s="1">
        <f>SUM(AK137:AK151)</f>
        <v>0</v>
      </c>
      <c r="AU136" s="1">
        <f>SUM(AL137:AL151)</f>
        <v>0</v>
      </c>
    </row>
    <row r="137" spans="1:76" x14ac:dyDescent="0.25">
      <c r="A137" s="2" t="s">
        <v>312</v>
      </c>
      <c r="B137" s="3" t="s">
        <v>313</v>
      </c>
      <c r="C137" s="112" t="s">
        <v>314</v>
      </c>
      <c r="D137" s="107"/>
      <c r="E137" s="3" t="s">
        <v>81</v>
      </c>
      <c r="F137" s="31">
        <v>3</v>
      </c>
      <c r="G137" s="32">
        <v>0</v>
      </c>
      <c r="H137" s="31">
        <f>ROUND(F137*AO137,2)</f>
        <v>0</v>
      </c>
      <c r="I137" s="31">
        <f>ROUND(F137*AP137,2)</f>
        <v>0</v>
      </c>
      <c r="J137" s="31">
        <f>ROUND(F137*G137,2)</f>
        <v>0</v>
      </c>
      <c r="K137" s="33" t="s">
        <v>60</v>
      </c>
      <c r="Z137" s="31">
        <f>ROUND(IF(AQ137="5",BJ137,0),2)</f>
        <v>0</v>
      </c>
      <c r="AB137" s="31">
        <f>ROUND(IF(AQ137="1",BH137,0),2)</f>
        <v>0</v>
      </c>
      <c r="AC137" s="31">
        <f>ROUND(IF(AQ137="1",BI137,0),2)</f>
        <v>0</v>
      </c>
      <c r="AD137" s="31">
        <f>ROUND(IF(AQ137="7",BH137,0),2)</f>
        <v>0</v>
      </c>
      <c r="AE137" s="31">
        <f>ROUND(IF(AQ137="7",BI137,0),2)</f>
        <v>0</v>
      </c>
      <c r="AF137" s="31">
        <f>ROUND(IF(AQ137="2",BH137,0),2)</f>
        <v>0</v>
      </c>
      <c r="AG137" s="31">
        <f>ROUND(IF(AQ137="2",BI137,0),2)</f>
        <v>0</v>
      </c>
      <c r="AH137" s="31">
        <f>ROUND(IF(AQ137="0",BJ137,0),2)</f>
        <v>0</v>
      </c>
      <c r="AI137" s="11" t="s">
        <v>56</v>
      </c>
      <c r="AJ137" s="31">
        <f>IF(AN137=0,J137,0)</f>
        <v>0</v>
      </c>
      <c r="AK137" s="31">
        <f>IF(AN137=12,J137,0)</f>
        <v>0</v>
      </c>
      <c r="AL137" s="31">
        <f>IF(AN137=21,J137,0)</f>
        <v>0</v>
      </c>
      <c r="AN137" s="31">
        <v>21</v>
      </c>
      <c r="AO137" s="31">
        <f>G137*0</f>
        <v>0</v>
      </c>
      <c r="AP137" s="31">
        <f>G137*(1-0)</f>
        <v>0</v>
      </c>
      <c r="AQ137" s="34" t="s">
        <v>101</v>
      </c>
      <c r="AV137" s="31">
        <f>ROUND(AW137+AX137,2)</f>
        <v>0</v>
      </c>
      <c r="AW137" s="31">
        <f>ROUND(F137*AO137,2)</f>
        <v>0</v>
      </c>
      <c r="AX137" s="31">
        <f>ROUND(F137*AP137,2)</f>
        <v>0</v>
      </c>
      <c r="AY137" s="34" t="s">
        <v>315</v>
      </c>
      <c r="AZ137" s="34" t="s">
        <v>304</v>
      </c>
      <c r="BA137" s="11" t="s">
        <v>63</v>
      </c>
      <c r="BC137" s="31">
        <f>AW137+AX137</f>
        <v>0</v>
      </c>
      <c r="BD137" s="31">
        <f>G137/(100-BE137)*100</f>
        <v>0</v>
      </c>
      <c r="BE137" s="31">
        <v>0</v>
      </c>
      <c r="BF137" s="31">
        <f>137</f>
        <v>137</v>
      </c>
      <c r="BH137" s="31">
        <f>F137*AO137</f>
        <v>0</v>
      </c>
      <c r="BI137" s="31">
        <f>F137*AP137</f>
        <v>0</v>
      </c>
      <c r="BJ137" s="31">
        <f>F137*G137</f>
        <v>0</v>
      </c>
      <c r="BK137" s="34" t="s">
        <v>64</v>
      </c>
      <c r="BL137" s="31">
        <v>766</v>
      </c>
      <c r="BW137" s="31">
        <v>21</v>
      </c>
      <c r="BX137" s="5" t="s">
        <v>314</v>
      </c>
    </row>
    <row r="138" spans="1:76" x14ac:dyDescent="0.25">
      <c r="A138" s="2" t="s">
        <v>316</v>
      </c>
      <c r="B138" s="3" t="s">
        <v>317</v>
      </c>
      <c r="C138" s="112" t="s">
        <v>318</v>
      </c>
      <c r="D138" s="107"/>
      <c r="E138" s="3" t="s">
        <v>81</v>
      </c>
      <c r="F138" s="31">
        <v>6</v>
      </c>
      <c r="G138" s="32">
        <v>0</v>
      </c>
      <c r="H138" s="31">
        <f>ROUND(F138*AO138,2)</f>
        <v>0</v>
      </c>
      <c r="I138" s="31">
        <f>ROUND(F138*AP138,2)</f>
        <v>0</v>
      </c>
      <c r="J138" s="31">
        <f>ROUND(F138*G138,2)</f>
        <v>0</v>
      </c>
      <c r="K138" s="33" t="s">
        <v>60</v>
      </c>
      <c r="Z138" s="31">
        <f>ROUND(IF(AQ138="5",BJ138,0),2)</f>
        <v>0</v>
      </c>
      <c r="AB138" s="31">
        <f>ROUND(IF(AQ138="1",BH138,0),2)</f>
        <v>0</v>
      </c>
      <c r="AC138" s="31">
        <f>ROUND(IF(AQ138="1",BI138,0),2)</f>
        <v>0</v>
      </c>
      <c r="AD138" s="31">
        <f>ROUND(IF(AQ138="7",BH138,0),2)</f>
        <v>0</v>
      </c>
      <c r="AE138" s="31">
        <f>ROUND(IF(AQ138="7",BI138,0),2)</f>
        <v>0</v>
      </c>
      <c r="AF138" s="31">
        <f>ROUND(IF(AQ138="2",BH138,0),2)</f>
        <v>0</v>
      </c>
      <c r="AG138" s="31">
        <f>ROUND(IF(AQ138="2",BI138,0),2)</f>
        <v>0</v>
      </c>
      <c r="AH138" s="31">
        <f>ROUND(IF(AQ138="0",BJ138,0),2)</f>
        <v>0</v>
      </c>
      <c r="AI138" s="11" t="s">
        <v>56</v>
      </c>
      <c r="AJ138" s="31">
        <f>IF(AN138=0,J138,0)</f>
        <v>0</v>
      </c>
      <c r="AK138" s="31">
        <f>IF(AN138=12,J138,0)</f>
        <v>0</v>
      </c>
      <c r="AL138" s="31">
        <f>IF(AN138=21,J138,0)</f>
        <v>0</v>
      </c>
      <c r="AN138" s="31">
        <v>21</v>
      </c>
      <c r="AO138" s="31">
        <f>G138*0</f>
        <v>0</v>
      </c>
      <c r="AP138" s="31">
        <f>G138*(1-0)</f>
        <v>0</v>
      </c>
      <c r="AQ138" s="34" t="s">
        <v>101</v>
      </c>
      <c r="AV138" s="31">
        <f>ROUND(AW138+AX138,2)</f>
        <v>0</v>
      </c>
      <c r="AW138" s="31">
        <f>ROUND(F138*AO138,2)</f>
        <v>0</v>
      </c>
      <c r="AX138" s="31">
        <f>ROUND(F138*AP138,2)</f>
        <v>0</v>
      </c>
      <c r="AY138" s="34" t="s">
        <v>315</v>
      </c>
      <c r="AZ138" s="34" t="s">
        <v>304</v>
      </c>
      <c r="BA138" s="11" t="s">
        <v>63</v>
      </c>
      <c r="BC138" s="31">
        <f>AW138+AX138</f>
        <v>0</v>
      </c>
      <c r="BD138" s="31">
        <f>G138/(100-BE138)*100</f>
        <v>0</v>
      </c>
      <c r="BE138" s="31">
        <v>0</v>
      </c>
      <c r="BF138" s="31">
        <f>138</f>
        <v>138</v>
      </c>
      <c r="BH138" s="31">
        <f>F138*AO138</f>
        <v>0</v>
      </c>
      <c r="BI138" s="31">
        <f>F138*AP138</f>
        <v>0</v>
      </c>
      <c r="BJ138" s="31">
        <f>F138*G138</f>
        <v>0</v>
      </c>
      <c r="BK138" s="34" t="s">
        <v>64</v>
      </c>
      <c r="BL138" s="31">
        <v>766</v>
      </c>
      <c r="BW138" s="31">
        <v>21</v>
      </c>
      <c r="BX138" s="5" t="s">
        <v>318</v>
      </c>
    </row>
    <row r="139" spans="1:76" x14ac:dyDescent="0.25">
      <c r="A139" s="35"/>
      <c r="C139" s="36" t="s">
        <v>319</v>
      </c>
      <c r="D139" s="36" t="s">
        <v>52</v>
      </c>
      <c r="F139" s="37">
        <v>6</v>
      </c>
      <c r="K139" s="38"/>
    </row>
    <row r="140" spans="1:76" x14ac:dyDescent="0.25">
      <c r="A140" s="39" t="s">
        <v>320</v>
      </c>
      <c r="B140" s="40" t="s">
        <v>321</v>
      </c>
      <c r="C140" s="135" t="s">
        <v>322</v>
      </c>
      <c r="D140" s="136"/>
      <c r="E140" s="40" t="s">
        <v>81</v>
      </c>
      <c r="F140" s="42">
        <v>4</v>
      </c>
      <c r="G140" s="43">
        <v>0</v>
      </c>
      <c r="H140" s="42">
        <f t="shared" ref="H140:H146" si="0">ROUND(F140*AO140,2)</f>
        <v>0</v>
      </c>
      <c r="I140" s="42">
        <f t="shared" ref="I140:I146" si="1">ROUND(F140*AP140,2)</f>
        <v>0</v>
      </c>
      <c r="J140" s="42">
        <f t="shared" ref="J140:J146" si="2">ROUND(F140*G140,2)</f>
        <v>0</v>
      </c>
      <c r="K140" s="44" t="s">
        <v>60</v>
      </c>
      <c r="Z140" s="31">
        <f t="shared" ref="Z140:Z146" si="3">ROUND(IF(AQ140="5",BJ140,0),2)</f>
        <v>0</v>
      </c>
      <c r="AB140" s="31">
        <f t="shared" ref="AB140:AB146" si="4">ROUND(IF(AQ140="1",BH140,0),2)</f>
        <v>0</v>
      </c>
      <c r="AC140" s="31">
        <f t="shared" ref="AC140:AC146" si="5">ROUND(IF(AQ140="1",BI140,0),2)</f>
        <v>0</v>
      </c>
      <c r="AD140" s="31">
        <f t="shared" ref="AD140:AD146" si="6">ROUND(IF(AQ140="7",BH140,0),2)</f>
        <v>0</v>
      </c>
      <c r="AE140" s="31">
        <f t="shared" ref="AE140:AE146" si="7">ROUND(IF(AQ140="7",BI140,0),2)</f>
        <v>0</v>
      </c>
      <c r="AF140" s="31">
        <f t="shared" ref="AF140:AF146" si="8">ROUND(IF(AQ140="2",BH140,0),2)</f>
        <v>0</v>
      </c>
      <c r="AG140" s="31">
        <f t="shared" ref="AG140:AG146" si="9">ROUND(IF(AQ140="2",BI140,0),2)</f>
        <v>0</v>
      </c>
      <c r="AH140" s="31">
        <f t="shared" ref="AH140:AH146" si="10">ROUND(IF(AQ140="0",BJ140,0),2)</f>
        <v>0</v>
      </c>
      <c r="AI140" s="11" t="s">
        <v>56</v>
      </c>
      <c r="AJ140" s="42">
        <f t="shared" ref="AJ140:AJ146" si="11">IF(AN140=0,J140,0)</f>
        <v>0</v>
      </c>
      <c r="AK140" s="42">
        <f t="shared" ref="AK140:AK146" si="12">IF(AN140=12,J140,0)</f>
        <v>0</v>
      </c>
      <c r="AL140" s="42">
        <f t="shared" ref="AL140:AL146" si="13">IF(AN140=21,J140,0)</f>
        <v>0</v>
      </c>
      <c r="AN140" s="31">
        <v>21</v>
      </c>
      <c r="AO140" s="31">
        <f>G140*1</f>
        <v>0</v>
      </c>
      <c r="AP140" s="31">
        <f>G140*(1-1)</f>
        <v>0</v>
      </c>
      <c r="AQ140" s="45" t="s">
        <v>101</v>
      </c>
      <c r="AV140" s="31">
        <f t="shared" ref="AV140:AV146" si="14">ROUND(AW140+AX140,2)</f>
        <v>0</v>
      </c>
      <c r="AW140" s="31">
        <f t="shared" ref="AW140:AW146" si="15">ROUND(F140*AO140,2)</f>
        <v>0</v>
      </c>
      <c r="AX140" s="31">
        <f t="shared" ref="AX140:AX146" si="16">ROUND(F140*AP140,2)</f>
        <v>0</v>
      </c>
      <c r="AY140" s="34" t="s">
        <v>315</v>
      </c>
      <c r="AZ140" s="34" t="s">
        <v>304</v>
      </c>
      <c r="BA140" s="11" t="s">
        <v>63</v>
      </c>
      <c r="BC140" s="31">
        <f t="shared" ref="BC140:BC146" si="17">AW140+AX140</f>
        <v>0</v>
      </c>
      <c r="BD140" s="31">
        <f t="shared" ref="BD140:BD146" si="18">G140/(100-BE140)*100</f>
        <v>0</v>
      </c>
      <c r="BE140" s="31">
        <v>0</v>
      </c>
      <c r="BF140" s="31">
        <f>140</f>
        <v>140</v>
      </c>
      <c r="BH140" s="42">
        <f t="shared" ref="BH140:BH146" si="19">F140*AO140</f>
        <v>0</v>
      </c>
      <c r="BI140" s="42">
        <f t="shared" ref="BI140:BI146" si="20">F140*AP140</f>
        <v>0</v>
      </c>
      <c r="BJ140" s="42">
        <f t="shared" ref="BJ140:BJ146" si="21">F140*G140</f>
        <v>0</v>
      </c>
      <c r="BK140" s="45" t="s">
        <v>70</v>
      </c>
      <c r="BL140" s="31">
        <v>766</v>
      </c>
      <c r="BW140" s="31">
        <v>21</v>
      </c>
      <c r="BX140" s="41" t="s">
        <v>322</v>
      </c>
    </row>
    <row r="141" spans="1:76" x14ac:dyDescent="0.25">
      <c r="A141" s="39" t="s">
        <v>323</v>
      </c>
      <c r="B141" s="40" t="s">
        <v>324</v>
      </c>
      <c r="C141" s="135" t="s">
        <v>325</v>
      </c>
      <c r="D141" s="136"/>
      <c r="E141" s="40" t="s">
        <v>81</v>
      </c>
      <c r="F141" s="42">
        <v>1</v>
      </c>
      <c r="G141" s="43">
        <v>0</v>
      </c>
      <c r="H141" s="42">
        <f t="shared" si="0"/>
        <v>0</v>
      </c>
      <c r="I141" s="42">
        <f t="shared" si="1"/>
        <v>0</v>
      </c>
      <c r="J141" s="42">
        <f t="shared" si="2"/>
        <v>0</v>
      </c>
      <c r="K141" s="44" t="s">
        <v>60</v>
      </c>
      <c r="Z141" s="31">
        <f t="shared" si="3"/>
        <v>0</v>
      </c>
      <c r="AB141" s="31">
        <f t="shared" si="4"/>
        <v>0</v>
      </c>
      <c r="AC141" s="31">
        <f t="shared" si="5"/>
        <v>0</v>
      </c>
      <c r="AD141" s="31">
        <f t="shared" si="6"/>
        <v>0</v>
      </c>
      <c r="AE141" s="31">
        <f t="shared" si="7"/>
        <v>0</v>
      </c>
      <c r="AF141" s="31">
        <f t="shared" si="8"/>
        <v>0</v>
      </c>
      <c r="AG141" s="31">
        <f t="shared" si="9"/>
        <v>0</v>
      </c>
      <c r="AH141" s="31">
        <f t="shared" si="10"/>
        <v>0</v>
      </c>
      <c r="AI141" s="11" t="s">
        <v>56</v>
      </c>
      <c r="AJ141" s="42">
        <f t="shared" si="11"/>
        <v>0</v>
      </c>
      <c r="AK141" s="42">
        <f t="shared" si="12"/>
        <v>0</v>
      </c>
      <c r="AL141" s="42">
        <f t="shared" si="13"/>
        <v>0</v>
      </c>
      <c r="AN141" s="31">
        <v>21</v>
      </c>
      <c r="AO141" s="31">
        <f>G141*1</f>
        <v>0</v>
      </c>
      <c r="AP141" s="31">
        <f>G141*(1-1)</f>
        <v>0</v>
      </c>
      <c r="AQ141" s="45" t="s">
        <v>101</v>
      </c>
      <c r="AV141" s="31">
        <f t="shared" si="14"/>
        <v>0</v>
      </c>
      <c r="AW141" s="31">
        <f t="shared" si="15"/>
        <v>0</v>
      </c>
      <c r="AX141" s="31">
        <f t="shared" si="16"/>
        <v>0</v>
      </c>
      <c r="AY141" s="34" t="s">
        <v>315</v>
      </c>
      <c r="AZ141" s="34" t="s">
        <v>304</v>
      </c>
      <c r="BA141" s="11" t="s">
        <v>63</v>
      </c>
      <c r="BC141" s="31">
        <f t="shared" si="17"/>
        <v>0</v>
      </c>
      <c r="BD141" s="31">
        <f t="shared" si="18"/>
        <v>0</v>
      </c>
      <c r="BE141" s="31">
        <v>0</v>
      </c>
      <c r="BF141" s="31">
        <f>141</f>
        <v>141</v>
      </c>
      <c r="BH141" s="42">
        <f t="shared" si="19"/>
        <v>0</v>
      </c>
      <c r="BI141" s="42">
        <f t="shared" si="20"/>
        <v>0</v>
      </c>
      <c r="BJ141" s="42">
        <f t="shared" si="21"/>
        <v>0</v>
      </c>
      <c r="BK141" s="45" t="s">
        <v>70</v>
      </c>
      <c r="BL141" s="31">
        <v>766</v>
      </c>
      <c r="BW141" s="31">
        <v>21</v>
      </c>
      <c r="BX141" s="41" t="s">
        <v>325</v>
      </c>
    </row>
    <row r="142" spans="1:76" x14ac:dyDescent="0.25">
      <c r="A142" s="39" t="s">
        <v>326</v>
      </c>
      <c r="B142" s="40" t="s">
        <v>240</v>
      </c>
      <c r="C142" s="135" t="s">
        <v>327</v>
      </c>
      <c r="D142" s="136"/>
      <c r="E142" s="40" t="s">
        <v>81</v>
      </c>
      <c r="F142" s="42">
        <v>1</v>
      </c>
      <c r="G142" s="43">
        <v>0</v>
      </c>
      <c r="H142" s="42">
        <f t="shared" si="0"/>
        <v>0</v>
      </c>
      <c r="I142" s="42">
        <f t="shared" si="1"/>
        <v>0</v>
      </c>
      <c r="J142" s="42">
        <f t="shared" si="2"/>
        <v>0</v>
      </c>
      <c r="K142" s="44" t="s">
        <v>242</v>
      </c>
      <c r="Z142" s="31">
        <f t="shared" si="3"/>
        <v>0</v>
      </c>
      <c r="AB142" s="31">
        <f t="shared" si="4"/>
        <v>0</v>
      </c>
      <c r="AC142" s="31">
        <f t="shared" si="5"/>
        <v>0</v>
      </c>
      <c r="AD142" s="31">
        <f t="shared" si="6"/>
        <v>0</v>
      </c>
      <c r="AE142" s="31">
        <f t="shared" si="7"/>
        <v>0</v>
      </c>
      <c r="AF142" s="31">
        <f t="shared" si="8"/>
        <v>0</v>
      </c>
      <c r="AG142" s="31">
        <f t="shared" si="9"/>
        <v>0</v>
      </c>
      <c r="AH142" s="31">
        <f t="shared" si="10"/>
        <v>0</v>
      </c>
      <c r="AI142" s="11" t="s">
        <v>56</v>
      </c>
      <c r="AJ142" s="42">
        <f t="shared" si="11"/>
        <v>0</v>
      </c>
      <c r="AK142" s="42">
        <f t="shared" si="12"/>
        <v>0</v>
      </c>
      <c r="AL142" s="42">
        <f t="shared" si="13"/>
        <v>0</v>
      </c>
      <c r="AN142" s="31">
        <v>21</v>
      </c>
      <c r="AO142" s="31">
        <f>G142*1</f>
        <v>0</v>
      </c>
      <c r="AP142" s="31">
        <f>G142*(1-1)</f>
        <v>0</v>
      </c>
      <c r="AQ142" s="45" t="s">
        <v>101</v>
      </c>
      <c r="AV142" s="31">
        <f t="shared" si="14"/>
        <v>0</v>
      </c>
      <c r="AW142" s="31">
        <f t="shared" si="15"/>
        <v>0</v>
      </c>
      <c r="AX142" s="31">
        <f t="shared" si="16"/>
        <v>0</v>
      </c>
      <c r="AY142" s="34" t="s">
        <v>315</v>
      </c>
      <c r="AZ142" s="34" t="s">
        <v>304</v>
      </c>
      <c r="BA142" s="11" t="s">
        <v>63</v>
      </c>
      <c r="BC142" s="31">
        <f t="shared" si="17"/>
        <v>0</v>
      </c>
      <c r="BD142" s="31">
        <f t="shared" si="18"/>
        <v>0</v>
      </c>
      <c r="BE142" s="31">
        <v>0</v>
      </c>
      <c r="BF142" s="31">
        <f>142</f>
        <v>142</v>
      </c>
      <c r="BH142" s="42">
        <f t="shared" si="19"/>
        <v>0</v>
      </c>
      <c r="BI142" s="42">
        <f t="shared" si="20"/>
        <v>0</v>
      </c>
      <c r="BJ142" s="42">
        <f t="shared" si="21"/>
        <v>0</v>
      </c>
      <c r="BK142" s="45" t="s">
        <v>70</v>
      </c>
      <c r="BL142" s="31">
        <v>766</v>
      </c>
      <c r="BW142" s="31">
        <v>21</v>
      </c>
      <c r="BX142" s="41" t="s">
        <v>327</v>
      </c>
    </row>
    <row r="143" spans="1:76" x14ac:dyDescent="0.25">
      <c r="A143" s="2" t="s">
        <v>328</v>
      </c>
      <c r="B143" s="3" t="s">
        <v>329</v>
      </c>
      <c r="C143" s="112" t="s">
        <v>330</v>
      </c>
      <c r="D143" s="107"/>
      <c r="E143" s="3" t="s">
        <v>81</v>
      </c>
      <c r="F143" s="31">
        <v>6</v>
      </c>
      <c r="G143" s="32">
        <v>0</v>
      </c>
      <c r="H143" s="31">
        <f t="shared" si="0"/>
        <v>0</v>
      </c>
      <c r="I143" s="31">
        <f t="shared" si="1"/>
        <v>0</v>
      </c>
      <c r="J143" s="31">
        <f t="shared" si="2"/>
        <v>0</v>
      </c>
      <c r="K143" s="33" t="s">
        <v>60</v>
      </c>
      <c r="Z143" s="31">
        <f t="shared" si="3"/>
        <v>0</v>
      </c>
      <c r="AB143" s="31">
        <f t="shared" si="4"/>
        <v>0</v>
      </c>
      <c r="AC143" s="31">
        <f t="shared" si="5"/>
        <v>0</v>
      </c>
      <c r="AD143" s="31">
        <f t="shared" si="6"/>
        <v>0</v>
      </c>
      <c r="AE143" s="31">
        <f t="shared" si="7"/>
        <v>0</v>
      </c>
      <c r="AF143" s="31">
        <f t="shared" si="8"/>
        <v>0</v>
      </c>
      <c r="AG143" s="31">
        <f t="shared" si="9"/>
        <v>0</v>
      </c>
      <c r="AH143" s="31">
        <f t="shared" si="10"/>
        <v>0</v>
      </c>
      <c r="AI143" s="11" t="s">
        <v>56</v>
      </c>
      <c r="AJ143" s="31">
        <f t="shared" si="11"/>
        <v>0</v>
      </c>
      <c r="AK143" s="31">
        <f t="shared" si="12"/>
        <v>0</v>
      </c>
      <c r="AL143" s="31">
        <f t="shared" si="13"/>
        <v>0</v>
      </c>
      <c r="AN143" s="31">
        <v>21</v>
      </c>
      <c r="AO143" s="31">
        <f>G143*0</f>
        <v>0</v>
      </c>
      <c r="AP143" s="31">
        <f>G143*(1-0)</f>
        <v>0</v>
      </c>
      <c r="AQ143" s="34" t="s">
        <v>101</v>
      </c>
      <c r="AV143" s="31">
        <f t="shared" si="14"/>
        <v>0</v>
      </c>
      <c r="AW143" s="31">
        <f t="shared" si="15"/>
        <v>0</v>
      </c>
      <c r="AX143" s="31">
        <f t="shared" si="16"/>
        <v>0</v>
      </c>
      <c r="AY143" s="34" t="s">
        <v>315</v>
      </c>
      <c r="AZ143" s="34" t="s">
        <v>304</v>
      </c>
      <c r="BA143" s="11" t="s">
        <v>63</v>
      </c>
      <c r="BC143" s="31">
        <f t="shared" si="17"/>
        <v>0</v>
      </c>
      <c r="BD143" s="31">
        <f t="shared" si="18"/>
        <v>0</v>
      </c>
      <c r="BE143" s="31">
        <v>0</v>
      </c>
      <c r="BF143" s="31">
        <f>143</f>
        <v>143</v>
      </c>
      <c r="BH143" s="31">
        <f t="shared" si="19"/>
        <v>0</v>
      </c>
      <c r="BI143" s="31">
        <f t="shared" si="20"/>
        <v>0</v>
      </c>
      <c r="BJ143" s="31">
        <f t="shared" si="21"/>
        <v>0</v>
      </c>
      <c r="BK143" s="34" t="s">
        <v>64</v>
      </c>
      <c r="BL143" s="31">
        <v>766</v>
      </c>
      <c r="BW143" s="31">
        <v>21</v>
      </c>
      <c r="BX143" s="5" t="s">
        <v>330</v>
      </c>
    </row>
    <row r="144" spans="1:76" x14ac:dyDescent="0.25">
      <c r="A144" s="39" t="s">
        <v>331</v>
      </c>
      <c r="B144" s="40" t="s">
        <v>332</v>
      </c>
      <c r="C144" s="135" t="s">
        <v>333</v>
      </c>
      <c r="D144" s="136"/>
      <c r="E144" s="40" t="s">
        <v>81</v>
      </c>
      <c r="F144" s="42">
        <v>1</v>
      </c>
      <c r="G144" s="43">
        <v>0</v>
      </c>
      <c r="H144" s="42">
        <f t="shared" si="0"/>
        <v>0</v>
      </c>
      <c r="I144" s="42">
        <f t="shared" si="1"/>
        <v>0</v>
      </c>
      <c r="J144" s="42">
        <f t="shared" si="2"/>
        <v>0</v>
      </c>
      <c r="K144" s="44" t="s">
        <v>60</v>
      </c>
      <c r="Z144" s="31">
        <f t="shared" si="3"/>
        <v>0</v>
      </c>
      <c r="AB144" s="31">
        <f t="shared" si="4"/>
        <v>0</v>
      </c>
      <c r="AC144" s="31">
        <f t="shared" si="5"/>
        <v>0</v>
      </c>
      <c r="AD144" s="31">
        <f t="shared" si="6"/>
        <v>0</v>
      </c>
      <c r="AE144" s="31">
        <f t="shared" si="7"/>
        <v>0</v>
      </c>
      <c r="AF144" s="31">
        <f t="shared" si="8"/>
        <v>0</v>
      </c>
      <c r="AG144" s="31">
        <f t="shared" si="9"/>
        <v>0</v>
      </c>
      <c r="AH144" s="31">
        <f t="shared" si="10"/>
        <v>0</v>
      </c>
      <c r="AI144" s="11" t="s">
        <v>56</v>
      </c>
      <c r="AJ144" s="42">
        <f t="shared" si="11"/>
        <v>0</v>
      </c>
      <c r="AK144" s="42">
        <f t="shared" si="12"/>
        <v>0</v>
      </c>
      <c r="AL144" s="42">
        <f t="shared" si="13"/>
        <v>0</v>
      </c>
      <c r="AN144" s="31">
        <v>21</v>
      </c>
      <c r="AO144" s="31">
        <f>G144*1</f>
        <v>0</v>
      </c>
      <c r="AP144" s="31">
        <f>G144*(1-1)</f>
        <v>0</v>
      </c>
      <c r="AQ144" s="45" t="s">
        <v>101</v>
      </c>
      <c r="AV144" s="31">
        <f t="shared" si="14"/>
        <v>0</v>
      </c>
      <c r="AW144" s="31">
        <f t="shared" si="15"/>
        <v>0</v>
      </c>
      <c r="AX144" s="31">
        <f t="shared" si="16"/>
        <v>0</v>
      </c>
      <c r="AY144" s="34" t="s">
        <v>315</v>
      </c>
      <c r="AZ144" s="34" t="s">
        <v>304</v>
      </c>
      <c r="BA144" s="11" t="s">
        <v>63</v>
      </c>
      <c r="BC144" s="31">
        <f t="shared" si="17"/>
        <v>0</v>
      </c>
      <c r="BD144" s="31">
        <f t="shared" si="18"/>
        <v>0</v>
      </c>
      <c r="BE144" s="31">
        <v>0</v>
      </c>
      <c r="BF144" s="31">
        <f>144</f>
        <v>144</v>
      </c>
      <c r="BH144" s="42">
        <f t="shared" si="19"/>
        <v>0</v>
      </c>
      <c r="BI144" s="42">
        <f t="shared" si="20"/>
        <v>0</v>
      </c>
      <c r="BJ144" s="42">
        <f t="shared" si="21"/>
        <v>0</v>
      </c>
      <c r="BK144" s="45" t="s">
        <v>70</v>
      </c>
      <c r="BL144" s="31">
        <v>766</v>
      </c>
      <c r="BW144" s="31">
        <v>21</v>
      </c>
      <c r="BX144" s="41" t="s">
        <v>333</v>
      </c>
    </row>
    <row r="145" spans="1:76" x14ac:dyDescent="0.25">
      <c r="A145" s="39" t="s">
        <v>334</v>
      </c>
      <c r="B145" s="40" t="s">
        <v>332</v>
      </c>
      <c r="C145" s="135" t="s">
        <v>333</v>
      </c>
      <c r="D145" s="136"/>
      <c r="E145" s="40" t="s">
        <v>81</v>
      </c>
      <c r="F145" s="42">
        <v>5</v>
      </c>
      <c r="G145" s="43">
        <v>0</v>
      </c>
      <c r="H145" s="42">
        <f t="shared" si="0"/>
        <v>0</v>
      </c>
      <c r="I145" s="42">
        <f t="shared" si="1"/>
        <v>0</v>
      </c>
      <c r="J145" s="42">
        <f t="shared" si="2"/>
        <v>0</v>
      </c>
      <c r="K145" s="44" t="s">
        <v>60</v>
      </c>
      <c r="Z145" s="31">
        <f t="shared" si="3"/>
        <v>0</v>
      </c>
      <c r="AB145" s="31">
        <f t="shared" si="4"/>
        <v>0</v>
      </c>
      <c r="AC145" s="31">
        <f t="shared" si="5"/>
        <v>0</v>
      </c>
      <c r="AD145" s="31">
        <f t="shared" si="6"/>
        <v>0</v>
      </c>
      <c r="AE145" s="31">
        <f t="shared" si="7"/>
        <v>0</v>
      </c>
      <c r="AF145" s="31">
        <f t="shared" si="8"/>
        <v>0</v>
      </c>
      <c r="AG145" s="31">
        <f t="shared" si="9"/>
        <v>0</v>
      </c>
      <c r="AH145" s="31">
        <f t="shared" si="10"/>
        <v>0</v>
      </c>
      <c r="AI145" s="11" t="s">
        <v>56</v>
      </c>
      <c r="AJ145" s="42">
        <f t="shared" si="11"/>
        <v>0</v>
      </c>
      <c r="AK145" s="42">
        <f t="shared" si="12"/>
        <v>0</v>
      </c>
      <c r="AL145" s="42">
        <f t="shared" si="13"/>
        <v>0</v>
      </c>
      <c r="AN145" s="31">
        <v>21</v>
      </c>
      <c r="AO145" s="31">
        <f>G145*1</f>
        <v>0</v>
      </c>
      <c r="AP145" s="31">
        <f>G145*(1-1)</f>
        <v>0</v>
      </c>
      <c r="AQ145" s="45" t="s">
        <v>101</v>
      </c>
      <c r="AV145" s="31">
        <f t="shared" si="14"/>
        <v>0</v>
      </c>
      <c r="AW145" s="31">
        <f t="shared" si="15"/>
        <v>0</v>
      </c>
      <c r="AX145" s="31">
        <f t="shared" si="16"/>
        <v>0</v>
      </c>
      <c r="AY145" s="34" t="s">
        <v>315</v>
      </c>
      <c r="AZ145" s="34" t="s">
        <v>304</v>
      </c>
      <c r="BA145" s="11" t="s">
        <v>63</v>
      </c>
      <c r="BC145" s="31">
        <f t="shared" si="17"/>
        <v>0</v>
      </c>
      <c r="BD145" s="31">
        <f t="shared" si="18"/>
        <v>0</v>
      </c>
      <c r="BE145" s="31">
        <v>0</v>
      </c>
      <c r="BF145" s="31">
        <f>145</f>
        <v>145</v>
      </c>
      <c r="BH145" s="42">
        <f t="shared" si="19"/>
        <v>0</v>
      </c>
      <c r="BI145" s="42">
        <f t="shared" si="20"/>
        <v>0</v>
      </c>
      <c r="BJ145" s="42">
        <f t="shared" si="21"/>
        <v>0</v>
      </c>
      <c r="BK145" s="45" t="s">
        <v>70</v>
      </c>
      <c r="BL145" s="31">
        <v>766</v>
      </c>
      <c r="BW145" s="31">
        <v>21</v>
      </c>
      <c r="BX145" s="41" t="s">
        <v>333</v>
      </c>
    </row>
    <row r="146" spans="1:76" x14ac:dyDescent="0.25">
      <c r="A146" s="2" t="s">
        <v>335</v>
      </c>
      <c r="B146" s="3" t="s">
        <v>240</v>
      </c>
      <c r="C146" s="112" t="s">
        <v>336</v>
      </c>
      <c r="D146" s="107"/>
      <c r="E146" s="3" t="s">
        <v>81</v>
      </c>
      <c r="F146" s="31">
        <v>1</v>
      </c>
      <c r="G146" s="32">
        <v>0</v>
      </c>
      <c r="H146" s="31">
        <f t="shared" si="0"/>
        <v>0</v>
      </c>
      <c r="I146" s="31">
        <f t="shared" si="1"/>
        <v>0</v>
      </c>
      <c r="J146" s="31">
        <f t="shared" si="2"/>
        <v>0</v>
      </c>
      <c r="K146" s="33" t="s">
        <v>60</v>
      </c>
      <c r="Z146" s="31">
        <f t="shared" si="3"/>
        <v>0</v>
      </c>
      <c r="AB146" s="31">
        <f t="shared" si="4"/>
        <v>0</v>
      </c>
      <c r="AC146" s="31">
        <f t="shared" si="5"/>
        <v>0</v>
      </c>
      <c r="AD146" s="31">
        <f t="shared" si="6"/>
        <v>0</v>
      </c>
      <c r="AE146" s="31">
        <f t="shared" si="7"/>
        <v>0</v>
      </c>
      <c r="AF146" s="31">
        <f t="shared" si="8"/>
        <v>0</v>
      </c>
      <c r="AG146" s="31">
        <f t="shared" si="9"/>
        <v>0</v>
      </c>
      <c r="AH146" s="31">
        <f t="shared" si="10"/>
        <v>0</v>
      </c>
      <c r="AI146" s="11" t="s">
        <v>56</v>
      </c>
      <c r="AJ146" s="31">
        <f t="shared" si="11"/>
        <v>0</v>
      </c>
      <c r="AK146" s="31">
        <f t="shared" si="12"/>
        <v>0</v>
      </c>
      <c r="AL146" s="31">
        <f t="shared" si="13"/>
        <v>0</v>
      </c>
      <c r="AN146" s="31">
        <v>21</v>
      </c>
      <c r="AO146" s="31">
        <f>G146*0</f>
        <v>0</v>
      </c>
      <c r="AP146" s="31">
        <f>G146*(1-0)</f>
        <v>0</v>
      </c>
      <c r="AQ146" s="34" t="s">
        <v>101</v>
      </c>
      <c r="AV146" s="31">
        <f t="shared" si="14"/>
        <v>0</v>
      </c>
      <c r="AW146" s="31">
        <f t="shared" si="15"/>
        <v>0</v>
      </c>
      <c r="AX146" s="31">
        <f t="shared" si="16"/>
        <v>0</v>
      </c>
      <c r="AY146" s="34" t="s">
        <v>315</v>
      </c>
      <c r="AZ146" s="34" t="s">
        <v>304</v>
      </c>
      <c r="BA146" s="11" t="s">
        <v>63</v>
      </c>
      <c r="BC146" s="31">
        <f t="shared" si="17"/>
        <v>0</v>
      </c>
      <c r="BD146" s="31">
        <f t="shared" si="18"/>
        <v>0</v>
      </c>
      <c r="BE146" s="31">
        <v>0</v>
      </c>
      <c r="BF146" s="31">
        <f>146</f>
        <v>146</v>
      </c>
      <c r="BH146" s="31">
        <f t="shared" si="19"/>
        <v>0</v>
      </c>
      <c r="BI146" s="31">
        <f t="shared" si="20"/>
        <v>0</v>
      </c>
      <c r="BJ146" s="31">
        <f t="shared" si="21"/>
        <v>0</v>
      </c>
      <c r="BK146" s="34" t="s">
        <v>64</v>
      </c>
      <c r="BL146" s="31">
        <v>766</v>
      </c>
      <c r="BW146" s="31">
        <v>21</v>
      </c>
      <c r="BX146" s="5" t="s">
        <v>336</v>
      </c>
    </row>
    <row r="147" spans="1:76" x14ac:dyDescent="0.25">
      <c r="A147" s="35"/>
      <c r="C147" s="36" t="s">
        <v>56</v>
      </c>
      <c r="D147" s="36" t="s">
        <v>337</v>
      </c>
      <c r="F147" s="37">
        <v>1</v>
      </c>
      <c r="K147" s="38"/>
    </row>
    <row r="148" spans="1:76" x14ac:dyDescent="0.25">
      <c r="A148" s="2" t="s">
        <v>338</v>
      </c>
      <c r="B148" s="3" t="s">
        <v>329</v>
      </c>
      <c r="C148" s="112" t="s">
        <v>330</v>
      </c>
      <c r="D148" s="107"/>
      <c r="E148" s="3" t="s">
        <v>81</v>
      </c>
      <c r="F148" s="31">
        <v>1</v>
      </c>
      <c r="G148" s="32">
        <v>0</v>
      </c>
      <c r="H148" s="31">
        <f>ROUND(F148*AO148,2)</f>
        <v>0</v>
      </c>
      <c r="I148" s="31">
        <f>ROUND(F148*AP148,2)</f>
        <v>0</v>
      </c>
      <c r="J148" s="31">
        <f>ROUND(F148*G148,2)</f>
        <v>0</v>
      </c>
      <c r="K148" s="33" t="s">
        <v>60</v>
      </c>
      <c r="Z148" s="31">
        <f>ROUND(IF(AQ148="5",BJ148,0),2)</f>
        <v>0</v>
      </c>
      <c r="AB148" s="31">
        <f>ROUND(IF(AQ148="1",BH148,0),2)</f>
        <v>0</v>
      </c>
      <c r="AC148" s="31">
        <f>ROUND(IF(AQ148="1",BI148,0),2)</f>
        <v>0</v>
      </c>
      <c r="AD148" s="31">
        <f>ROUND(IF(AQ148="7",BH148,0),2)</f>
        <v>0</v>
      </c>
      <c r="AE148" s="31">
        <f>ROUND(IF(AQ148="7",BI148,0),2)</f>
        <v>0</v>
      </c>
      <c r="AF148" s="31">
        <f>ROUND(IF(AQ148="2",BH148,0),2)</f>
        <v>0</v>
      </c>
      <c r="AG148" s="31">
        <f>ROUND(IF(AQ148="2",BI148,0),2)</f>
        <v>0</v>
      </c>
      <c r="AH148" s="31">
        <f>ROUND(IF(AQ148="0",BJ148,0),2)</f>
        <v>0</v>
      </c>
      <c r="AI148" s="11" t="s">
        <v>56</v>
      </c>
      <c r="AJ148" s="31">
        <f>IF(AN148=0,J148,0)</f>
        <v>0</v>
      </c>
      <c r="AK148" s="31">
        <f>IF(AN148=12,J148,0)</f>
        <v>0</v>
      </c>
      <c r="AL148" s="31">
        <f>IF(AN148=21,J148,0)</f>
        <v>0</v>
      </c>
      <c r="AN148" s="31">
        <v>21</v>
      </c>
      <c r="AO148" s="31">
        <f>G148*0</f>
        <v>0</v>
      </c>
      <c r="AP148" s="31">
        <f>G148*(1-0)</f>
        <v>0</v>
      </c>
      <c r="AQ148" s="34" t="s">
        <v>101</v>
      </c>
      <c r="AV148" s="31">
        <f>ROUND(AW148+AX148,2)</f>
        <v>0</v>
      </c>
      <c r="AW148" s="31">
        <f>ROUND(F148*AO148,2)</f>
        <v>0</v>
      </c>
      <c r="AX148" s="31">
        <f>ROUND(F148*AP148,2)</f>
        <v>0</v>
      </c>
      <c r="AY148" s="34" t="s">
        <v>315</v>
      </c>
      <c r="AZ148" s="34" t="s">
        <v>304</v>
      </c>
      <c r="BA148" s="11" t="s">
        <v>63</v>
      </c>
      <c r="BC148" s="31">
        <f>AW148+AX148</f>
        <v>0</v>
      </c>
      <c r="BD148" s="31">
        <f>G148/(100-BE148)*100</f>
        <v>0</v>
      </c>
      <c r="BE148" s="31">
        <v>0</v>
      </c>
      <c r="BF148" s="31">
        <f>148</f>
        <v>148</v>
      </c>
      <c r="BH148" s="31">
        <f>F148*AO148</f>
        <v>0</v>
      </c>
      <c r="BI148" s="31">
        <f>F148*AP148</f>
        <v>0</v>
      </c>
      <c r="BJ148" s="31">
        <f>F148*G148</f>
        <v>0</v>
      </c>
      <c r="BK148" s="34" t="s">
        <v>64</v>
      </c>
      <c r="BL148" s="31">
        <v>766</v>
      </c>
      <c r="BW148" s="31">
        <v>21</v>
      </c>
      <c r="BX148" s="5" t="s">
        <v>330</v>
      </c>
    </row>
    <row r="149" spans="1:76" x14ac:dyDescent="0.25">
      <c r="A149" s="35"/>
      <c r="C149" s="36" t="s">
        <v>56</v>
      </c>
      <c r="D149" s="36" t="s">
        <v>337</v>
      </c>
      <c r="F149" s="37">
        <v>1</v>
      </c>
      <c r="K149" s="38"/>
    </row>
    <row r="150" spans="1:76" x14ac:dyDescent="0.25">
      <c r="A150" s="39" t="s">
        <v>339</v>
      </c>
      <c r="B150" s="40" t="s">
        <v>240</v>
      </c>
      <c r="C150" s="135" t="s">
        <v>340</v>
      </c>
      <c r="D150" s="136"/>
      <c r="E150" s="40" t="s">
        <v>81</v>
      </c>
      <c r="F150" s="42">
        <v>1</v>
      </c>
      <c r="G150" s="43">
        <v>0</v>
      </c>
      <c r="H150" s="42">
        <f>ROUND(F150*AO150,2)</f>
        <v>0</v>
      </c>
      <c r="I150" s="42">
        <f>ROUND(F150*AP150,2)</f>
        <v>0</v>
      </c>
      <c r="J150" s="42">
        <f>ROUND(F150*G150,2)</f>
        <v>0</v>
      </c>
      <c r="K150" s="44" t="s">
        <v>242</v>
      </c>
      <c r="Z150" s="31">
        <f>ROUND(IF(AQ150="5",BJ150,0),2)</f>
        <v>0</v>
      </c>
      <c r="AB150" s="31">
        <f>ROUND(IF(AQ150="1",BH150,0),2)</f>
        <v>0</v>
      </c>
      <c r="AC150" s="31">
        <f>ROUND(IF(AQ150="1",BI150,0),2)</f>
        <v>0</v>
      </c>
      <c r="AD150" s="31">
        <f>ROUND(IF(AQ150="7",BH150,0),2)</f>
        <v>0</v>
      </c>
      <c r="AE150" s="31">
        <f>ROUND(IF(AQ150="7",BI150,0),2)</f>
        <v>0</v>
      </c>
      <c r="AF150" s="31">
        <f>ROUND(IF(AQ150="2",BH150,0),2)</f>
        <v>0</v>
      </c>
      <c r="AG150" s="31">
        <f>ROUND(IF(AQ150="2",BI150,0),2)</f>
        <v>0</v>
      </c>
      <c r="AH150" s="31">
        <f>ROUND(IF(AQ150="0",BJ150,0),2)</f>
        <v>0</v>
      </c>
      <c r="AI150" s="11" t="s">
        <v>56</v>
      </c>
      <c r="AJ150" s="42">
        <f>IF(AN150=0,J150,0)</f>
        <v>0</v>
      </c>
      <c r="AK150" s="42">
        <f>IF(AN150=12,J150,0)</f>
        <v>0</v>
      </c>
      <c r="AL150" s="42">
        <f>IF(AN150=21,J150,0)</f>
        <v>0</v>
      </c>
      <c r="AN150" s="31">
        <v>21</v>
      </c>
      <c r="AO150" s="31">
        <f>G150*1</f>
        <v>0</v>
      </c>
      <c r="AP150" s="31">
        <f>G150*(1-1)</f>
        <v>0</v>
      </c>
      <c r="AQ150" s="45" t="s">
        <v>101</v>
      </c>
      <c r="AV150" s="31">
        <f>ROUND(AW150+AX150,2)</f>
        <v>0</v>
      </c>
      <c r="AW150" s="31">
        <f>ROUND(F150*AO150,2)</f>
        <v>0</v>
      </c>
      <c r="AX150" s="31">
        <f>ROUND(F150*AP150,2)</f>
        <v>0</v>
      </c>
      <c r="AY150" s="34" t="s">
        <v>315</v>
      </c>
      <c r="AZ150" s="34" t="s">
        <v>304</v>
      </c>
      <c r="BA150" s="11" t="s">
        <v>63</v>
      </c>
      <c r="BC150" s="31">
        <f>AW150+AX150</f>
        <v>0</v>
      </c>
      <c r="BD150" s="31">
        <f>G150/(100-BE150)*100</f>
        <v>0</v>
      </c>
      <c r="BE150" s="31">
        <v>0</v>
      </c>
      <c r="BF150" s="31">
        <f>150</f>
        <v>150</v>
      </c>
      <c r="BH150" s="42">
        <f>F150*AO150</f>
        <v>0</v>
      </c>
      <c r="BI150" s="42">
        <f>F150*AP150</f>
        <v>0</v>
      </c>
      <c r="BJ150" s="42">
        <f>F150*G150</f>
        <v>0</v>
      </c>
      <c r="BK150" s="45" t="s">
        <v>70</v>
      </c>
      <c r="BL150" s="31">
        <v>766</v>
      </c>
      <c r="BW150" s="31">
        <v>21</v>
      </c>
      <c r="BX150" s="41" t="s">
        <v>340</v>
      </c>
    </row>
    <row r="151" spans="1:76" x14ac:dyDescent="0.25">
      <c r="A151" s="2" t="s">
        <v>341</v>
      </c>
      <c r="B151" s="3" t="s">
        <v>342</v>
      </c>
      <c r="C151" s="112" t="s">
        <v>343</v>
      </c>
      <c r="D151" s="107"/>
      <c r="E151" s="3" t="s">
        <v>276</v>
      </c>
      <c r="F151" s="31">
        <v>0.1048</v>
      </c>
      <c r="G151" s="32">
        <v>0</v>
      </c>
      <c r="H151" s="31">
        <f>ROUND(F151*AO151,2)</f>
        <v>0</v>
      </c>
      <c r="I151" s="31">
        <f>ROUND(F151*AP151,2)</f>
        <v>0</v>
      </c>
      <c r="J151" s="31">
        <f>ROUND(F151*G151,2)</f>
        <v>0</v>
      </c>
      <c r="K151" s="33" t="s">
        <v>60</v>
      </c>
      <c r="Z151" s="31">
        <f>ROUND(IF(AQ151="5",BJ151,0),2)</f>
        <v>0</v>
      </c>
      <c r="AB151" s="31">
        <f>ROUND(IF(AQ151="1",BH151,0),2)</f>
        <v>0</v>
      </c>
      <c r="AC151" s="31">
        <f>ROUND(IF(AQ151="1",BI151,0),2)</f>
        <v>0</v>
      </c>
      <c r="AD151" s="31">
        <f>ROUND(IF(AQ151="7",BH151,0),2)</f>
        <v>0</v>
      </c>
      <c r="AE151" s="31">
        <f>ROUND(IF(AQ151="7",BI151,0),2)</f>
        <v>0</v>
      </c>
      <c r="AF151" s="31">
        <f>ROUND(IF(AQ151="2",BH151,0),2)</f>
        <v>0</v>
      </c>
      <c r="AG151" s="31">
        <f>ROUND(IF(AQ151="2",BI151,0),2)</f>
        <v>0</v>
      </c>
      <c r="AH151" s="31">
        <f>ROUND(IF(AQ151="0",BJ151,0),2)</f>
        <v>0</v>
      </c>
      <c r="AI151" s="11" t="s">
        <v>56</v>
      </c>
      <c r="AJ151" s="31">
        <f>IF(AN151=0,J151,0)</f>
        <v>0</v>
      </c>
      <c r="AK151" s="31">
        <f>IF(AN151=12,J151,0)</f>
        <v>0</v>
      </c>
      <c r="AL151" s="31">
        <f>IF(AN151=21,J151,0)</f>
        <v>0</v>
      </c>
      <c r="AN151" s="31">
        <v>21</v>
      </c>
      <c r="AO151" s="31">
        <f>G151*0</f>
        <v>0</v>
      </c>
      <c r="AP151" s="31">
        <f>G151*(1-0)</f>
        <v>0</v>
      </c>
      <c r="AQ151" s="34" t="s">
        <v>85</v>
      </c>
      <c r="AV151" s="31">
        <f>ROUND(AW151+AX151,2)</f>
        <v>0</v>
      </c>
      <c r="AW151" s="31">
        <f>ROUND(F151*AO151,2)</f>
        <v>0</v>
      </c>
      <c r="AX151" s="31">
        <f>ROUND(F151*AP151,2)</f>
        <v>0</v>
      </c>
      <c r="AY151" s="34" t="s">
        <v>315</v>
      </c>
      <c r="AZ151" s="34" t="s">
        <v>304</v>
      </c>
      <c r="BA151" s="11" t="s">
        <v>63</v>
      </c>
      <c r="BC151" s="31">
        <f>AW151+AX151</f>
        <v>0</v>
      </c>
      <c r="BD151" s="31">
        <f>G151/(100-BE151)*100</f>
        <v>0</v>
      </c>
      <c r="BE151" s="31">
        <v>0</v>
      </c>
      <c r="BF151" s="31">
        <f>151</f>
        <v>151</v>
      </c>
      <c r="BH151" s="31">
        <f>F151*AO151</f>
        <v>0</v>
      </c>
      <c r="BI151" s="31">
        <f>F151*AP151</f>
        <v>0</v>
      </c>
      <c r="BJ151" s="31">
        <f>F151*G151</f>
        <v>0</v>
      </c>
      <c r="BK151" s="34" t="s">
        <v>64</v>
      </c>
      <c r="BL151" s="31">
        <v>766</v>
      </c>
      <c r="BW151" s="31">
        <v>21</v>
      </c>
      <c r="BX151" s="5" t="s">
        <v>343</v>
      </c>
    </row>
    <row r="152" spans="1:76" x14ac:dyDescent="0.25">
      <c r="A152" s="26" t="s">
        <v>52</v>
      </c>
      <c r="B152" s="27" t="s">
        <v>344</v>
      </c>
      <c r="C152" s="133" t="s">
        <v>345</v>
      </c>
      <c r="D152" s="134"/>
      <c r="E152" s="28" t="s">
        <v>4</v>
      </c>
      <c r="F152" s="28" t="s">
        <v>4</v>
      </c>
      <c r="G152" s="29" t="s">
        <v>4</v>
      </c>
      <c r="H152" s="1">
        <f>SUM(H153:H195)</f>
        <v>0</v>
      </c>
      <c r="I152" s="1">
        <f>SUM(I153:I195)</f>
        <v>0</v>
      </c>
      <c r="J152" s="1">
        <f>SUM(J153:J195)</f>
        <v>0</v>
      </c>
      <c r="K152" s="30" t="s">
        <v>52</v>
      </c>
      <c r="AI152" s="11" t="s">
        <v>56</v>
      </c>
      <c r="AS152" s="1">
        <f>SUM(AJ153:AJ195)</f>
        <v>0</v>
      </c>
      <c r="AT152" s="1">
        <f>SUM(AK153:AK195)</f>
        <v>0</v>
      </c>
      <c r="AU152" s="1">
        <f>SUM(AL153:AL195)</f>
        <v>0</v>
      </c>
    </row>
    <row r="153" spans="1:76" x14ac:dyDescent="0.25">
      <c r="A153" s="2" t="s">
        <v>346</v>
      </c>
      <c r="B153" s="3" t="s">
        <v>347</v>
      </c>
      <c r="C153" s="112" t="s">
        <v>348</v>
      </c>
      <c r="D153" s="107"/>
      <c r="E153" s="3" t="s">
        <v>59</v>
      </c>
      <c r="F153" s="31">
        <v>12.75</v>
      </c>
      <c r="G153" s="32">
        <v>0</v>
      </c>
      <c r="H153" s="31">
        <f>ROUND(F153*AO153,2)</f>
        <v>0</v>
      </c>
      <c r="I153" s="31">
        <f>ROUND(F153*AP153,2)</f>
        <v>0</v>
      </c>
      <c r="J153" s="31">
        <f>ROUND(F153*G153,2)</f>
        <v>0</v>
      </c>
      <c r="K153" s="33" t="s">
        <v>60</v>
      </c>
      <c r="Z153" s="31">
        <f>ROUND(IF(AQ153="5",BJ153,0),2)</f>
        <v>0</v>
      </c>
      <c r="AB153" s="31">
        <f>ROUND(IF(AQ153="1",BH153,0),2)</f>
        <v>0</v>
      </c>
      <c r="AC153" s="31">
        <f>ROUND(IF(AQ153="1",BI153,0),2)</f>
        <v>0</v>
      </c>
      <c r="AD153" s="31">
        <f>ROUND(IF(AQ153="7",BH153,0),2)</f>
        <v>0</v>
      </c>
      <c r="AE153" s="31">
        <f>ROUND(IF(AQ153="7",BI153,0),2)</f>
        <v>0</v>
      </c>
      <c r="AF153" s="31">
        <f>ROUND(IF(AQ153="2",BH153,0),2)</f>
        <v>0</v>
      </c>
      <c r="AG153" s="31">
        <f>ROUND(IF(AQ153="2",BI153,0),2)</f>
        <v>0</v>
      </c>
      <c r="AH153" s="31">
        <f>ROUND(IF(AQ153="0",BJ153,0),2)</f>
        <v>0</v>
      </c>
      <c r="AI153" s="11" t="s">
        <v>56</v>
      </c>
      <c r="AJ153" s="31">
        <f>IF(AN153=0,J153,0)</f>
        <v>0</v>
      </c>
      <c r="AK153" s="31">
        <f>IF(AN153=12,J153,0)</f>
        <v>0</v>
      </c>
      <c r="AL153" s="31">
        <f>IF(AN153=21,J153,0)</f>
        <v>0</v>
      </c>
      <c r="AN153" s="31">
        <v>21</v>
      </c>
      <c r="AO153" s="31">
        <f>G153*0</f>
        <v>0</v>
      </c>
      <c r="AP153" s="31">
        <f>G153*(1-0)</f>
        <v>0</v>
      </c>
      <c r="AQ153" s="34" t="s">
        <v>101</v>
      </c>
      <c r="AV153" s="31">
        <f>ROUND(AW153+AX153,2)</f>
        <v>0</v>
      </c>
      <c r="AW153" s="31">
        <f>ROUND(F153*AO153,2)</f>
        <v>0</v>
      </c>
      <c r="AX153" s="31">
        <f>ROUND(F153*AP153,2)</f>
        <v>0</v>
      </c>
      <c r="AY153" s="34" t="s">
        <v>349</v>
      </c>
      <c r="AZ153" s="34" t="s">
        <v>304</v>
      </c>
      <c r="BA153" s="11" t="s">
        <v>63</v>
      </c>
      <c r="BC153" s="31">
        <f>AW153+AX153</f>
        <v>0</v>
      </c>
      <c r="BD153" s="31">
        <f>G153/(100-BE153)*100</f>
        <v>0</v>
      </c>
      <c r="BE153" s="31">
        <v>0</v>
      </c>
      <c r="BF153" s="31">
        <f>153</f>
        <v>153</v>
      </c>
      <c r="BH153" s="31">
        <f>F153*AO153</f>
        <v>0</v>
      </c>
      <c r="BI153" s="31">
        <f>F153*AP153</f>
        <v>0</v>
      </c>
      <c r="BJ153" s="31">
        <f>F153*G153</f>
        <v>0</v>
      </c>
      <c r="BK153" s="34" t="s">
        <v>64</v>
      </c>
      <c r="BL153" s="31">
        <v>767</v>
      </c>
      <c r="BW153" s="31">
        <v>21</v>
      </c>
      <c r="BX153" s="5" t="s">
        <v>348</v>
      </c>
    </row>
    <row r="154" spans="1:76" x14ac:dyDescent="0.25">
      <c r="A154" s="35"/>
      <c r="C154" s="36" t="s">
        <v>350</v>
      </c>
      <c r="D154" s="36" t="s">
        <v>351</v>
      </c>
      <c r="F154" s="37">
        <v>12.75</v>
      </c>
      <c r="K154" s="38"/>
    </row>
    <row r="155" spans="1:76" x14ac:dyDescent="0.25">
      <c r="A155" s="2" t="s">
        <v>352</v>
      </c>
      <c r="B155" s="3" t="s">
        <v>353</v>
      </c>
      <c r="C155" s="112" t="s">
        <v>354</v>
      </c>
      <c r="D155" s="107"/>
      <c r="E155" s="3" t="s">
        <v>69</v>
      </c>
      <c r="F155" s="31">
        <v>278</v>
      </c>
      <c r="G155" s="32">
        <v>0</v>
      </c>
      <c r="H155" s="31">
        <f>ROUND(F155*AO155,2)</f>
        <v>0</v>
      </c>
      <c r="I155" s="31">
        <f>ROUND(F155*AP155,2)</f>
        <v>0</v>
      </c>
      <c r="J155" s="31">
        <f>ROUND(F155*G155,2)</f>
        <v>0</v>
      </c>
      <c r="K155" s="33" t="s">
        <v>60</v>
      </c>
      <c r="Z155" s="31">
        <f>ROUND(IF(AQ155="5",BJ155,0),2)</f>
        <v>0</v>
      </c>
      <c r="AB155" s="31">
        <f>ROUND(IF(AQ155="1",BH155,0),2)</f>
        <v>0</v>
      </c>
      <c r="AC155" s="31">
        <f>ROUND(IF(AQ155="1",BI155,0),2)</f>
        <v>0</v>
      </c>
      <c r="AD155" s="31">
        <f>ROUND(IF(AQ155="7",BH155,0),2)</f>
        <v>0</v>
      </c>
      <c r="AE155" s="31">
        <f>ROUND(IF(AQ155="7",BI155,0),2)</f>
        <v>0</v>
      </c>
      <c r="AF155" s="31">
        <f>ROUND(IF(AQ155="2",BH155,0),2)</f>
        <v>0</v>
      </c>
      <c r="AG155" s="31">
        <f>ROUND(IF(AQ155="2",BI155,0),2)</f>
        <v>0</v>
      </c>
      <c r="AH155" s="31">
        <f>ROUND(IF(AQ155="0",BJ155,0),2)</f>
        <v>0</v>
      </c>
      <c r="AI155" s="11" t="s">
        <v>56</v>
      </c>
      <c r="AJ155" s="31">
        <f>IF(AN155=0,J155,0)</f>
        <v>0</v>
      </c>
      <c r="AK155" s="31">
        <f>IF(AN155=12,J155,0)</f>
        <v>0</v>
      </c>
      <c r="AL155" s="31">
        <f>IF(AN155=21,J155,0)</f>
        <v>0</v>
      </c>
      <c r="AN155" s="31">
        <v>21</v>
      </c>
      <c r="AO155" s="31">
        <f>G155*0.181339713</f>
        <v>0</v>
      </c>
      <c r="AP155" s="31">
        <f>G155*(1-0.181339713)</f>
        <v>0</v>
      </c>
      <c r="AQ155" s="34" t="s">
        <v>101</v>
      </c>
      <c r="AV155" s="31">
        <f>ROUND(AW155+AX155,2)</f>
        <v>0</v>
      </c>
      <c r="AW155" s="31">
        <f>ROUND(F155*AO155,2)</f>
        <v>0</v>
      </c>
      <c r="AX155" s="31">
        <f>ROUND(F155*AP155,2)</f>
        <v>0</v>
      </c>
      <c r="AY155" s="34" t="s">
        <v>349</v>
      </c>
      <c r="AZ155" s="34" t="s">
        <v>304</v>
      </c>
      <c r="BA155" s="11" t="s">
        <v>63</v>
      </c>
      <c r="BC155" s="31">
        <f>AW155+AX155</f>
        <v>0</v>
      </c>
      <c r="BD155" s="31">
        <f>G155/(100-BE155)*100</f>
        <v>0</v>
      </c>
      <c r="BE155" s="31">
        <v>0</v>
      </c>
      <c r="BF155" s="31">
        <f>155</f>
        <v>155</v>
      </c>
      <c r="BH155" s="31">
        <f>F155*AO155</f>
        <v>0</v>
      </c>
      <c r="BI155" s="31">
        <f>F155*AP155</f>
        <v>0</v>
      </c>
      <c r="BJ155" s="31">
        <f>F155*G155</f>
        <v>0</v>
      </c>
      <c r="BK155" s="34" t="s">
        <v>64</v>
      </c>
      <c r="BL155" s="31">
        <v>767</v>
      </c>
      <c r="BW155" s="31">
        <v>21</v>
      </c>
      <c r="BX155" s="5" t="s">
        <v>354</v>
      </c>
    </row>
    <row r="156" spans="1:76" x14ac:dyDescent="0.25">
      <c r="A156" s="35"/>
      <c r="C156" s="36" t="s">
        <v>355</v>
      </c>
      <c r="D156" s="36" t="s">
        <v>356</v>
      </c>
      <c r="F156" s="37">
        <v>53</v>
      </c>
      <c r="K156" s="38"/>
    </row>
    <row r="157" spans="1:76" x14ac:dyDescent="0.25">
      <c r="A157" s="35"/>
      <c r="C157" s="36" t="s">
        <v>357</v>
      </c>
      <c r="D157" s="36" t="s">
        <v>358</v>
      </c>
      <c r="F157" s="37">
        <v>105</v>
      </c>
      <c r="K157" s="38"/>
    </row>
    <row r="158" spans="1:76" x14ac:dyDescent="0.25">
      <c r="A158" s="35"/>
      <c r="C158" s="36" t="s">
        <v>359</v>
      </c>
      <c r="D158" s="36" t="s">
        <v>360</v>
      </c>
      <c r="F158" s="37">
        <v>120</v>
      </c>
      <c r="K158" s="38"/>
    </row>
    <row r="159" spans="1:76" x14ac:dyDescent="0.25">
      <c r="A159" s="2" t="s">
        <v>361</v>
      </c>
      <c r="B159" s="3" t="s">
        <v>362</v>
      </c>
      <c r="C159" s="112" t="s">
        <v>363</v>
      </c>
      <c r="D159" s="107"/>
      <c r="E159" s="3" t="s">
        <v>59</v>
      </c>
      <c r="F159" s="31">
        <v>54.676200000000001</v>
      </c>
      <c r="G159" s="32">
        <v>0</v>
      </c>
      <c r="H159" s="31">
        <f>ROUND(F159*AO159,2)</f>
        <v>0</v>
      </c>
      <c r="I159" s="31">
        <f>ROUND(F159*AP159,2)</f>
        <v>0</v>
      </c>
      <c r="J159" s="31">
        <f>ROUND(F159*G159,2)</f>
        <v>0</v>
      </c>
      <c r="K159" s="33" t="s">
        <v>60</v>
      </c>
      <c r="Z159" s="31">
        <f>ROUND(IF(AQ159="5",BJ159,0),2)</f>
        <v>0</v>
      </c>
      <c r="AB159" s="31">
        <f>ROUND(IF(AQ159="1",BH159,0),2)</f>
        <v>0</v>
      </c>
      <c r="AC159" s="31">
        <f>ROUND(IF(AQ159="1",BI159,0),2)</f>
        <v>0</v>
      </c>
      <c r="AD159" s="31">
        <f>ROUND(IF(AQ159="7",BH159,0),2)</f>
        <v>0</v>
      </c>
      <c r="AE159" s="31">
        <f>ROUND(IF(AQ159="7",BI159,0),2)</f>
        <v>0</v>
      </c>
      <c r="AF159" s="31">
        <f>ROUND(IF(AQ159="2",BH159,0),2)</f>
        <v>0</v>
      </c>
      <c r="AG159" s="31">
        <f>ROUND(IF(AQ159="2",BI159,0),2)</f>
        <v>0</v>
      </c>
      <c r="AH159" s="31">
        <f>ROUND(IF(AQ159="0",BJ159,0),2)</f>
        <v>0</v>
      </c>
      <c r="AI159" s="11" t="s">
        <v>56</v>
      </c>
      <c r="AJ159" s="31">
        <f>IF(AN159=0,J159,0)</f>
        <v>0</v>
      </c>
      <c r="AK159" s="31">
        <f>IF(AN159=12,J159,0)</f>
        <v>0</v>
      </c>
      <c r="AL159" s="31">
        <f>IF(AN159=21,J159,0)</f>
        <v>0</v>
      </c>
      <c r="AN159" s="31">
        <v>21</v>
      </c>
      <c r="AO159" s="31">
        <f>G159*0</f>
        <v>0</v>
      </c>
      <c r="AP159" s="31">
        <f>G159*(1-0)</f>
        <v>0</v>
      </c>
      <c r="AQ159" s="34" t="s">
        <v>101</v>
      </c>
      <c r="AV159" s="31">
        <f>ROUND(AW159+AX159,2)</f>
        <v>0</v>
      </c>
      <c r="AW159" s="31">
        <f>ROUND(F159*AO159,2)</f>
        <v>0</v>
      </c>
      <c r="AX159" s="31">
        <f>ROUND(F159*AP159,2)</f>
        <v>0</v>
      </c>
      <c r="AY159" s="34" t="s">
        <v>349</v>
      </c>
      <c r="AZ159" s="34" t="s">
        <v>304</v>
      </c>
      <c r="BA159" s="11" t="s">
        <v>63</v>
      </c>
      <c r="BC159" s="31">
        <f>AW159+AX159</f>
        <v>0</v>
      </c>
      <c r="BD159" s="31">
        <f>G159/(100-BE159)*100</f>
        <v>0</v>
      </c>
      <c r="BE159" s="31">
        <v>0</v>
      </c>
      <c r="BF159" s="31">
        <f>159</f>
        <v>159</v>
      </c>
      <c r="BH159" s="31">
        <f>F159*AO159</f>
        <v>0</v>
      </c>
      <c r="BI159" s="31">
        <f>F159*AP159</f>
        <v>0</v>
      </c>
      <c r="BJ159" s="31">
        <f>F159*G159</f>
        <v>0</v>
      </c>
      <c r="BK159" s="34" t="s">
        <v>64</v>
      </c>
      <c r="BL159" s="31">
        <v>767</v>
      </c>
      <c r="BW159" s="31">
        <v>21</v>
      </c>
      <c r="BX159" s="5" t="s">
        <v>363</v>
      </c>
    </row>
    <row r="160" spans="1:76" x14ac:dyDescent="0.25">
      <c r="A160" s="35"/>
      <c r="C160" s="36" t="s">
        <v>364</v>
      </c>
      <c r="D160" s="36" t="s">
        <v>365</v>
      </c>
      <c r="F160" s="37">
        <v>18.7575</v>
      </c>
      <c r="K160" s="38"/>
    </row>
    <row r="161" spans="1:76" x14ac:dyDescent="0.25">
      <c r="A161" s="35"/>
      <c r="C161" s="36" t="s">
        <v>366</v>
      </c>
      <c r="D161" s="36" t="s">
        <v>367</v>
      </c>
      <c r="F161" s="37">
        <v>34.838700000000003</v>
      </c>
      <c r="K161" s="38"/>
    </row>
    <row r="162" spans="1:76" x14ac:dyDescent="0.25">
      <c r="A162" s="35"/>
      <c r="C162" s="36" t="s">
        <v>368</v>
      </c>
      <c r="D162" s="36" t="s">
        <v>369</v>
      </c>
      <c r="F162" s="37">
        <v>1.08</v>
      </c>
      <c r="K162" s="38"/>
    </row>
    <row r="163" spans="1:76" x14ac:dyDescent="0.25">
      <c r="A163" s="2" t="s">
        <v>370</v>
      </c>
      <c r="B163" s="3" t="s">
        <v>371</v>
      </c>
      <c r="C163" s="112" t="s">
        <v>372</v>
      </c>
      <c r="D163" s="107"/>
      <c r="E163" s="3" t="s">
        <v>59</v>
      </c>
      <c r="F163" s="31">
        <v>12.05</v>
      </c>
      <c r="G163" s="32">
        <v>0</v>
      </c>
      <c r="H163" s="31">
        <f>ROUND(F163*AO163,2)</f>
        <v>0</v>
      </c>
      <c r="I163" s="31">
        <f>ROUND(F163*AP163,2)</f>
        <v>0</v>
      </c>
      <c r="J163" s="31">
        <f>ROUND(F163*G163,2)</f>
        <v>0</v>
      </c>
      <c r="K163" s="33" t="s">
        <v>60</v>
      </c>
      <c r="Z163" s="31">
        <f>ROUND(IF(AQ163="5",BJ163,0),2)</f>
        <v>0</v>
      </c>
      <c r="AB163" s="31">
        <f>ROUND(IF(AQ163="1",BH163,0),2)</f>
        <v>0</v>
      </c>
      <c r="AC163" s="31">
        <f>ROUND(IF(AQ163="1",BI163,0),2)</f>
        <v>0</v>
      </c>
      <c r="AD163" s="31">
        <f>ROUND(IF(AQ163="7",BH163,0),2)</f>
        <v>0</v>
      </c>
      <c r="AE163" s="31">
        <f>ROUND(IF(AQ163="7",BI163,0),2)</f>
        <v>0</v>
      </c>
      <c r="AF163" s="31">
        <f>ROUND(IF(AQ163="2",BH163,0),2)</f>
        <v>0</v>
      </c>
      <c r="AG163" s="31">
        <f>ROUND(IF(AQ163="2",BI163,0),2)</f>
        <v>0</v>
      </c>
      <c r="AH163" s="31">
        <f>ROUND(IF(AQ163="0",BJ163,0),2)</f>
        <v>0</v>
      </c>
      <c r="AI163" s="11" t="s">
        <v>56</v>
      </c>
      <c r="AJ163" s="31">
        <f>IF(AN163=0,J163,0)</f>
        <v>0</v>
      </c>
      <c r="AK163" s="31">
        <f>IF(AN163=12,J163,0)</f>
        <v>0</v>
      </c>
      <c r="AL163" s="31">
        <f>IF(AN163=21,J163,0)</f>
        <v>0</v>
      </c>
      <c r="AN163" s="31">
        <v>21</v>
      </c>
      <c r="AO163" s="31">
        <f>G163*0</f>
        <v>0</v>
      </c>
      <c r="AP163" s="31">
        <f>G163*(1-0)</f>
        <v>0</v>
      </c>
      <c r="AQ163" s="34" t="s">
        <v>101</v>
      </c>
      <c r="AV163" s="31">
        <f>ROUND(AW163+AX163,2)</f>
        <v>0</v>
      </c>
      <c r="AW163" s="31">
        <f>ROUND(F163*AO163,2)</f>
        <v>0</v>
      </c>
      <c r="AX163" s="31">
        <f>ROUND(F163*AP163,2)</f>
        <v>0</v>
      </c>
      <c r="AY163" s="34" t="s">
        <v>349</v>
      </c>
      <c r="AZ163" s="34" t="s">
        <v>304</v>
      </c>
      <c r="BA163" s="11" t="s">
        <v>63</v>
      </c>
      <c r="BC163" s="31">
        <f>AW163+AX163</f>
        <v>0</v>
      </c>
      <c r="BD163" s="31">
        <f>G163/(100-BE163)*100</f>
        <v>0</v>
      </c>
      <c r="BE163" s="31">
        <v>0</v>
      </c>
      <c r="BF163" s="31">
        <f>163</f>
        <v>163</v>
      </c>
      <c r="BH163" s="31">
        <f>F163*AO163</f>
        <v>0</v>
      </c>
      <c r="BI163" s="31">
        <f>F163*AP163</f>
        <v>0</v>
      </c>
      <c r="BJ163" s="31">
        <f>F163*G163</f>
        <v>0</v>
      </c>
      <c r="BK163" s="34" t="s">
        <v>64</v>
      </c>
      <c r="BL163" s="31">
        <v>767</v>
      </c>
      <c r="BW163" s="31">
        <v>21</v>
      </c>
      <c r="BX163" s="5" t="s">
        <v>372</v>
      </c>
    </row>
    <row r="164" spans="1:76" x14ac:dyDescent="0.25">
      <c r="A164" s="35"/>
      <c r="C164" s="36" t="s">
        <v>373</v>
      </c>
      <c r="D164" s="36" t="s">
        <v>374</v>
      </c>
      <c r="F164" s="37">
        <v>12.05</v>
      </c>
      <c r="K164" s="38"/>
    </row>
    <row r="165" spans="1:76" x14ac:dyDescent="0.25">
      <c r="A165" s="2" t="s">
        <v>375</v>
      </c>
      <c r="B165" s="3" t="s">
        <v>376</v>
      </c>
      <c r="C165" s="112" t="s">
        <v>377</v>
      </c>
      <c r="D165" s="107"/>
      <c r="E165" s="3" t="s">
        <v>59</v>
      </c>
      <c r="F165" s="31">
        <v>47.803699999999999</v>
      </c>
      <c r="G165" s="32">
        <v>0</v>
      </c>
      <c r="H165" s="31">
        <f>ROUND(F165*AO165,2)</f>
        <v>0</v>
      </c>
      <c r="I165" s="31">
        <f>ROUND(F165*AP165,2)</f>
        <v>0</v>
      </c>
      <c r="J165" s="31">
        <f>ROUND(F165*G165,2)</f>
        <v>0</v>
      </c>
      <c r="K165" s="33" t="s">
        <v>60</v>
      </c>
      <c r="Z165" s="31">
        <f>ROUND(IF(AQ165="5",BJ165,0),2)</f>
        <v>0</v>
      </c>
      <c r="AB165" s="31">
        <f>ROUND(IF(AQ165="1",BH165,0),2)</f>
        <v>0</v>
      </c>
      <c r="AC165" s="31">
        <f>ROUND(IF(AQ165="1",BI165,0),2)</f>
        <v>0</v>
      </c>
      <c r="AD165" s="31">
        <f>ROUND(IF(AQ165="7",BH165,0),2)</f>
        <v>0</v>
      </c>
      <c r="AE165" s="31">
        <f>ROUND(IF(AQ165="7",BI165,0),2)</f>
        <v>0</v>
      </c>
      <c r="AF165" s="31">
        <f>ROUND(IF(AQ165="2",BH165,0),2)</f>
        <v>0</v>
      </c>
      <c r="AG165" s="31">
        <f>ROUND(IF(AQ165="2",BI165,0),2)</f>
        <v>0</v>
      </c>
      <c r="AH165" s="31">
        <f>ROUND(IF(AQ165="0",BJ165,0),2)</f>
        <v>0</v>
      </c>
      <c r="AI165" s="11" t="s">
        <v>56</v>
      </c>
      <c r="AJ165" s="31">
        <f>IF(AN165=0,J165,0)</f>
        <v>0</v>
      </c>
      <c r="AK165" s="31">
        <f>IF(AN165=12,J165,0)</f>
        <v>0</v>
      </c>
      <c r="AL165" s="31">
        <f>IF(AN165=21,J165,0)</f>
        <v>0</v>
      </c>
      <c r="AN165" s="31">
        <v>21</v>
      </c>
      <c r="AO165" s="31">
        <f>G165*0</f>
        <v>0</v>
      </c>
      <c r="AP165" s="31">
        <f>G165*(1-0)</f>
        <v>0</v>
      </c>
      <c r="AQ165" s="34" t="s">
        <v>101</v>
      </c>
      <c r="AV165" s="31">
        <f>ROUND(AW165+AX165,2)</f>
        <v>0</v>
      </c>
      <c r="AW165" s="31">
        <f>ROUND(F165*AO165,2)</f>
        <v>0</v>
      </c>
      <c r="AX165" s="31">
        <f>ROUND(F165*AP165,2)</f>
        <v>0</v>
      </c>
      <c r="AY165" s="34" t="s">
        <v>349</v>
      </c>
      <c r="AZ165" s="34" t="s">
        <v>304</v>
      </c>
      <c r="BA165" s="11" t="s">
        <v>63</v>
      </c>
      <c r="BC165" s="31">
        <f>AW165+AX165</f>
        <v>0</v>
      </c>
      <c r="BD165" s="31">
        <f>G165/(100-BE165)*100</f>
        <v>0</v>
      </c>
      <c r="BE165" s="31">
        <v>0</v>
      </c>
      <c r="BF165" s="31">
        <f>165</f>
        <v>165</v>
      </c>
      <c r="BH165" s="31">
        <f>F165*AO165</f>
        <v>0</v>
      </c>
      <c r="BI165" s="31">
        <f>F165*AP165</f>
        <v>0</v>
      </c>
      <c r="BJ165" s="31">
        <f>F165*G165</f>
        <v>0</v>
      </c>
      <c r="BK165" s="34" t="s">
        <v>64</v>
      </c>
      <c r="BL165" s="31">
        <v>767</v>
      </c>
      <c r="BW165" s="31">
        <v>21</v>
      </c>
      <c r="BX165" s="5" t="s">
        <v>377</v>
      </c>
    </row>
    <row r="166" spans="1:76" ht="13.5" customHeight="1" x14ac:dyDescent="0.25">
      <c r="A166" s="35"/>
      <c r="C166" s="137" t="s">
        <v>378</v>
      </c>
      <c r="D166" s="138"/>
      <c r="E166" s="138"/>
      <c r="F166" s="138"/>
      <c r="G166" s="139"/>
      <c r="H166" s="138"/>
      <c r="I166" s="138"/>
      <c r="J166" s="138"/>
      <c r="K166" s="140"/>
    </row>
    <row r="167" spans="1:76" x14ac:dyDescent="0.25">
      <c r="A167" s="35"/>
      <c r="C167" s="36" t="s">
        <v>379</v>
      </c>
      <c r="D167" s="36" t="s">
        <v>380</v>
      </c>
      <c r="F167" s="37">
        <v>26.837499999999999</v>
      </c>
      <c r="K167" s="38"/>
    </row>
    <row r="168" spans="1:76" x14ac:dyDescent="0.25">
      <c r="A168" s="35"/>
      <c r="C168" s="36" t="s">
        <v>381</v>
      </c>
      <c r="D168" s="36" t="s">
        <v>382</v>
      </c>
      <c r="F168" s="37">
        <v>6.4625000000000004</v>
      </c>
      <c r="K168" s="38"/>
    </row>
    <row r="169" spans="1:76" x14ac:dyDescent="0.25">
      <c r="A169" s="35"/>
      <c r="C169" s="36" t="s">
        <v>383</v>
      </c>
      <c r="D169" s="36" t="s">
        <v>384</v>
      </c>
      <c r="F169" s="37">
        <v>13.4237</v>
      </c>
      <c r="K169" s="38"/>
    </row>
    <row r="170" spans="1:76" x14ac:dyDescent="0.25">
      <c r="A170" s="35"/>
      <c r="C170" s="36" t="s">
        <v>368</v>
      </c>
      <c r="D170" s="36" t="s">
        <v>369</v>
      </c>
      <c r="F170" s="37">
        <v>1.08</v>
      </c>
      <c r="K170" s="38"/>
    </row>
    <row r="171" spans="1:76" x14ac:dyDescent="0.25">
      <c r="A171" s="39" t="s">
        <v>385</v>
      </c>
      <c r="B171" s="40" t="s">
        <v>386</v>
      </c>
      <c r="C171" s="135" t="s">
        <v>387</v>
      </c>
      <c r="D171" s="136"/>
      <c r="E171" s="40" t="s">
        <v>59</v>
      </c>
      <c r="F171" s="42">
        <v>10.42474</v>
      </c>
      <c r="G171" s="43">
        <v>0</v>
      </c>
      <c r="H171" s="42">
        <f>ROUND(F171*AO171,2)</f>
        <v>0</v>
      </c>
      <c r="I171" s="42">
        <f>ROUND(F171*AP171,2)</f>
        <v>0</v>
      </c>
      <c r="J171" s="42">
        <f>ROUND(F171*G171,2)</f>
        <v>0</v>
      </c>
      <c r="K171" s="44" t="s">
        <v>60</v>
      </c>
      <c r="Z171" s="31">
        <f>ROUND(IF(AQ171="5",BJ171,0),2)</f>
        <v>0</v>
      </c>
      <c r="AB171" s="31">
        <f>ROUND(IF(AQ171="1",BH171,0),2)</f>
        <v>0</v>
      </c>
      <c r="AC171" s="31">
        <f>ROUND(IF(AQ171="1",BI171,0),2)</f>
        <v>0</v>
      </c>
      <c r="AD171" s="31">
        <f>ROUND(IF(AQ171="7",BH171,0),2)</f>
        <v>0</v>
      </c>
      <c r="AE171" s="31">
        <f>ROUND(IF(AQ171="7",BI171,0),2)</f>
        <v>0</v>
      </c>
      <c r="AF171" s="31">
        <f>ROUND(IF(AQ171="2",BH171,0),2)</f>
        <v>0</v>
      </c>
      <c r="AG171" s="31">
        <f>ROUND(IF(AQ171="2",BI171,0),2)</f>
        <v>0</v>
      </c>
      <c r="AH171" s="31">
        <f>ROUND(IF(AQ171="0",BJ171,0),2)</f>
        <v>0</v>
      </c>
      <c r="AI171" s="11" t="s">
        <v>56</v>
      </c>
      <c r="AJ171" s="42">
        <f>IF(AN171=0,J171,0)</f>
        <v>0</v>
      </c>
      <c r="AK171" s="42">
        <f>IF(AN171=12,J171,0)</f>
        <v>0</v>
      </c>
      <c r="AL171" s="42">
        <f>IF(AN171=21,J171,0)</f>
        <v>0</v>
      </c>
      <c r="AN171" s="31">
        <v>21</v>
      </c>
      <c r="AO171" s="31">
        <f>G171*1</f>
        <v>0</v>
      </c>
      <c r="AP171" s="31">
        <f>G171*(1-1)</f>
        <v>0</v>
      </c>
      <c r="AQ171" s="45" t="s">
        <v>101</v>
      </c>
      <c r="AV171" s="31">
        <f>ROUND(AW171+AX171,2)</f>
        <v>0</v>
      </c>
      <c r="AW171" s="31">
        <f>ROUND(F171*AO171,2)</f>
        <v>0</v>
      </c>
      <c r="AX171" s="31">
        <f>ROUND(F171*AP171,2)</f>
        <v>0</v>
      </c>
      <c r="AY171" s="34" t="s">
        <v>349</v>
      </c>
      <c r="AZ171" s="34" t="s">
        <v>304</v>
      </c>
      <c r="BA171" s="11" t="s">
        <v>63</v>
      </c>
      <c r="BC171" s="31">
        <f>AW171+AX171</f>
        <v>0</v>
      </c>
      <c r="BD171" s="31">
        <f>G171/(100-BE171)*100</f>
        <v>0</v>
      </c>
      <c r="BE171" s="31">
        <v>0</v>
      </c>
      <c r="BF171" s="31">
        <f>171</f>
        <v>171</v>
      </c>
      <c r="BH171" s="42">
        <f>F171*AO171</f>
        <v>0</v>
      </c>
      <c r="BI171" s="42">
        <f>F171*AP171</f>
        <v>0</v>
      </c>
      <c r="BJ171" s="42">
        <f>F171*G171</f>
        <v>0</v>
      </c>
      <c r="BK171" s="45" t="s">
        <v>70</v>
      </c>
      <c r="BL171" s="31">
        <v>767</v>
      </c>
      <c r="BW171" s="31">
        <v>21</v>
      </c>
      <c r="BX171" s="41" t="s">
        <v>387</v>
      </c>
    </row>
    <row r="172" spans="1:76" x14ac:dyDescent="0.25">
      <c r="A172" s="35"/>
      <c r="C172" s="36" t="s">
        <v>388</v>
      </c>
      <c r="D172" s="36" t="s">
        <v>52</v>
      </c>
      <c r="F172" s="37">
        <v>0</v>
      </c>
      <c r="K172" s="38"/>
    </row>
    <row r="173" spans="1:76" x14ac:dyDescent="0.25">
      <c r="A173" s="35"/>
      <c r="C173" s="36" t="s">
        <v>389</v>
      </c>
      <c r="D173" s="36" t="s">
        <v>380</v>
      </c>
      <c r="F173" s="37">
        <v>5.3674999999999997</v>
      </c>
      <c r="K173" s="38"/>
    </row>
    <row r="174" spans="1:76" x14ac:dyDescent="0.25">
      <c r="A174" s="35"/>
      <c r="C174" s="36" t="s">
        <v>390</v>
      </c>
      <c r="D174" s="36" t="s">
        <v>382</v>
      </c>
      <c r="F174" s="37">
        <v>1.2925</v>
      </c>
      <c r="K174" s="38"/>
    </row>
    <row r="175" spans="1:76" x14ac:dyDescent="0.25">
      <c r="A175" s="35"/>
      <c r="C175" s="36" t="s">
        <v>391</v>
      </c>
      <c r="D175" s="36" t="s">
        <v>384</v>
      </c>
      <c r="F175" s="37">
        <v>2.6847400000000001</v>
      </c>
      <c r="K175" s="38"/>
    </row>
    <row r="176" spans="1:76" x14ac:dyDescent="0.25">
      <c r="A176" s="35"/>
      <c r="C176" s="36" t="s">
        <v>368</v>
      </c>
      <c r="D176" s="36" t="s">
        <v>369</v>
      </c>
      <c r="F176" s="37">
        <v>1.08</v>
      </c>
      <c r="K176" s="38"/>
    </row>
    <row r="177" spans="1:76" x14ac:dyDescent="0.25">
      <c r="A177" s="2" t="s">
        <v>392</v>
      </c>
      <c r="B177" s="3" t="s">
        <v>393</v>
      </c>
      <c r="C177" s="112" t="s">
        <v>394</v>
      </c>
      <c r="D177" s="107"/>
      <c r="E177" s="3" t="s">
        <v>59</v>
      </c>
      <c r="F177" s="31">
        <v>11.79</v>
      </c>
      <c r="G177" s="32">
        <v>0</v>
      </c>
      <c r="H177" s="31">
        <f>ROUND(F177*AO177,2)</f>
        <v>0</v>
      </c>
      <c r="I177" s="31">
        <f>ROUND(F177*AP177,2)</f>
        <v>0</v>
      </c>
      <c r="J177" s="31">
        <f>ROUND(F177*G177,2)</f>
        <v>0</v>
      </c>
      <c r="K177" s="33" t="s">
        <v>60</v>
      </c>
      <c r="Z177" s="31">
        <f>ROUND(IF(AQ177="5",BJ177,0),2)</f>
        <v>0</v>
      </c>
      <c r="AB177" s="31">
        <f>ROUND(IF(AQ177="1",BH177,0),2)</f>
        <v>0</v>
      </c>
      <c r="AC177" s="31">
        <f>ROUND(IF(AQ177="1",BI177,0),2)</f>
        <v>0</v>
      </c>
      <c r="AD177" s="31">
        <f>ROUND(IF(AQ177="7",BH177,0),2)</f>
        <v>0</v>
      </c>
      <c r="AE177" s="31">
        <f>ROUND(IF(AQ177="7",BI177,0),2)</f>
        <v>0</v>
      </c>
      <c r="AF177" s="31">
        <f>ROUND(IF(AQ177="2",BH177,0),2)</f>
        <v>0</v>
      </c>
      <c r="AG177" s="31">
        <f>ROUND(IF(AQ177="2",BI177,0),2)</f>
        <v>0</v>
      </c>
      <c r="AH177" s="31">
        <f>ROUND(IF(AQ177="0",BJ177,0),2)</f>
        <v>0</v>
      </c>
      <c r="AI177" s="11" t="s">
        <v>56</v>
      </c>
      <c r="AJ177" s="31">
        <f>IF(AN177=0,J177,0)</f>
        <v>0</v>
      </c>
      <c r="AK177" s="31">
        <f>IF(AN177=12,J177,0)</f>
        <v>0</v>
      </c>
      <c r="AL177" s="31">
        <f>IF(AN177=21,J177,0)</f>
        <v>0</v>
      </c>
      <c r="AN177" s="31">
        <v>21</v>
      </c>
      <c r="AO177" s="31">
        <f>G177*0.636658948</f>
        <v>0</v>
      </c>
      <c r="AP177" s="31">
        <f>G177*(1-0.636658948)</f>
        <v>0</v>
      </c>
      <c r="AQ177" s="34" t="s">
        <v>101</v>
      </c>
      <c r="AV177" s="31">
        <f>ROUND(AW177+AX177,2)</f>
        <v>0</v>
      </c>
      <c r="AW177" s="31">
        <f>ROUND(F177*AO177,2)</f>
        <v>0</v>
      </c>
      <c r="AX177" s="31">
        <f>ROUND(F177*AP177,2)</f>
        <v>0</v>
      </c>
      <c r="AY177" s="34" t="s">
        <v>349</v>
      </c>
      <c r="AZ177" s="34" t="s">
        <v>304</v>
      </c>
      <c r="BA177" s="11" t="s">
        <v>63</v>
      </c>
      <c r="BC177" s="31">
        <f>AW177+AX177</f>
        <v>0</v>
      </c>
      <c r="BD177" s="31">
        <f>G177/(100-BE177)*100</f>
        <v>0</v>
      </c>
      <c r="BE177" s="31">
        <v>0</v>
      </c>
      <c r="BF177" s="31">
        <f>177</f>
        <v>177</v>
      </c>
      <c r="BH177" s="31">
        <f>F177*AO177</f>
        <v>0</v>
      </c>
      <c r="BI177" s="31">
        <f>F177*AP177</f>
        <v>0</v>
      </c>
      <c r="BJ177" s="31">
        <f>F177*G177</f>
        <v>0</v>
      </c>
      <c r="BK177" s="34" t="s">
        <v>64</v>
      </c>
      <c r="BL177" s="31">
        <v>767</v>
      </c>
      <c r="BW177" s="31">
        <v>21</v>
      </c>
      <c r="BX177" s="5" t="s">
        <v>394</v>
      </c>
    </row>
    <row r="178" spans="1:76" ht="13.5" customHeight="1" x14ac:dyDescent="0.25">
      <c r="A178" s="35"/>
      <c r="C178" s="137" t="s">
        <v>395</v>
      </c>
      <c r="D178" s="138"/>
      <c r="E178" s="138"/>
      <c r="F178" s="138"/>
      <c r="G178" s="139"/>
      <c r="H178" s="138"/>
      <c r="I178" s="138"/>
      <c r="J178" s="138"/>
      <c r="K178" s="140"/>
    </row>
    <row r="179" spans="1:76" x14ac:dyDescent="0.25">
      <c r="A179" s="35"/>
      <c r="C179" s="36" t="s">
        <v>396</v>
      </c>
      <c r="D179" s="36" t="s">
        <v>397</v>
      </c>
      <c r="F179" s="37">
        <v>5.04</v>
      </c>
      <c r="K179" s="38"/>
    </row>
    <row r="180" spans="1:76" x14ac:dyDescent="0.25">
      <c r="A180" s="35"/>
      <c r="C180" s="36" t="s">
        <v>398</v>
      </c>
      <c r="D180" s="36" t="s">
        <v>399</v>
      </c>
      <c r="F180" s="37">
        <v>6.75</v>
      </c>
      <c r="K180" s="38"/>
    </row>
    <row r="181" spans="1:76" x14ac:dyDescent="0.25">
      <c r="A181" s="2" t="s">
        <v>400</v>
      </c>
      <c r="B181" s="3" t="s">
        <v>401</v>
      </c>
      <c r="C181" s="112" t="s">
        <v>402</v>
      </c>
      <c r="D181" s="107"/>
      <c r="E181" s="3" t="s">
        <v>59</v>
      </c>
      <c r="F181" s="31">
        <v>20.225000000000001</v>
      </c>
      <c r="G181" s="32">
        <v>0</v>
      </c>
      <c r="H181" s="31">
        <f>ROUND(F181*AO181,2)</f>
        <v>0</v>
      </c>
      <c r="I181" s="31">
        <f>ROUND(F181*AP181,2)</f>
        <v>0</v>
      </c>
      <c r="J181" s="31">
        <f>ROUND(F181*G181,2)</f>
        <v>0</v>
      </c>
      <c r="K181" s="33" t="s">
        <v>60</v>
      </c>
      <c r="Z181" s="31">
        <f>ROUND(IF(AQ181="5",BJ181,0),2)</f>
        <v>0</v>
      </c>
      <c r="AB181" s="31">
        <f>ROUND(IF(AQ181="1",BH181,0),2)</f>
        <v>0</v>
      </c>
      <c r="AC181" s="31">
        <f>ROUND(IF(AQ181="1",BI181,0),2)</f>
        <v>0</v>
      </c>
      <c r="AD181" s="31">
        <f>ROUND(IF(AQ181="7",BH181,0),2)</f>
        <v>0</v>
      </c>
      <c r="AE181" s="31">
        <f>ROUND(IF(AQ181="7",BI181,0),2)</f>
        <v>0</v>
      </c>
      <c r="AF181" s="31">
        <f>ROUND(IF(AQ181="2",BH181,0),2)</f>
        <v>0</v>
      </c>
      <c r="AG181" s="31">
        <f>ROUND(IF(AQ181="2",BI181,0),2)</f>
        <v>0</v>
      </c>
      <c r="AH181" s="31">
        <f>ROUND(IF(AQ181="0",BJ181,0),2)</f>
        <v>0</v>
      </c>
      <c r="AI181" s="11" t="s">
        <v>56</v>
      </c>
      <c r="AJ181" s="31">
        <f>IF(AN181=0,J181,0)</f>
        <v>0</v>
      </c>
      <c r="AK181" s="31">
        <f>IF(AN181=12,J181,0)</f>
        <v>0</v>
      </c>
      <c r="AL181" s="31">
        <f>IF(AN181=21,J181,0)</f>
        <v>0</v>
      </c>
      <c r="AN181" s="31">
        <v>21</v>
      </c>
      <c r="AO181" s="31">
        <f>G181*0.626243242</f>
        <v>0</v>
      </c>
      <c r="AP181" s="31">
        <f>G181*(1-0.626243242)</f>
        <v>0</v>
      </c>
      <c r="AQ181" s="34" t="s">
        <v>101</v>
      </c>
      <c r="AV181" s="31">
        <f>ROUND(AW181+AX181,2)</f>
        <v>0</v>
      </c>
      <c r="AW181" s="31">
        <f>ROUND(F181*AO181,2)</f>
        <v>0</v>
      </c>
      <c r="AX181" s="31">
        <f>ROUND(F181*AP181,2)</f>
        <v>0</v>
      </c>
      <c r="AY181" s="34" t="s">
        <v>349</v>
      </c>
      <c r="AZ181" s="34" t="s">
        <v>304</v>
      </c>
      <c r="BA181" s="11" t="s">
        <v>63</v>
      </c>
      <c r="BC181" s="31">
        <f>AW181+AX181</f>
        <v>0</v>
      </c>
      <c r="BD181" s="31">
        <f>G181/(100-BE181)*100</f>
        <v>0</v>
      </c>
      <c r="BE181" s="31">
        <v>0</v>
      </c>
      <c r="BF181" s="31">
        <f>181</f>
        <v>181</v>
      </c>
      <c r="BH181" s="31">
        <f>F181*AO181</f>
        <v>0</v>
      </c>
      <c r="BI181" s="31">
        <f>F181*AP181</f>
        <v>0</v>
      </c>
      <c r="BJ181" s="31">
        <f>F181*G181</f>
        <v>0</v>
      </c>
      <c r="BK181" s="34" t="s">
        <v>64</v>
      </c>
      <c r="BL181" s="31">
        <v>767</v>
      </c>
      <c r="BW181" s="31">
        <v>21</v>
      </c>
      <c r="BX181" s="5" t="s">
        <v>402</v>
      </c>
    </row>
    <row r="182" spans="1:76" ht="13.5" customHeight="1" x14ac:dyDescent="0.25">
      <c r="A182" s="35"/>
      <c r="C182" s="137" t="s">
        <v>403</v>
      </c>
      <c r="D182" s="138"/>
      <c r="E182" s="138"/>
      <c r="F182" s="138"/>
      <c r="G182" s="139"/>
      <c r="H182" s="138"/>
      <c r="I182" s="138"/>
      <c r="J182" s="138"/>
      <c r="K182" s="140"/>
    </row>
    <row r="183" spans="1:76" x14ac:dyDescent="0.25">
      <c r="A183" s="35"/>
      <c r="C183" s="36" t="s">
        <v>396</v>
      </c>
      <c r="D183" s="36" t="s">
        <v>397</v>
      </c>
      <c r="F183" s="37">
        <v>5.04</v>
      </c>
      <c r="K183" s="38"/>
    </row>
    <row r="184" spans="1:76" x14ac:dyDescent="0.25">
      <c r="A184" s="35"/>
      <c r="C184" s="36" t="s">
        <v>398</v>
      </c>
      <c r="D184" s="36" t="s">
        <v>399</v>
      </c>
      <c r="F184" s="37">
        <v>6.75</v>
      </c>
      <c r="K184" s="38"/>
    </row>
    <row r="185" spans="1:76" x14ac:dyDescent="0.25">
      <c r="A185" s="35"/>
      <c r="C185" s="36" t="s">
        <v>404</v>
      </c>
      <c r="D185" s="36" t="s">
        <v>374</v>
      </c>
      <c r="F185" s="37">
        <v>8.4350000000000005</v>
      </c>
      <c r="K185" s="38"/>
    </row>
    <row r="186" spans="1:76" x14ac:dyDescent="0.25">
      <c r="A186" s="2" t="s">
        <v>405</v>
      </c>
      <c r="B186" s="3" t="s">
        <v>406</v>
      </c>
      <c r="C186" s="112" t="s">
        <v>407</v>
      </c>
      <c r="D186" s="107"/>
      <c r="E186" s="3" t="s">
        <v>81</v>
      </c>
      <c r="F186" s="31">
        <v>6</v>
      </c>
      <c r="G186" s="32">
        <v>0</v>
      </c>
      <c r="H186" s="31">
        <f>ROUND(F186*AO186,2)</f>
        <v>0</v>
      </c>
      <c r="I186" s="31">
        <f>ROUND(F186*AP186,2)</f>
        <v>0</v>
      </c>
      <c r="J186" s="31">
        <f>ROUND(F186*G186,2)</f>
        <v>0</v>
      </c>
      <c r="K186" s="33" t="s">
        <v>60</v>
      </c>
      <c r="Z186" s="31">
        <f>ROUND(IF(AQ186="5",BJ186,0),2)</f>
        <v>0</v>
      </c>
      <c r="AB186" s="31">
        <f>ROUND(IF(AQ186="1",BH186,0),2)</f>
        <v>0</v>
      </c>
      <c r="AC186" s="31">
        <f>ROUND(IF(AQ186="1",BI186,0),2)</f>
        <v>0</v>
      </c>
      <c r="AD186" s="31">
        <f>ROUND(IF(AQ186="7",BH186,0),2)</f>
        <v>0</v>
      </c>
      <c r="AE186" s="31">
        <f>ROUND(IF(AQ186="7",BI186,0),2)</f>
        <v>0</v>
      </c>
      <c r="AF186" s="31">
        <f>ROUND(IF(AQ186="2",BH186,0),2)</f>
        <v>0</v>
      </c>
      <c r="AG186" s="31">
        <f>ROUND(IF(AQ186="2",BI186,0),2)</f>
        <v>0</v>
      </c>
      <c r="AH186" s="31">
        <f>ROUND(IF(AQ186="0",BJ186,0),2)</f>
        <v>0</v>
      </c>
      <c r="AI186" s="11" t="s">
        <v>56</v>
      </c>
      <c r="AJ186" s="31">
        <f>IF(AN186=0,J186,0)</f>
        <v>0</v>
      </c>
      <c r="AK186" s="31">
        <f>IF(AN186=12,J186,0)</f>
        <v>0</v>
      </c>
      <c r="AL186" s="31">
        <f>IF(AN186=21,J186,0)</f>
        <v>0</v>
      </c>
      <c r="AN186" s="31">
        <v>21</v>
      </c>
      <c r="AO186" s="31">
        <f>G186*0.005154373</f>
        <v>0</v>
      </c>
      <c r="AP186" s="31">
        <f>G186*(1-0.005154373)</f>
        <v>0</v>
      </c>
      <c r="AQ186" s="34" t="s">
        <v>101</v>
      </c>
      <c r="AV186" s="31">
        <f>ROUND(AW186+AX186,2)</f>
        <v>0</v>
      </c>
      <c r="AW186" s="31">
        <f>ROUND(F186*AO186,2)</f>
        <v>0</v>
      </c>
      <c r="AX186" s="31">
        <f>ROUND(F186*AP186,2)</f>
        <v>0</v>
      </c>
      <c r="AY186" s="34" t="s">
        <v>349</v>
      </c>
      <c r="AZ186" s="34" t="s">
        <v>304</v>
      </c>
      <c r="BA186" s="11" t="s">
        <v>63</v>
      </c>
      <c r="BC186" s="31">
        <f>AW186+AX186</f>
        <v>0</v>
      </c>
      <c r="BD186" s="31">
        <f>G186/(100-BE186)*100</f>
        <v>0</v>
      </c>
      <c r="BE186" s="31">
        <v>0</v>
      </c>
      <c r="BF186" s="31">
        <f>186</f>
        <v>186</v>
      </c>
      <c r="BH186" s="31">
        <f>F186*AO186</f>
        <v>0</v>
      </c>
      <c r="BI186" s="31">
        <f>F186*AP186</f>
        <v>0</v>
      </c>
      <c r="BJ186" s="31">
        <f>F186*G186</f>
        <v>0</v>
      </c>
      <c r="BK186" s="34" t="s">
        <v>64</v>
      </c>
      <c r="BL186" s="31">
        <v>767</v>
      </c>
      <c r="BW186" s="31">
        <v>21</v>
      </c>
      <c r="BX186" s="5" t="s">
        <v>407</v>
      </c>
    </row>
    <row r="187" spans="1:76" x14ac:dyDescent="0.25">
      <c r="A187" s="39" t="s">
        <v>408</v>
      </c>
      <c r="B187" s="40" t="s">
        <v>409</v>
      </c>
      <c r="C187" s="135" t="s">
        <v>410</v>
      </c>
      <c r="D187" s="136"/>
      <c r="E187" s="40" t="s">
        <v>81</v>
      </c>
      <c r="F187" s="42">
        <v>6</v>
      </c>
      <c r="G187" s="43">
        <v>0</v>
      </c>
      <c r="H187" s="42">
        <f>ROUND(F187*AO187,2)</f>
        <v>0</v>
      </c>
      <c r="I187" s="42">
        <f>ROUND(F187*AP187,2)</f>
        <v>0</v>
      </c>
      <c r="J187" s="42">
        <f>ROUND(F187*G187,2)</f>
        <v>0</v>
      </c>
      <c r="K187" s="44" t="s">
        <v>60</v>
      </c>
      <c r="Z187" s="31">
        <f>ROUND(IF(AQ187="5",BJ187,0),2)</f>
        <v>0</v>
      </c>
      <c r="AB187" s="31">
        <f>ROUND(IF(AQ187="1",BH187,0),2)</f>
        <v>0</v>
      </c>
      <c r="AC187" s="31">
        <f>ROUND(IF(AQ187="1",BI187,0),2)</f>
        <v>0</v>
      </c>
      <c r="AD187" s="31">
        <f>ROUND(IF(AQ187="7",BH187,0),2)</f>
        <v>0</v>
      </c>
      <c r="AE187" s="31">
        <f>ROUND(IF(AQ187="7",BI187,0),2)</f>
        <v>0</v>
      </c>
      <c r="AF187" s="31">
        <f>ROUND(IF(AQ187="2",BH187,0),2)</f>
        <v>0</v>
      </c>
      <c r="AG187" s="31">
        <f>ROUND(IF(AQ187="2",BI187,0),2)</f>
        <v>0</v>
      </c>
      <c r="AH187" s="31">
        <f>ROUND(IF(AQ187="0",BJ187,0),2)</f>
        <v>0</v>
      </c>
      <c r="AI187" s="11" t="s">
        <v>56</v>
      </c>
      <c r="AJ187" s="42">
        <f>IF(AN187=0,J187,0)</f>
        <v>0</v>
      </c>
      <c r="AK187" s="42">
        <f>IF(AN187=12,J187,0)</f>
        <v>0</v>
      </c>
      <c r="AL187" s="42">
        <f>IF(AN187=21,J187,0)</f>
        <v>0</v>
      </c>
      <c r="AN187" s="31">
        <v>21</v>
      </c>
      <c r="AO187" s="31">
        <f>G187*1</f>
        <v>0</v>
      </c>
      <c r="AP187" s="31">
        <f>G187*(1-1)</f>
        <v>0</v>
      </c>
      <c r="AQ187" s="45" t="s">
        <v>101</v>
      </c>
      <c r="AV187" s="31">
        <f>ROUND(AW187+AX187,2)</f>
        <v>0</v>
      </c>
      <c r="AW187" s="31">
        <f>ROUND(F187*AO187,2)</f>
        <v>0</v>
      </c>
      <c r="AX187" s="31">
        <f>ROUND(F187*AP187,2)</f>
        <v>0</v>
      </c>
      <c r="AY187" s="34" t="s">
        <v>349</v>
      </c>
      <c r="AZ187" s="34" t="s">
        <v>304</v>
      </c>
      <c r="BA187" s="11" t="s">
        <v>63</v>
      </c>
      <c r="BC187" s="31">
        <f>AW187+AX187</f>
        <v>0</v>
      </c>
      <c r="BD187" s="31">
        <f>G187/(100-BE187)*100</f>
        <v>0</v>
      </c>
      <c r="BE187" s="31">
        <v>0</v>
      </c>
      <c r="BF187" s="31">
        <f>187</f>
        <v>187</v>
      </c>
      <c r="BH187" s="42">
        <f>F187*AO187</f>
        <v>0</v>
      </c>
      <c r="BI187" s="42">
        <f>F187*AP187</f>
        <v>0</v>
      </c>
      <c r="BJ187" s="42">
        <f>F187*G187</f>
        <v>0</v>
      </c>
      <c r="BK187" s="45" t="s">
        <v>70</v>
      </c>
      <c r="BL187" s="31">
        <v>767</v>
      </c>
      <c r="BW187" s="31">
        <v>21</v>
      </c>
      <c r="BX187" s="41" t="s">
        <v>410</v>
      </c>
    </row>
    <row r="188" spans="1:76" x14ac:dyDescent="0.25">
      <c r="A188" s="35"/>
      <c r="C188" s="36" t="s">
        <v>85</v>
      </c>
      <c r="D188" s="36" t="s">
        <v>52</v>
      </c>
      <c r="F188" s="37">
        <v>5</v>
      </c>
      <c r="K188" s="38"/>
    </row>
    <row r="189" spans="1:76" x14ac:dyDescent="0.25">
      <c r="A189" s="35"/>
      <c r="C189" s="36" t="s">
        <v>56</v>
      </c>
      <c r="D189" s="36" t="s">
        <v>411</v>
      </c>
      <c r="F189" s="37">
        <v>1</v>
      </c>
      <c r="K189" s="38"/>
    </row>
    <row r="190" spans="1:76" x14ac:dyDescent="0.25">
      <c r="A190" s="2" t="s">
        <v>412</v>
      </c>
      <c r="B190" s="3" t="s">
        <v>240</v>
      </c>
      <c r="C190" s="112" t="s">
        <v>413</v>
      </c>
      <c r="D190" s="107"/>
      <c r="E190" s="3" t="s">
        <v>81</v>
      </c>
      <c r="F190" s="31">
        <v>1</v>
      </c>
      <c r="G190" s="32">
        <v>0</v>
      </c>
      <c r="H190" s="31">
        <f>ROUND(F190*AO190,2)</f>
        <v>0</v>
      </c>
      <c r="I190" s="31">
        <f>ROUND(F190*AP190,2)</f>
        <v>0</v>
      </c>
      <c r="J190" s="31">
        <f>ROUND(F190*G190,2)</f>
        <v>0</v>
      </c>
      <c r="K190" s="33" t="s">
        <v>60</v>
      </c>
      <c r="Z190" s="31">
        <f>ROUND(IF(AQ190="5",BJ190,0),2)</f>
        <v>0</v>
      </c>
      <c r="AB190" s="31">
        <f>ROUND(IF(AQ190="1",BH190,0),2)</f>
        <v>0</v>
      </c>
      <c r="AC190" s="31">
        <f>ROUND(IF(AQ190="1",BI190,0),2)</f>
        <v>0</v>
      </c>
      <c r="AD190" s="31">
        <f>ROUND(IF(AQ190="7",BH190,0),2)</f>
        <v>0</v>
      </c>
      <c r="AE190" s="31">
        <f>ROUND(IF(AQ190="7",BI190,0),2)</f>
        <v>0</v>
      </c>
      <c r="AF190" s="31">
        <f>ROUND(IF(AQ190="2",BH190,0),2)</f>
        <v>0</v>
      </c>
      <c r="AG190" s="31">
        <f>ROUND(IF(AQ190="2",BI190,0),2)</f>
        <v>0</v>
      </c>
      <c r="AH190" s="31">
        <f>ROUND(IF(AQ190="0",BJ190,0),2)</f>
        <v>0</v>
      </c>
      <c r="AI190" s="11" t="s">
        <v>56</v>
      </c>
      <c r="AJ190" s="31">
        <f>IF(AN190=0,J190,0)</f>
        <v>0</v>
      </c>
      <c r="AK190" s="31">
        <f>IF(AN190=12,J190,0)</f>
        <v>0</v>
      </c>
      <c r="AL190" s="31">
        <f>IF(AN190=21,J190,0)</f>
        <v>0</v>
      </c>
      <c r="AN190" s="31">
        <v>21</v>
      </c>
      <c r="AO190" s="31">
        <f>G190*0.005154307</f>
        <v>0</v>
      </c>
      <c r="AP190" s="31">
        <f>G190*(1-0.005154307)</f>
        <v>0</v>
      </c>
      <c r="AQ190" s="34" t="s">
        <v>101</v>
      </c>
      <c r="AV190" s="31">
        <f>ROUND(AW190+AX190,2)</f>
        <v>0</v>
      </c>
      <c r="AW190" s="31">
        <f>ROUND(F190*AO190,2)</f>
        <v>0</v>
      </c>
      <c r="AX190" s="31">
        <f>ROUND(F190*AP190,2)</f>
        <v>0</v>
      </c>
      <c r="AY190" s="34" t="s">
        <v>349</v>
      </c>
      <c r="AZ190" s="34" t="s">
        <v>304</v>
      </c>
      <c r="BA190" s="11" t="s">
        <v>63</v>
      </c>
      <c r="BC190" s="31">
        <f>AW190+AX190</f>
        <v>0</v>
      </c>
      <c r="BD190" s="31">
        <f>G190/(100-BE190)*100</f>
        <v>0</v>
      </c>
      <c r="BE190" s="31">
        <v>0</v>
      </c>
      <c r="BF190" s="31">
        <f>190</f>
        <v>190</v>
      </c>
      <c r="BH190" s="31">
        <f>F190*AO190</f>
        <v>0</v>
      </c>
      <c r="BI190" s="31">
        <f>F190*AP190</f>
        <v>0</v>
      </c>
      <c r="BJ190" s="31">
        <f>F190*G190</f>
        <v>0</v>
      </c>
      <c r="BK190" s="34" t="s">
        <v>64</v>
      </c>
      <c r="BL190" s="31">
        <v>767</v>
      </c>
      <c r="BW190" s="31">
        <v>21</v>
      </c>
      <c r="BX190" s="5" t="s">
        <v>413</v>
      </c>
    </row>
    <row r="191" spans="1:76" x14ac:dyDescent="0.25">
      <c r="A191" s="35"/>
      <c r="C191" s="36" t="s">
        <v>56</v>
      </c>
      <c r="D191" s="36" t="s">
        <v>337</v>
      </c>
      <c r="F191" s="37">
        <v>1</v>
      </c>
      <c r="K191" s="38"/>
    </row>
    <row r="192" spans="1:76" x14ac:dyDescent="0.25">
      <c r="A192" s="2" t="s">
        <v>155</v>
      </c>
      <c r="B192" s="3" t="s">
        <v>406</v>
      </c>
      <c r="C192" s="112" t="s">
        <v>407</v>
      </c>
      <c r="D192" s="107"/>
      <c r="E192" s="3" t="s">
        <v>81</v>
      </c>
      <c r="F192" s="31">
        <v>1</v>
      </c>
      <c r="G192" s="32">
        <v>0</v>
      </c>
      <c r="H192" s="31">
        <f>ROUND(F192*AO192,2)</f>
        <v>0</v>
      </c>
      <c r="I192" s="31">
        <f>ROUND(F192*AP192,2)</f>
        <v>0</v>
      </c>
      <c r="J192" s="31">
        <f>ROUND(F192*G192,2)</f>
        <v>0</v>
      </c>
      <c r="K192" s="33" t="s">
        <v>60</v>
      </c>
      <c r="Z192" s="31">
        <f>ROUND(IF(AQ192="5",BJ192,0),2)</f>
        <v>0</v>
      </c>
      <c r="AB192" s="31">
        <f>ROUND(IF(AQ192="1",BH192,0),2)</f>
        <v>0</v>
      </c>
      <c r="AC192" s="31">
        <f>ROUND(IF(AQ192="1",BI192,0),2)</f>
        <v>0</v>
      </c>
      <c r="AD192" s="31">
        <f>ROUND(IF(AQ192="7",BH192,0),2)</f>
        <v>0</v>
      </c>
      <c r="AE192" s="31">
        <f>ROUND(IF(AQ192="7",BI192,0),2)</f>
        <v>0</v>
      </c>
      <c r="AF192" s="31">
        <f>ROUND(IF(AQ192="2",BH192,0),2)</f>
        <v>0</v>
      </c>
      <c r="AG192" s="31">
        <f>ROUND(IF(AQ192="2",BI192,0),2)</f>
        <v>0</v>
      </c>
      <c r="AH192" s="31">
        <f>ROUND(IF(AQ192="0",BJ192,0),2)</f>
        <v>0</v>
      </c>
      <c r="AI192" s="11" t="s">
        <v>56</v>
      </c>
      <c r="AJ192" s="31">
        <f>IF(AN192=0,J192,0)</f>
        <v>0</v>
      </c>
      <c r="AK192" s="31">
        <f>IF(AN192=12,J192,0)</f>
        <v>0</v>
      </c>
      <c r="AL192" s="31">
        <f>IF(AN192=21,J192,0)</f>
        <v>0</v>
      </c>
      <c r="AN192" s="31">
        <v>21</v>
      </c>
      <c r="AO192" s="31">
        <f>G192*0.005154373</f>
        <v>0</v>
      </c>
      <c r="AP192" s="31">
        <f>G192*(1-0.005154373)</f>
        <v>0</v>
      </c>
      <c r="AQ192" s="34" t="s">
        <v>101</v>
      </c>
      <c r="AV192" s="31">
        <f>ROUND(AW192+AX192,2)</f>
        <v>0</v>
      </c>
      <c r="AW192" s="31">
        <f>ROUND(F192*AO192,2)</f>
        <v>0</v>
      </c>
      <c r="AX192" s="31">
        <f>ROUND(F192*AP192,2)</f>
        <v>0</v>
      </c>
      <c r="AY192" s="34" t="s">
        <v>349</v>
      </c>
      <c r="AZ192" s="34" t="s">
        <v>304</v>
      </c>
      <c r="BA192" s="11" t="s">
        <v>63</v>
      </c>
      <c r="BC192" s="31">
        <f>AW192+AX192</f>
        <v>0</v>
      </c>
      <c r="BD192" s="31">
        <f>G192/(100-BE192)*100</f>
        <v>0</v>
      </c>
      <c r="BE192" s="31">
        <v>0</v>
      </c>
      <c r="BF192" s="31">
        <f>192</f>
        <v>192</v>
      </c>
      <c r="BH192" s="31">
        <f>F192*AO192</f>
        <v>0</v>
      </c>
      <c r="BI192" s="31">
        <f>F192*AP192</f>
        <v>0</v>
      </c>
      <c r="BJ192" s="31">
        <f>F192*G192</f>
        <v>0</v>
      </c>
      <c r="BK192" s="34" t="s">
        <v>64</v>
      </c>
      <c r="BL192" s="31">
        <v>767</v>
      </c>
      <c r="BW192" s="31">
        <v>21</v>
      </c>
      <c r="BX192" s="5" t="s">
        <v>407</v>
      </c>
    </row>
    <row r="193" spans="1:76" x14ac:dyDescent="0.25">
      <c r="A193" s="35"/>
      <c r="C193" s="36" t="s">
        <v>56</v>
      </c>
      <c r="D193" s="36" t="s">
        <v>337</v>
      </c>
      <c r="F193" s="37">
        <v>1</v>
      </c>
      <c r="K193" s="38"/>
    </row>
    <row r="194" spans="1:76" x14ac:dyDescent="0.25">
      <c r="A194" s="39" t="s">
        <v>414</v>
      </c>
      <c r="B194" s="40" t="s">
        <v>240</v>
      </c>
      <c r="C194" s="135" t="s">
        <v>415</v>
      </c>
      <c r="D194" s="136"/>
      <c r="E194" s="40" t="s">
        <v>81</v>
      </c>
      <c r="F194" s="42">
        <v>1</v>
      </c>
      <c r="G194" s="43">
        <v>0</v>
      </c>
      <c r="H194" s="42">
        <f>ROUND(F194*AO194,2)</f>
        <v>0</v>
      </c>
      <c r="I194" s="42">
        <f>ROUND(F194*AP194,2)</f>
        <v>0</v>
      </c>
      <c r="J194" s="42">
        <f>ROUND(F194*G194,2)</f>
        <v>0</v>
      </c>
      <c r="K194" s="44" t="s">
        <v>242</v>
      </c>
      <c r="Z194" s="31">
        <f>ROUND(IF(AQ194="5",BJ194,0),2)</f>
        <v>0</v>
      </c>
      <c r="AB194" s="31">
        <f>ROUND(IF(AQ194="1",BH194,0),2)</f>
        <v>0</v>
      </c>
      <c r="AC194" s="31">
        <f>ROUND(IF(AQ194="1",BI194,0),2)</f>
        <v>0</v>
      </c>
      <c r="AD194" s="31">
        <f>ROUND(IF(AQ194="7",BH194,0),2)</f>
        <v>0</v>
      </c>
      <c r="AE194" s="31">
        <f>ROUND(IF(AQ194="7",BI194,0),2)</f>
        <v>0</v>
      </c>
      <c r="AF194" s="31">
        <f>ROUND(IF(AQ194="2",BH194,0),2)</f>
        <v>0</v>
      </c>
      <c r="AG194" s="31">
        <f>ROUND(IF(AQ194="2",BI194,0),2)</f>
        <v>0</v>
      </c>
      <c r="AH194" s="31">
        <f>ROUND(IF(AQ194="0",BJ194,0),2)</f>
        <v>0</v>
      </c>
      <c r="AI194" s="11" t="s">
        <v>56</v>
      </c>
      <c r="AJ194" s="42">
        <f>IF(AN194=0,J194,0)</f>
        <v>0</v>
      </c>
      <c r="AK194" s="42">
        <f>IF(AN194=12,J194,0)</f>
        <v>0</v>
      </c>
      <c r="AL194" s="42">
        <f>IF(AN194=21,J194,0)</f>
        <v>0</v>
      </c>
      <c r="AN194" s="31">
        <v>21</v>
      </c>
      <c r="AO194" s="31">
        <f>G194*1</f>
        <v>0</v>
      </c>
      <c r="AP194" s="31">
        <f>G194*(1-1)</f>
        <v>0</v>
      </c>
      <c r="AQ194" s="45" t="s">
        <v>101</v>
      </c>
      <c r="AV194" s="31">
        <f>ROUND(AW194+AX194,2)</f>
        <v>0</v>
      </c>
      <c r="AW194" s="31">
        <f>ROUND(F194*AO194,2)</f>
        <v>0</v>
      </c>
      <c r="AX194" s="31">
        <f>ROUND(F194*AP194,2)</f>
        <v>0</v>
      </c>
      <c r="AY194" s="34" t="s">
        <v>349</v>
      </c>
      <c r="AZ194" s="34" t="s">
        <v>304</v>
      </c>
      <c r="BA194" s="11" t="s">
        <v>63</v>
      </c>
      <c r="BC194" s="31">
        <f>AW194+AX194</f>
        <v>0</v>
      </c>
      <c r="BD194" s="31">
        <f>G194/(100-BE194)*100</f>
        <v>0</v>
      </c>
      <c r="BE194" s="31">
        <v>0</v>
      </c>
      <c r="BF194" s="31">
        <f>194</f>
        <v>194</v>
      </c>
      <c r="BH194" s="42">
        <f>F194*AO194</f>
        <v>0</v>
      </c>
      <c r="BI194" s="42">
        <f>F194*AP194</f>
        <v>0</v>
      </c>
      <c r="BJ194" s="42">
        <f>F194*G194</f>
        <v>0</v>
      </c>
      <c r="BK194" s="45" t="s">
        <v>70</v>
      </c>
      <c r="BL194" s="31">
        <v>767</v>
      </c>
      <c r="BW194" s="31">
        <v>21</v>
      </c>
      <c r="BX194" s="41" t="s">
        <v>415</v>
      </c>
    </row>
    <row r="195" spans="1:76" x14ac:dyDescent="0.25">
      <c r="A195" s="2" t="s">
        <v>222</v>
      </c>
      <c r="B195" s="3" t="s">
        <v>416</v>
      </c>
      <c r="C195" s="112" t="s">
        <v>417</v>
      </c>
      <c r="D195" s="107"/>
      <c r="E195" s="3" t="s">
        <v>276</v>
      </c>
      <c r="F195" s="31">
        <v>0.90347999999999995</v>
      </c>
      <c r="G195" s="32">
        <v>0</v>
      </c>
      <c r="H195" s="31">
        <f>ROUND(F195*AO195,2)</f>
        <v>0</v>
      </c>
      <c r="I195" s="31">
        <f>ROUND(F195*AP195,2)</f>
        <v>0</v>
      </c>
      <c r="J195" s="31">
        <f>ROUND(F195*G195,2)</f>
        <v>0</v>
      </c>
      <c r="K195" s="33" t="s">
        <v>60</v>
      </c>
      <c r="Z195" s="31">
        <f>ROUND(IF(AQ195="5",BJ195,0),2)</f>
        <v>0</v>
      </c>
      <c r="AB195" s="31">
        <f>ROUND(IF(AQ195="1",BH195,0),2)</f>
        <v>0</v>
      </c>
      <c r="AC195" s="31">
        <f>ROUND(IF(AQ195="1",BI195,0),2)</f>
        <v>0</v>
      </c>
      <c r="AD195" s="31">
        <f>ROUND(IF(AQ195="7",BH195,0),2)</f>
        <v>0</v>
      </c>
      <c r="AE195" s="31">
        <f>ROUND(IF(AQ195="7",BI195,0),2)</f>
        <v>0</v>
      </c>
      <c r="AF195" s="31">
        <f>ROUND(IF(AQ195="2",BH195,0),2)</f>
        <v>0</v>
      </c>
      <c r="AG195" s="31">
        <f>ROUND(IF(AQ195="2",BI195,0),2)</f>
        <v>0</v>
      </c>
      <c r="AH195" s="31">
        <f>ROUND(IF(AQ195="0",BJ195,0),2)</f>
        <v>0</v>
      </c>
      <c r="AI195" s="11" t="s">
        <v>56</v>
      </c>
      <c r="AJ195" s="31">
        <f>IF(AN195=0,J195,0)</f>
        <v>0</v>
      </c>
      <c r="AK195" s="31">
        <f>IF(AN195=12,J195,0)</f>
        <v>0</v>
      </c>
      <c r="AL195" s="31">
        <f>IF(AN195=21,J195,0)</f>
        <v>0</v>
      </c>
      <c r="AN195" s="31">
        <v>21</v>
      </c>
      <c r="AO195" s="31">
        <f>G195*0</f>
        <v>0</v>
      </c>
      <c r="AP195" s="31">
        <f>G195*(1-0)</f>
        <v>0</v>
      </c>
      <c r="AQ195" s="34" t="s">
        <v>85</v>
      </c>
      <c r="AV195" s="31">
        <f>ROUND(AW195+AX195,2)</f>
        <v>0</v>
      </c>
      <c r="AW195" s="31">
        <f>ROUND(F195*AO195,2)</f>
        <v>0</v>
      </c>
      <c r="AX195" s="31">
        <f>ROUND(F195*AP195,2)</f>
        <v>0</v>
      </c>
      <c r="AY195" s="34" t="s">
        <v>349</v>
      </c>
      <c r="AZ195" s="34" t="s">
        <v>304</v>
      </c>
      <c r="BA195" s="11" t="s">
        <v>63</v>
      </c>
      <c r="BC195" s="31">
        <f>AW195+AX195</f>
        <v>0</v>
      </c>
      <c r="BD195" s="31">
        <f>G195/(100-BE195)*100</f>
        <v>0</v>
      </c>
      <c r="BE195" s="31">
        <v>0</v>
      </c>
      <c r="BF195" s="31">
        <f>195</f>
        <v>195</v>
      </c>
      <c r="BH195" s="31">
        <f>F195*AO195</f>
        <v>0</v>
      </c>
      <c r="BI195" s="31">
        <f>F195*AP195</f>
        <v>0</v>
      </c>
      <c r="BJ195" s="31">
        <f>F195*G195</f>
        <v>0</v>
      </c>
      <c r="BK195" s="34" t="s">
        <v>64</v>
      </c>
      <c r="BL195" s="31">
        <v>767</v>
      </c>
      <c r="BW195" s="31">
        <v>21</v>
      </c>
      <c r="BX195" s="5" t="s">
        <v>417</v>
      </c>
    </row>
    <row r="196" spans="1:76" x14ac:dyDescent="0.25">
      <c r="A196" s="26" t="s">
        <v>52</v>
      </c>
      <c r="B196" s="27" t="s">
        <v>418</v>
      </c>
      <c r="C196" s="133" t="s">
        <v>419</v>
      </c>
      <c r="D196" s="134"/>
      <c r="E196" s="28" t="s">
        <v>4</v>
      </c>
      <c r="F196" s="28" t="s">
        <v>4</v>
      </c>
      <c r="G196" s="29" t="s">
        <v>4</v>
      </c>
      <c r="H196" s="1">
        <f>SUM(H197:H245)</f>
        <v>0</v>
      </c>
      <c r="I196" s="1">
        <f>SUM(I197:I245)</f>
        <v>0</v>
      </c>
      <c r="J196" s="1">
        <f>SUM(J197:J245)</f>
        <v>0</v>
      </c>
      <c r="K196" s="30" t="s">
        <v>52</v>
      </c>
      <c r="AI196" s="11" t="s">
        <v>56</v>
      </c>
      <c r="AS196" s="1">
        <f>SUM(AJ197:AJ245)</f>
        <v>0</v>
      </c>
      <c r="AT196" s="1">
        <f>SUM(AK197:AK245)</f>
        <v>0</v>
      </c>
      <c r="AU196" s="1">
        <f>SUM(AL197:AL245)</f>
        <v>0</v>
      </c>
    </row>
    <row r="197" spans="1:76" x14ac:dyDescent="0.25">
      <c r="A197" s="2" t="s">
        <v>237</v>
      </c>
      <c r="B197" s="3" t="s">
        <v>420</v>
      </c>
      <c r="C197" s="112" t="s">
        <v>421</v>
      </c>
      <c r="D197" s="107"/>
      <c r="E197" s="3" t="s">
        <v>59</v>
      </c>
      <c r="F197" s="31">
        <v>9.7970000000000006</v>
      </c>
      <c r="G197" s="32">
        <v>0</v>
      </c>
      <c r="H197" s="31">
        <f>ROUND(F197*AO197,2)</f>
        <v>0</v>
      </c>
      <c r="I197" s="31">
        <f>ROUND(F197*AP197,2)</f>
        <v>0</v>
      </c>
      <c r="J197" s="31">
        <f>ROUND(F197*G197,2)</f>
        <v>0</v>
      </c>
      <c r="K197" s="33" t="s">
        <v>60</v>
      </c>
      <c r="Z197" s="31">
        <f>ROUND(IF(AQ197="5",BJ197,0),2)</f>
        <v>0</v>
      </c>
      <c r="AB197" s="31">
        <f>ROUND(IF(AQ197="1",BH197,0),2)</f>
        <v>0</v>
      </c>
      <c r="AC197" s="31">
        <f>ROUND(IF(AQ197="1",BI197,0),2)</f>
        <v>0</v>
      </c>
      <c r="AD197" s="31">
        <f>ROUND(IF(AQ197="7",BH197,0),2)</f>
        <v>0</v>
      </c>
      <c r="AE197" s="31">
        <f>ROUND(IF(AQ197="7",BI197,0),2)</f>
        <v>0</v>
      </c>
      <c r="AF197" s="31">
        <f>ROUND(IF(AQ197="2",BH197,0),2)</f>
        <v>0</v>
      </c>
      <c r="AG197" s="31">
        <f>ROUND(IF(AQ197="2",BI197,0),2)</f>
        <v>0</v>
      </c>
      <c r="AH197" s="31">
        <f>ROUND(IF(AQ197="0",BJ197,0),2)</f>
        <v>0</v>
      </c>
      <c r="AI197" s="11" t="s">
        <v>56</v>
      </c>
      <c r="AJ197" s="31">
        <f>IF(AN197=0,J197,0)</f>
        <v>0</v>
      </c>
      <c r="AK197" s="31">
        <f>IF(AN197=12,J197,0)</f>
        <v>0</v>
      </c>
      <c r="AL197" s="31">
        <f>IF(AN197=21,J197,0)</f>
        <v>0</v>
      </c>
      <c r="AN197" s="31">
        <v>21</v>
      </c>
      <c r="AO197" s="31">
        <f>G197*0</f>
        <v>0</v>
      </c>
      <c r="AP197" s="31">
        <f>G197*(1-0)</f>
        <v>0</v>
      </c>
      <c r="AQ197" s="34" t="s">
        <v>101</v>
      </c>
      <c r="AV197" s="31">
        <f>ROUND(AW197+AX197,2)</f>
        <v>0</v>
      </c>
      <c r="AW197" s="31">
        <f>ROUND(F197*AO197,2)</f>
        <v>0</v>
      </c>
      <c r="AX197" s="31">
        <f>ROUND(F197*AP197,2)</f>
        <v>0</v>
      </c>
      <c r="AY197" s="34" t="s">
        <v>422</v>
      </c>
      <c r="AZ197" s="34" t="s">
        <v>423</v>
      </c>
      <c r="BA197" s="11" t="s">
        <v>63</v>
      </c>
      <c r="BC197" s="31">
        <f>AW197+AX197</f>
        <v>0</v>
      </c>
      <c r="BD197" s="31">
        <f>G197/(100-BE197)*100</f>
        <v>0</v>
      </c>
      <c r="BE197" s="31">
        <v>0</v>
      </c>
      <c r="BF197" s="31">
        <f>197</f>
        <v>197</v>
      </c>
      <c r="BH197" s="31">
        <f>F197*AO197</f>
        <v>0</v>
      </c>
      <c r="BI197" s="31">
        <f>F197*AP197</f>
        <v>0</v>
      </c>
      <c r="BJ197" s="31">
        <f>F197*G197</f>
        <v>0</v>
      </c>
      <c r="BK197" s="34" t="s">
        <v>64</v>
      </c>
      <c r="BL197" s="31">
        <v>771</v>
      </c>
      <c r="BW197" s="31">
        <v>21</v>
      </c>
      <c r="BX197" s="5" t="s">
        <v>421</v>
      </c>
    </row>
    <row r="198" spans="1:76" x14ac:dyDescent="0.25">
      <c r="A198" s="35"/>
      <c r="C198" s="36" t="s">
        <v>424</v>
      </c>
      <c r="D198" s="36" t="s">
        <v>425</v>
      </c>
      <c r="F198" s="37">
        <v>4.24</v>
      </c>
      <c r="K198" s="38"/>
    </row>
    <row r="199" spans="1:76" x14ac:dyDescent="0.25">
      <c r="A199" s="35"/>
      <c r="C199" s="36" t="s">
        <v>426</v>
      </c>
      <c r="D199" s="36" t="s">
        <v>427</v>
      </c>
      <c r="F199" s="37">
        <v>1.02</v>
      </c>
      <c r="K199" s="38"/>
    </row>
    <row r="200" spans="1:76" x14ac:dyDescent="0.25">
      <c r="A200" s="35"/>
      <c r="C200" s="36" t="s">
        <v>428</v>
      </c>
      <c r="D200" s="36" t="s">
        <v>429</v>
      </c>
      <c r="F200" s="37">
        <v>0.95699999999999996</v>
      </c>
      <c r="K200" s="38"/>
    </row>
    <row r="201" spans="1:76" x14ac:dyDescent="0.25">
      <c r="A201" s="35"/>
      <c r="C201" s="36" t="s">
        <v>430</v>
      </c>
      <c r="D201" s="36" t="s">
        <v>431</v>
      </c>
      <c r="F201" s="37">
        <v>1.6</v>
      </c>
      <c r="K201" s="38"/>
    </row>
    <row r="202" spans="1:76" x14ac:dyDescent="0.25">
      <c r="A202" s="35"/>
      <c r="C202" s="36" t="s">
        <v>233</v>
      </c>
      <c r="D202" s="36" t="s">
        <v>432</v>
      </c>
      <c r="F202" s="37">
        <v>0.48</v>
      </c>
      <c r="K202" s="38"/>
    </row>
    <row r="203" spans="1:76" x14ac:dyDescent="0.25">
      <c r="A203" s="35"/>
      <c r="C203" s="36" t="s">
        <v>433</v>
      </c>
      <c r="D203" s="36" t="s">
        <v>434</v>
      </c>
      <c r="F203" s="37">
        <v>1.5</v>
      </c>
      <c r="K203" s="38"/>
    </row>
    <row r="204" spans="1:76" x14ac:dyDescent="0.25">
      <c r="A204" s="2" t="s">
        <v>435</v>
      </c>
      <c r="B204" s="3" t="s">
        <v>436</v>
      </c>
      <c r="C204" s="112" t="s">
        <v>437</v>
      </c>
      <c r="D204" s="107"/>
      <c r="E204" s="3" t="s">
        <v>59</v>
      </c>
      <c r="F204" s="31">
        <v>20.932500000000001</v>
      </c>
      <c r="G204" s="32">
        <v>0</v>
      </c>
      <c r="H204" s="31">
        <f>ROUND(F204*AO204,2)</f>
        <v>0</v>
      </c>
      <c r="I204" s="31">
        <f>ROUND(F204*AP204,2)</f>
        <v>0</v>
      </c>
      <c r="J204" s="31">
        <f>ROUND(F204*G204,2)</f>
        <v>0</v>
      </c>
      <c r="K204" s="33" t="s">
        <v>60</v>
      </c>
      <c r="Z204" s="31">
        <f>ROUND(IF(AQ204="5",BJ204,0),2)</f>
        <v>0</v>
      </c>
      <c r="AB204" s="31">
        <f>ROUND(IF(AQ204="1",BH204,0),2)</f>
        <v>0</v>
      </c>
      <c r="AC204" s="31">
        <f>ROUND(IF(AQ204="1",BI204,0),2)</f>
        <v>0</v>
      </c>
      <c r="AD204" s="31">
        <f>ROUND(IF(AQ204="7",BH204,0),2)</f>
        <v>0</v>
      </c>
      <c r="AE204" s="31">
        <f>ROUND(IF(AQ204="7",BI204,0),2)</f>
        <v>0</v>
      </c>
      <c r="AF204" s="31">
        <f>ROUND(IF(AQ204="2",BH204,0),2)</f>
        <v>0</v>
      </c>
      <c r="AG204" s="31">
        <f>ROUND(IF(AQ204="2",BI204,0),2)</f>
        <v>0</v>
      </c>
      <c r="AH204" s="31">
        <f>ROUND(IF(AQ204="0",BJ204,0),2)</f>
        <v>0</v>
      </c>
      <c r="AI204" s="11" t="s">
        <v>56</v>
      </c>
      <c r="AJ204" s="31">
        <f>IF(AN204=0,J204,0)</f>
        <v>0</v>
      </c>
      <c r="AK204" s="31">
        <f>IF(AN204=12,J204,0)</f>
        <v>0</v>
      </c>
      <c r="AL204" s="31">
        <f>IF(AN204=21,J204,0)</f>
        <v>0</v>
      </c>
      <c r="AN204" s="31">
        <v>21</v>
      </c>
      <c r="AO204" s="31">
        <f>G204*0.205436199</f>
        <v>0</v>
      </c>
      <c r="AP204" s="31">
        <f>G204*(1-0.205436199)</f>
        <v>0</v>
      </c>
      <c r="AQ204" s="34" t="s">
        <v>101</v>
      </c>
      <c r="AV204" s="31">
        <f>ROUND(AW204+AX204,2)</f>
        <v>0</v>
      </c>
      <c r="AW204" s="31">
        <f>ROUND(F204*AO204,2)</f>
        <v>0</v>
      </c>
      <c r="AX204" s="31">
        <f>ROUND(F204*AP204,2)</f>
        <v>0</v>
      </c>
      <c r="AY204" s="34" t="s">
        <v>422</v>
      </c>
      <c r="AZ204" s="34" t="s">
        <v>423</v>
      </c>
      <c r="BA204" s="11" t="s">
        <v>63</v>
      </c>
      <c r="BC204" s="31">
        <f>AW204+AX204</f>
        <v>0</v>
      </c>
      <c r="BD204" s="31">
        <f>G204/(100-BE204)*100</f>
        <v>0</v>
      </c>
      <c r="BE204" s="31">
        <v>0</v>
      </c>
      <c r="BF204" s="31">
        <f>204</f>
        <v>204</v>
      </c>
      <c r="BH204" s="31">
        <f>F204*AO204</f>
        <v>0</v>
      </c>
      <c r="BI204" s="31">
        <f>F204*AP204</f>
        <v>0</v>
      </c>
      <c r="BJ204" s="31">
        <f>F204*G204</f>
        <v>0</v>
      </c>
      <c r="BK204" s="34" t="s">
        <v>64</v>
      </c>
      <c r="BL204" s="31">
        <v>771</v>
      </c>
      <c r="BW204" s="31">
        <v>21</v>
      </c>
      <c r="BX204" s="5" t="s">
        <v>437</v>
      </c>
    </row>
    <row r="205" spans="1:76" ht="13.5" customHeight="1" x14ac:dyDescent="0.25">
      <c r="A205" s="35"/>
      <c r="C205" s="137" t="s">
        <v>438</v>
      </c>
      <c r="D205" s="138"/>
      <c r="E205" s="138"/>
      <c r="F205" s="138"/>
      <c r="G205" s="139"/>
      <c r="H205" s="138"/>
      <c r="I205" s="138"/>
      <c r="J205" s="138"/>
      <c r="K205" s="140"/>
    </row>
    <row r="206" spans="1:76" x14ac:dyDescent="0.25">
      <c r="A206" s="35"/>
      <c r="C206" s="36" t="s">
        <v>439</v>
      </c>
      <c r="D206" s="36" t="s">
        <v>440</v>
      </c>
      <c r="F206" s="37">
        <v>15.93</v>
      </c>
      <c r="K206" s="38"/>
    </row>
    <row r="207" spans="1:76" x14ac:dyDescent="0.25">
      <c r="A207" s="35"/>
      <c r="C207" s="36" t="s">
        <v>268</v>
      </c>
      <c r="D207" s="36" t="s">
        <v>441</v>
      </c>
      <c r="F207" s="37">
        <v>4.5225</v>
      </c>
      <c r="K207" s="38"/>
    </row>
    <row r="208" spans="1:76" x14ac:dyDescent="0.25">
      <c r="A208" s="35"/>
      <c r="C208" s="36" t="s">
        <v>233</v>
      </c>
      <c r="D208" s="36" t="s">
        <v>442</v>
      </c>
      <c r="F208" s="37">
        <v>0.48</v>
      </c>
      <c r="K208" s="38"/>
    </row>
    <row r="209" spans="1:76" x14ac:dyDescent="0.25">
      <c r="A209" s="39" t="s">
        <v>443</v>
      </c>
      <c r="B209" s="40" t="s">
        <v>444</v>
      </c>
      <c r="C209" s="135" t="s">
        <v>445</v>
      </c>
      <c r="D209" s="136"/>
      <c r="E209" s="40" t="s">
        <v>59</v>
      </c>
      <c r="F209" s="42">
        <v>21.979120000000002</v>
      </c>
      <c r="G209" s="43">
        <v>0</v>
      </c>
      <c r="H209" s="42">
        <f>ROUND(F209*AO209,2)</f>
        <v>0</v>
      </c>
      <c r="I209" s="42">
        <f>ROUND(F209*AP209,2)</f>
        <v>0</v>
      </c>
      <c r="J209" s="42">
        <f>ROUND(F209*G209,2)</f>
        <v>0</v>
      </c>
      <c r="K209" s="44" t="s">
        <v>60</v>
      </c>
      <c r="Z209" s="31">
        <f>ROUND(IF(AQ209="5",BJ209,0),2)</f>
        <v>0</v>
      </c>
      <c r="AB209" s="31">
        <f>ROUND(IF(AQ209="1",BH209,0),2)</f>
        <v>0</v>
      </c>
      <c r="AC209" s="31">
        <f>ROUND(IF(AQ209="1",BI209,0),2)</f>
        <v>0</v>
      </c>
      <c r="AD209" s="31">
        <f>ROUND(IF(AQ209="7",BH209,0),2)</f>
        <v>0</v>
      </c>
      <c r="AE209" s="31">
        <f>ROUND(IF(AQ209="7",BI209,0),2)</f>
        <v>0</v>
      </c>
      <c r="AF209" s="31">
        <f>ROUND(IF(AQ209="2",BH209,0),2)</f>
        <v>0</v>
      </c>
      <c r="AG209" s="31">
        <f>ROUND(IF(AQ209="2",BI209,0),2)</f>
        <v>0</v>
      </c>
      <c r="AH209" s="31">
        <f>ROUND(IF(AQ209="0",BJ209,0),2)</f>
        <v>0</v>
      </c>
      <c r="AI209" s="11" t="s">
        <v>56</v>
      </c>
      <c r="AJ209" s="42">
        <f>IF(AN209=0,J209,0)</f>
        <v>0</v>
      </c>
      <c r="AK209" s="42">
        <f>IF(AN209=12,J209,0)</f>
        <v>0</v>
      </c>
      <c r="AL209" s="42">
        <f>IF(AN209=21,J209,0)</f>
        <v>0</v>
      </c>
      <c r="AN209" s="31">
        <v>21</v>
      </c>
      <c r="AO209" s="31">
        <f>G209*1</f>
        <v>0</v>
      </c>
      <c r="AP209" s="31">
        <f>G209*(1-1)</f>
        <v>0</v>
      </c>
      <c r="AQ209" s="45" t="s">
        <v>101</v>
      </c>
      <c r="AV209" s="31">
        <f>ROUND(AW209+AX209,2)</f>
        <v>0</v>
      </c>
      <c r="AW209" s="31">
        <f>ROUND(F209*AO209,2)</f>
        <v>0</v>
      </c>
      <c r="AX209" s="31">
        <f>ROUND(F209*AP209,2)</f>
        <v>0</v>
      </c>
      <c r="AY209" s="34" t="s">
        <v>422</v>
      </c>
      <c r="AZ209" s="34" t="s">
        <v>423</v>
      </c>
      <c r="BA209" s="11" t="s">
        <v>63</v>
      </c>
      <c r="BC209" s="31">
        <f>AW209+AX209</f>
        <v>0</v>
      </c>
      <c r="BD209" s="31">
        <f>G209/(100-BE209)*100</f>
        <v>0</v>
      </c>
      <c r="BE209" s="31">
        <v>0</v>
      </c>
      <c r="BF209" s="31">
        <f>209</f>
        <v>209</v>
      </c>
      <c r="BH209" s="42">
        <f>F209*AO209</f>
        <v>0</v>
      </c>
      <c r="BI209" s="42">
        <f>F209*AP209</f>
        <v>0</v>
      </c>
      <c r="BJ209" s="42">
        <f>F209*G209</f>
        <v>0</v>
      </c>
      <c r="BK209" s="45" t="s">
        <v>70</v>
      </c>
      <c r="BL209" s="31">
        <v>771</v>
      </c>
      <c r="BW209" s="31">
        <v>21</v>
      </c>
      <c r="BX209" s="41" t="s">
        <v>445</v>
      </c>
    </row>
    <row r="210" spans="1:76" x14ac:dyDescent="0.25">
      <c r="A210" s="35"/>
      <c r="C210" s="36" t="s">
        <v>439</v>
      </c>
      <c r="D210" s="36" t="s">
        <v>440</v>
      </c>
      <c r="F210" s="37">
        <v>15.93</v>
      </c>
      <c r="K210" s="38"/>
    </row>
    <row r="211" spans="1:76" x14ac:dyDescent="0.25">
      <c r="A211" s="35"/>
      <c r="C211" s="36" t="s">
        <v>268</v>
      </c>
      <c r="D211" s="36" t="s">
        <v>441</v>
      </c>
      <c r="F211" s="37">
        <v>4.5225</v>
      </c>
      <c r="K211" s="38"/>
    </row>
    <row r="212" spans="1:76" x14ac:dyDescent="0.25">
      <c r="A212" s="35"/>
      <c r="C212" s="36" t="s">
        <v>233</v>
      </c>
      <c r="D212" s="36" t="s">
        <v>442</v>
      </c>
      <c r="F212" s="37">
        <v>0.48</v>
      </c>
      <c r="K212" s="38"/>
    </row>
    <row r="213" spans="1:76" x14ac:dyDescent="0.25">
      <c r="A213" s="35"/>
      <c r="C213" s="36" t="s">
        <v>446</v>
      </c>
      <c r="D213" s="36" t="s">
        <v>52</v>
      </c>
      <c r="F213" s="37">
        <v>1.0466200000000001</v>
      </c>
      <c r="K213" s="38"/>
    </row>
    <row r="214" spans="1:76" x14ac:dyDescent="0.25">
      <c r="A214" s="2" t="s">
        <v>447</v>
      </c>
      <c r="B214" s="3" t="s">
        <v>448</v>
      </c>
      <c r="C214" s="112" t="s">
        <v>449</v>
      </c>
      <c r="D214" s="107"/>
      <c r="E214" s="3" t="s">
        <v>59</v>
      </c>
      <c r="F214" s="31">
        <v>20.932500000000001</v>
      </c>
      <c r="G214" s="32">
        <v>0</v>
      </c>
      <c r="H214" s="31">
        <f>ROUND(F214*AO214,2)</f>
        <v>0</v>
      </c>
      <c r="I214" s="31">
        <f>ROUND(F214*AP214,2)</f>
        <v>0</v>
      </c>
      <c r="J214" s="31">
        <f>ROUND(F214*G214,2)</f>
        <v>0</v>
      </c>
      <c r="K214" s="33" t="s">
        <v>60</v>
      </c>
      <c r="Z214" s="31">
        <f>ROUND(IF(AQ214="5",BJ214,0),2)</f>
        <v>0</v>
      </c>
      <c r="AB214" s="31">
        <f>ROUND(IF(AQ214="1",BH214,0),2)</f>
        <v>0</v>
      </c>
      <c r="AC214" s="31">
        <f>ROUND(IF(AQ214="1",BI214,0),2)</f>
        <v>0</v>
      </c>
      <c r="AD214" s="31">
        <f>ROUND(IF(AQ214="7",BH214,0),2)</f>
        <v>0</v>
      </c>
      <c r="AE214" s="31">
        <f>ROUND(IF(AQ214="7",BI214,0),2)</f>
        <v>0</v>
      </c>
      <c r="AF214" s="31">
        <f>ROUND(IF(AQ214="2",BH214,0),2)</f>
        <v>0</v>
      </c>
      <c r="AG214" s="31">
        <f>ROUND(IF(AQ214="2",BI214,0),2)</f>
        <v>0</v>
      </c>
      <c r="AH214" s="31">
        <f>ROUND(IF(AQ214="0",BJ214,0),2)</f>
        <v>0</v>
      </c>
      <c r="AI214" s="11" t="s">
        <v>56</v>
      </c>
      <c r="AJ214" s="31">
        <f>IF(AN214=0,J214,0)</f>
        <v>0</v>
      </c>
      <c r="AK214" s="31">
        <f>IF(AN214=12,J214,0)</f>
        <v>0</v>
      </c>
      <c r="AL214" s="31">
        <f>IF(AN214=21,J214,0)</f>
        <v>0</v>
      </c>
      <c r="AN214" s="31">
        <v>21</v>
      </c>
      <c r="AO214" s="31">
        <f>G214*0.422534769</f>
        <v>0</v>
      </c>
      <c r="AP214" s="31">
        <f>G214*(1-0.422534769)</f>
        <v>0</v>
      </c>
      <c r="AQ214" s="34" t="s">
        <v>101</v>
      </c>
      <c r="AV214" s="31">
        <f>ROUND(AW214+AX214,2)</f>
        <v>0</v>
      </c>
      <c r="AW214" s="31">
        <f>ROUND(F214*AO214,2)</f>
        <v>0</v>
      </c>
      <c r="AX214" s="31">
        <f>ROUND(F214*AP214,2)</f>
        <v>0</v>
      </c>
      <c r="AY214" s="34" t="s">
        <v>422</v>
      </c>
      <c r="AZ214" s="34" t="s">
        <v>423</v>
      </c>
      <c r="BA214" s="11" t="s">
        <v>63</v>
      </c>
      <c r="BC214" s="31">
        <f>AW214+AX214</f>
        <v>0</v>
      </c>
      <c r="BD214" s="31">
        <f>G214/(100-BE214)*100</f>
        <v>0</v>
      </c>
      <c r="BE214" s="31">
        <v>0</v>
      </c>
      <c r="BF214" s="31">
        <f>214</f>
        <v>214</v>
      </c>
      <c r="BH214" s="31">
        <f>F214*AO214</f>
        <v>0</v>
      </c>
      <c r="BI214" s="31">
        <f>F214*AP214</f>
        <v>0</v>
      </c>
      <c r="BJ214" s="31">
        <f>F214*G214</f>
        <v>0</v>
      </c>
      <c r="BK214" s="34" t="s">
        <v>64</v>
      </c>
      <c r="BL214" s="31">
        <v>771</v>
      </c>
      <c r="BW214" s="31">
        <v>21</v>
      </c>
      <c r="BX214" s="5" t="s">
        <v>449</v>
      </c>
    </row>
    <row r="215" spans="1:76" x14ac:dyDescent="0.25">
      <c r="A215" s="35"/>
      <c r="C215" s="36" t="s">
        <v>439</v>
      </c>
      <c r="D215" s="36" t="s">
        <v>440</v>
      </c>
      <c r="F215" s="37">
        <v>15.93</v>
      </c>
      <c r="K215" s="38"/>
    </row>
    <row r="216" spans="1:76" x14ac:dyDescent="0.25">
      <c r="A216" s="35"/>
      <c r="C216" s="36" t="s">
        <v>268</v>
      </c>
      <c r="D216" s="36" t="s">
        <v>441</v>
      </c>
      <c r="F216" s="37">
        <v>4.5225</v>
      </c>
      <c r="K216" s="38"/>
    </row>
    <row r="217" spans="1:76" x14ac:dyDescent="0.25">
      <c r="A217" s="35"/>
      <c r="C217" s="36" t="s">
        <v>233</v>
      </c>
      <c r="D217" s="36" t="s">
        <v>442</v>
      </c>
      <c r="F217" s="37">
        <v>0.48</v>
      </c>
      <c r="K217" s="38"/>
    </row>
    <row r="218" spans="1:76" x14ac:dyDescent="0.25">
      <c r="A218" s="2" t="s">
        <v>450</v>
      </c>
      <c r="B218" s="3" t="s">
        <v>451</v>
      </c>
      <c r="C218" s="112" t="s">
        <v>452</v>
      </c>
      <c r="D218" s="107"/>
      <c r="E218" s="3" t="s">
        <v>59</v>
      </c>
      <c r="F218" s="31">
        <v>44.887500000000003</v>
      </c>
      <c r="G218" s="32">
        <v>0</v>
      </c>
      <c r="H218" s="31">
        <f>ROUND(F218*AO218,2)</f>
        <v>0</v>
      </c>
      <c r="I218" s="31">
        <f>ROUND(F218*AP218,2)</f>
        <v>0</v>
      </c>
      <c r="J218" s="31">
        <f>ROUND(F218*G218,2)</f>
        <v>0</v>
      </c>
      <c r="K218" s="33" t="s">
        <v>60</v>
      </c>
      <c r="Z218" s="31">
        <f>ROUND(IF(AQ218="5",BJ218,0),2)</f>
        <v>0</v>
      </c>
      <c r="AB218" s="31">
        <f>ROUND(IF(AQ218="1",BH218,0),2)</f>
        <v>0</v>
      </c>
      <c r="AC218" s="31">
        <f>ROUND(IF(AQ218="1",BI218,0),2)</f>
        <v>0</v>
      </c>
      <c r="AD218" s="31">
        <f>ROUND(IF(AQ218="7",BH218,0),2)</f>
        <v>0</v>
      </c>
      <c r="AE218" s="31">
        <f>ROUND(IF(AQ218="7",BI218,0),2)</f>
        <v>0</v>
      </c>
      <c r="AF218" s="31">
        <f>ROUND(IF(AQ218="2",BH218,0),2)</f>
        <v>0</v>
      </c>
      <c r="AG218" s="31">
        <f>ROUND(IF(AQ218="2",BI218,0),2)</f>
        <v>0</v>
      </c>
      <c r="AH218" s="31">
        <f>ROUND(IF(AQ218="0",BJ218,0),2)</f>
        <v>0</v>
      </c>
      <c r="AI218" s="11" t="s">
        <v>56</v>
      </c>
      <c r="AJ218" s="31">
        <f>IF(AN218=0,J218,0)</f>
        <v>0</v>
      </c>
      <c r="AK218" s="31">
        <f>IF(AN218=12,J218,0)</f>
        <v>0</v>
      </c>
      <c r="AL218" s="31">
        <f>IF(AN218=21,J218,0)</f>
        <v>0</v>
      </c>
      <c r="AN218" s="31">
        <v>21</v>
      </c>
      <c r="AO218" s="31">
        <f>G218*0.520159244</f>
        <v>0</v>
      </c>
      <c r="AP218" s="31">
        <f>G218*(1-0.520159244)</f>
        <v>0</v>
      </c>
      <c r="AQ218" s="34" t="s">
        <v>101</v>
      </c>
      <c r="AV218" s="31">
        <f>ROUND(AW218+AX218,2)</f>
        <v>0</v>
      </c>
      <c r="AW218" s="31">
        <f>ROUND(F218*AO218,2)</f>
        <v>0</v>
      </c>
      <c r="AX218" s="31">
        <f>ROUND(F218*AP218,2)</f>
        <v>0</v>
      </c>
      <c r="AY218" s="34" t="s">
        <v>422</v>
      </c>
      <c r="AZ218" s="34" t="s">
        <v>423</v>
      </c>
      <c r="BA218" s="11" t="s">
        <v>63</v>
      </c>
      <c r="BC218" s="31">
        <f>AW218+AX218</f>
        <v>0</v>
      </c>
      <c r="BD218" s="31">
        <f>G218/(100-BE218)*100</f>
        <v>0</v>
      </c>
      <c r="BE218" s="31">
        <v>0</v>
      </c>
      <c r="BF218" s="31">
        <f>218</f>
        <v>218</v>
      </c>
      <c r="BH218" s="31">
        <f>F218*AO218</f>
        <v>0</v>
      </c>
      <c r="BI218" s="31">
        <f>F218*AP218</f>
        <v>0</v>
      </c>
      <c r="BJ218" s="31">
        <f>F218*G218</f>
        <v>0</v>
      </c>
      <c r="BK218" s="34" t="s">
        <v>64</v>
      </c>
      <c r="BL218" s="31">
        <v>771</v>
      </c>
      <c r="BW218" s="31">
        <v>21</v>
      </c>
      <c r="BX218" s="5" t="s">
        <v>452</v>
      </c>
    </row>
    <row r="219" spans="1:76" x14ac:dyDescent="0.25">
      <c r="A219" s="35"/>
      <c r="C219" s="36" t="s">
        <v>453</v>
      </c>
      <c r="D219" s="36" t="s">
        <v>440</v>
      </c>
      <c r="F219" s="37">
        <v>39.884999999999998</v>
      </c>
      <c r="K219" s="38"/>
    </row>
    <row r="220" spans="1:76" x14ac:dyDescent="0.25">
      <c r="A220" s="35"/>
      <c r="C220" s="36" t="s">
        <v>268</v>
      </c>
      <c r="D220" s="36" t="s">
        <v>441</v>
      </c>
      <c r="F220" s="37">
        <v>4.5225</v>
      </c>
      <c r="K220" s="38"/>
    </row>
    <row r="221" spans="1:76" x14ac:dyDescent="0.25">
      <c r="A221" s="35"/>
      <c r="C221" s="36" t="s">
        <v>233</v>
      </c>
      <c r="D221" s="36" t="s">
        <v>442</v>
      </c>
      <c r="F221" s="37">
        <v>0.48</v>
      </c>
      <c r="K221" s="38"/>
    </row>
    <row r="222" spans="1:76" x14ac:dyDescent="0.25">
      <c r="A222" s="2" t="s">
        <v>454</v>
      </c>
      <c r="B222" s="3" t="s">
        <v>455</v>
      </c>
      <c r="C222" s="112" t="s">
        <v>456</v>
      </c>
      <c r="D222" s="107"/>
      <c r="E222" s="3" t="s">
        <v>59</v>
      </c>
      <c r="F222" s="31">
        <v>15.93</v>
      </c>
      <c r="G222" s="32">
        <v>0</v>
      </c>
      <c r="H222" s="31">
        <f>ROUND(F222*AO222,2)</f>
        <v>0</v>
      </c>
      <c r="I222" s="31">
        <f>ROUND(F222*AP222,2)</f>
        <v>0</v>
      </c>
      <c r="J222" s="31">
        <f>ROUND(F222*G222,2)</f>
        <v>0</v>
      </c>
      <c r="K222" s="33" t="s">
        <v>60</v>
      </c>
      <c r="Z222" s="31">
        <f>ROUND(IF(AQ222="5",BJ222,0),2)</f>
        <v>0</v>
      </c>
      <c r="AB222" s="31">
        <f>ROUND(IF(AQ222="1",BH222,0),2)</f>
        <v>0</v>
      </c>
      <c r="AC222" s="31">
        <f>ROUND(IF(AQ222="1",BI222,0),2)</f>
        <v>0</v>
      </c>
      <c r="AD222" s="31">
        <f>ROUND(IF(AQ222="7",BH222,0),2)</f>
        <v>0</v>
      </c>
      <c r="AE222" s="31">
        <f>ROUND(IF(AQ222="7",BI222,0),2)</f>
        <v>0</v>
      </c>
      <c r="AF222" s="31">
        <f>ROUND(IF(AQ222="2",BH222,0),2)</f>
        <v>0</v>
      </c>
      <c r="AG222" s="31">
        <f>ROUND(IF(AQ222="2",BI222,0),2)</f>
        <v>0</v>
      </c>
      <c r="AH222" s="31">
        <f>ROUND(IF(AQ222="0",BJ222,0),2)</f>
        <v>0</v>
      </c>
      <c r="AI222" s="11" t="s">
        <v>56</v>
      </c>
      <c r="AJ222" s="31">
        <f>IF(AN222=0,J222,0)</f>
        <v>0</v>
      </c>
      <c r="AK222" s="31">
        <f>IF(AN222=12,J222,0)</f>
        <v>0</v>
      </c>
      <c r="AL222" s="31">
        <f>IF(AN222=21,J222,0)</f>
        <v>0</v>
      </c>
      <c r="AN222" s="31">
        <v>21</v>
      </c>
      <c r="AO222" s="31">
        <f>G222*0</f>
        <v>0</v>
      </c>
      <c r="AP222" s="31">
        <f>G222*(1-0)</f>
        <v>0</v>
      </c>
      <c r="AQ222" s="34" t="s">
        <v>101</v>
      </c>
      <c r="AV222" s="31">
        <f>ROUND(AW222+AX222,2)</f>
        <v>0</v>
      </c>
      <c r="AW222" s="31">
        <f>ROUND(F222*AO222,2)</f>
        <v>0</v>
      </c>
      <c r="AX222" s="31">
        <f>ROUND(F222*AP222,2)</f>
        <v>0</v>
      </c>
      <c r="AY222" s="34" t="s">
        <v>422</v>
      </c>
      <c r="AZ222" s="34" t="s">
        <v>423</v>
      </c>
      <c r="BA222" s="11" t="s">
        <v>63</v>
      </c>
      <c r="BC222" s="31">
        <f>AW222+AX222</f>
        <v>0</v>
      </c>
      <c r="BD222" s="31">
        <f>G222/(100-BE222)*100</f>
        <v>0</v>
      </c>
      <c r="BE222" s="31">
        <v>0</v>
      </c>
      <c r="BF222" s="31">
        <f>222</f>
        <v>222</v>
      </c>
      <c r="BH222" s="31">
        <f>F222*AO222</f>
        <v>0</v>
      </c>
      <c r="BI222" s="31">
        <f>F222*AP222</f>
        <v>0</v>
      </c>
      <c r="BJ222" s="31">
        <f>F222*G222</f>
        <v>0</v>
      </c>
      <c r="BK222" s="34" t="s">
        <v>64</v>
      </c>
      <c r="BL222" s="31">
        <v>771</v>
      </c>
      <c r="BW222" s="31">
        <v>21</v>
      </c>
      <c r="BX222" s="5" t="s">
        <v>456</v>
      </c>
    </row>
    <row r="223" spans="1:76" x14ac:dyDescent="0.25">
      <c r="A223" s="35"/>
      <c r="C223" s="36" t="s">
        <v>439</v>
      </c>
      <c r="D223" s="36" t="s">
        <v>440</v>
      </c>
      <c r="F223" s="37">
        <v>15.93</v>
      </c>
      <c r="K223" s="38"/>
    </row>
    <row r="224" spans="1:76" x14ac:dyDescent="0.25">
      <c r="A224" s="2" t="s">
        <v>457</v>
      </c>
      <c r="B224" s="3" t="s">
        <v>458</v>
      </c>
      <c r="C224" s="112" t="s">
        <v>459</v>
      </c>
      <c r="D224" s="107"/>
      <c r="E224" s="3" t="s">
        <v>215</v>
      </c>
      <c r="F224" s="31">
        <v>38</v>
      </c>
      <c r="G224" s="32">
        <v>0</v>
      </c>
      <c r="H224" s="31">
        <f>ROUND(F224*AO224,2)</f>
        <v>0</v>
      </c>
      <c r="I224" s="31">
        <f>ROUND(F224*AP224,2)</f>
        <v>0</v>
      </c>
      <c r="J224" s="31">
        <f>ROUND(F224*G224,2)</f>
        <v>0</v>
      </c>
      <c r="K224" s="33" t="s">
        <v>60</v>
      </c>
      <c r="Z224" s="31">
        <f>ROUND(IF(AQ224="5",BJ224,0),2)</f>
        <v>0</v>
      </c>
      <c r="AB224" s="31">
        <f>ROUND(IF(AQ224="1",BH224,0),2)</f>
        <v>0</v>
      </c>
      <c r="AC224" s="31">
        <f>ROUND(IF(AQ224="1",BI224,0),2)</f>
        <v>0</v>
      </c>
      <c r="AD224" s="31">
        <f>ROUND(IF(AQ224="7",BH224,0),2)</f>
        <v>0</v>
      </c>
      <c r="AE224" s="31">
        <f>ROUND(IF(AQ224="7",BI224,0),2)</f>
        <v>0</v>
      </c>
      <c r="AF224" s="31">
        <f>ROUND(IF(AQ224="2",BH224,0),2)</f>
        <v>0</v>
      </c>
      <c r="AG224" s="31">
        <f>ROUND(IF(AQ224="2",BI224,0),2)</f>
        <v>0</v>
      </c>
      <c r="AH224" s="31">
        <f>ROUND(IF(AQ224="0",BJ224,0),2)</f>
        <v>0</v>
      </c>
      <c r="AI224" s="11" t="s">
        <v>56</v>
      </c>
      <c r="AJ224" s="31">
        <f>IF(AN224=0,J224,0)</f>
        <v>0</v>
      </c>
      <c r="AK224" s="31">
        <f>IF(AN224=12,J224,0)</f>
        <v>0</v>
      </c>
      <c r="AL224" s="31">
        <f>IF(AN224=21,J224,0)</f>
        <v>0</v>
      </c>
      <c r="AN224" s="31">
        <v>21</v>
      </c>
      <c r="AO224" s="31">
        <f>G224*0.079778393</f>
        <v>0</v>
      </c>
      <c r="AP224" s="31">
        <f>G224*(1-0.079778393)</f>
        <v>0</v>
      </c>
      <c r="AQ224" s="34" t="s">
        <v>101</v>
      </c>
      <c r="AV224" s="31">
        <f>ROUND(AW224+AX224,2)</f>
        <v>0</v>
      </c>
      <c r="AW224" s="31">
        <f>ROUND(F224*AO224,2)</f>
        <v>0</v>
      </c>
      <c r="AX224" s="31">
        <f>ROUND(F224*AP224,2)</f>
        <v>0</v>
      </c>
      <c r="AY224" s="34" t="s">
        <v>422</v>
      </c>
      <c r="AZ224" s="34" t="s">
        <v>423</v>
      </c>
      <c r="BA224" s="11" t="s">
        <v>63</v>
      </c>
      <c r="BC224" s="31">
        <f>AW224+AX224</f>
        <v>0</v>
      </c>
      <c r="BD224" s="31">
        <f>G224/(100-BE224)*100</f>
        <v>0</v>
      </c>
      <c r="BE224" s="31">
        <v>0</v>
      </c>
      <c r="BF224" s="31">
        <f>224</f>
        <v>224</v>
      </c>
      <c r="BH224" s="31">
        <f>F224*AO224</f>
        <v>0</v>
      </c>
      <c r="BI224" s="31">
        <f>F224*AP224</f>
        <v>0</v>
      </c>
      <c r="BJ224" s="31">
        <f>F224*G224</f>
        <v>0</v>
      </c>
      <c r="BK224" s="34" t="s">
        <v>64</v>
      </c>
      <c r="BL224" s="31">
        <v>771</v>
      </c>
      <c r="BW224" s="31">
        <v>21</v>
      </c>
      <c r="BX224" s="5" t="s">
        <v>459</v>
      </c>
    </row>
    <row r="225" spans="1:76" ht="13.5" customHeight="1" x14ac:dyDescent="0.25">
      <c r="A225" s="35"/>
      <c r="C225" s="137" t="s">
        <v>460</v>
      </c>
      <c r="D225" s="138"/>
      <c r="E225" s="138"/>
      <c r="F225" s="138"/>
      <c r="G225" s="139"/>
      <c r="H225" s="138"/>
      <c r="I225" s="138"/>
      <c r="J225" s="138"/>
      <c r="K225" s="140"/>
    </row>
    <row r="226" spans="1:76" x14ac:dyDescent="0.25">
      <c r="A226" s="35"/>
      <c r="C226" s="36" t="s">
        <v>461</v>
      </c>
      <c r="D226" s="36" t="s">
        <v>462</v>
      </c>
      <c r="F226" s="37">
        <v>15.65</v>
      </c>
      <c r="K226" s="38"/>
    </row>
    <row r="227" spans="1:76" x14ac:dyDescent="0.25">
      <c r="A227" s="35"/>
      <c r="C227" s="36" t="s">
        <v>463</v>
      </c>
      <c r="D227" s="36" t="s">
        <v>464</v>
      </c>
      <c r="F227" s="37">
        <v>12.25</v>
      </c>
      <c r="K227" s="38"/>
    </row>
    <row r="228" spans="1:76" x14ac:dyDescent="0.25">
      <c r="A228" s="35"/>
      <c r="C228" s="36" t="s">
        <v>465</v>
      </c>
      <c r="D228" s="36" t="s">
        <v>384</v>
      </c>
      <c r="F228" s="37">
        <v>5.4</v>
      </c>
      <c r="K228" s="38"/>
    </row>
    <row r="229" spans="1:76" x14ac:dyDescent="0.25">
      <c r="A229" s="35"/>
      <c r="C229" s="36" t="s">
        <v>466</v>
      </c>
      <c r="D229" s="36" t="s">
        <v>382</v>
      </c>
      <c r="F229" s="37">
        <v>4.7</v>
      </c>
      <c r="K229" s="38"/>
    </row>
    <row r="230" spans="1:76" x14ac:dyDescent="0.25">
      <c r="A230" s="39" t="s">
        <v>467</v>
      </c>
      <c r="B230" s="40" t="s">
        <v>444</v>
      </c>
      <c r="C230" s="135" t="s">
        <v>468</v>
      </c>
      <c r="D230" s="136"/>
      <c r="E230" s="40" t="s">
        <v>59</v>
      </c>
      <c r="F230" s="42">
        <v>39.9</v>
      </c>
      <c r="G230" s="43">
        <v>0</v>
      </c>
      <c r="H230" s="42">
        <f>ROUND(F230*AO230,2)</f>
        <v>0</v>
      </c>
      <c r="I230" s="42">
        <f>ROUND(F230*AP230,2)</f>
        <v>0</v>
      </c>
      <c r="J230" s="42">
        <f>ROUND(F230*G230,2)</f>
        <v>0</v>
      </c>
      <c r="K230" s="44" t="s">
        <v>60</v>
      </c>
      <c r="Z230" s="31">
        <f>ROUND(IF(AQ230="5",BJ230,0),2)</f>
        <v>0</v>
      </c>
      <c r="AB230" s="31">
        <f>ROUND(IF(AQ230="1",BH230,0),2)</f>
        <v>0</v>
      </c>
      <c r="AC230" s="31">
        <f>ROUND(IF(AQ230="1",BI230,0),2)</f>
        <v>0</v>
      </c>
      <c r="AD230" s="31">
        <f>ROUND(IF(AQ230="7",BH230,0),2)</f>
        <v>0</v>
      </c>
      <c r="AE230" s="31">
        <f>ROUND(IF(AQ230="7",BI230,0),2)</f>
        <v>0</v>
      </c>
      <c r="AF230" s="31">
        <f>ROUND(IF(AQ230="2",BH230,0),2)</f>
        <v>0</v>
      </c>
      <c r="AG230" s="31">
        <f>ROUND(IF(AQ230="2",BI230,0),2)</f>
        <v>0</v>
      </c>
      <c r="AH230" s="31">
        <f>ROUND(IF(AQ230="0",BJ230,0),2)</f>
        <v>0</v>
      </c>
      <c r="AI230" s="11" t="s">
        <v>56</v>
      </c>
      <c r="AJ230" s="42">
        <f>IF(AN230=0,J230,0)</f>
        <v>0</v>
      </c>
      <c r="AK230" s="42">
        <f>IF(AN230=12,J230,0)</f>
        <v>0</v>
      </c>
      <c r="AL230" s="42">
        <f>IF(AN230=21,J230,0)</f>
        <v>0</v>
      </c>
      <c r="AN230" s="31">
        <v>21</v>
      </c>
      <c r="AO230" s="31">
        <f>G230*1</f>
        <v>0</v>
      </c>
      <c r="AP230" s="31">
        <f>G230*(1-1)</f>
        <v>0</v>
      </c>
      <c r="AQ230" s="45" t="s">
        <v>101</v>
      </c>
      <c r="AV230" s="31">
        <f>ROUND(AW230+AX230,2)</f>
        <v>0</v>
      </c>
      <c r="AW230" s="31">
        <f>ROUND(F230*AO230,2)</f>
        <v>0</v>
      </c>
      <c r="AX230" s="31">
        <f>ROUND(F230*AP230,2)</f>
        <v>0</v>
      </c>
      <c r="AY230" s="34" t="s">
        <v>422</v>
      </c>
      <c r="AZ230" s="34" t="s">
        <v>423</v>
      </c>
      <c r="BA230" s="11" t="s">
        <v>63</v>
      </c>
      <c r="BC230" s="31">
        <f>AW230+AX230</f>
        <v>0</v>
      </c>
      <c r="BD230" s="31">
        <f>G230/(100-BE230)*100</f>
        <v>0</v>
      </c>
      <c r="BE230" s="31">
        <v>0</v>
      </c>
      <c r="BF230" s="31">
        <f>230</f>
        <v>230</v>
      </c>
      <c r="BH230" s="42">
        <f>F230*AO230</f>
        <v>0</v>
      </c>
      <c r="BI230" s="42">
        <f>F230*AP230</f>
        <v>0</v>
      </c>
      <c r="BJ230" s="42">
        <f>F230*G230</f>
        <v>0</v>
      </c>
      <c r="BK230" s="45" t="s">
        <v>70</v>
      </c>
      <c r="BL230" s="31">
        <v>771</v>
      </c>
      <c r="BW230" s="31">
        <v>21</v>
      </c>
      <c r="BX230" s="41" t="s">
        <v>468</v>
      </c>
    </row>
    <row r="231" spans="1:76" x14ac:dyDescent="0.25">
      <c r="A231" s="35"/>
      <c r="C231" s="36" t="s">
        <v>461</v>
      </c>
      <c r="D231" s="36" t="s">
        <v>462</v>
      </c>
      <c r="F231" s="37">
        <v>15.65</v>
      </c>
      <c r="K231" s="38"/>
    </row>
    <row r="232" spans="1:76" x14ac:dyDescent="0.25">
      <c r="A232" s="35"/>
      <c r="C232" s="36" t="s">
        <v>463</v>
      </c>
      <c r="D232" s="36" t="s">
        <v>464</v>
      </c>
      <c r="F232" s="37">
        <v>12.25</v>
      </c>
      <c r="K232" s="38"/>
    </row>
    <row r="233" spans="1:76" x14ac:dyDescent="0.25">
      <c r="A233" s="35"/>
      <c r="C233" s="36" t="s">
        <v>465</v>
      </c>
      <c r="D233" s="36" t="s">
        <v>384</v>
      </c>
      <c r="F233" s="37">
        <v>5.4</v>
      </c>
      <c r="K233" s="38"/>
    </row>
    <row r="234" spans="1:76" x14ac:dyDescent="0.25">
      <c r="A234" s="35"/>
      <c r="C234" s="36" t="s">
        <v>466</v>
      </c>
      <c r="D234" s="36" t="s">
        <v>382</v>
      </c>
      <c r="F234" s="37">
        <v>4.7</v>
      </c>
      <c r="K234" s="38"/>
    </row>
    <row r="235" spans="1:76" x14ac:dyDescent="0.25">
      <c r="A235" s="35"/>
      <c r="C235" s="36" t="s">
        <v>469</v>
      </c>
      <c r="D235" s="36" t="s">
        <v>52</v>
      </c>
      <c r="F235" s="37">
        <v>1.9</v>
      </c>
      <c r="K235" s="38"/>
    </row>
    <row r="236" spans="1:76" x14ac:dyDescent="0.25">
      <c r="A236" s="2" t="s">
        <v>470</v>
      </c>
      <c r="B236" s="3" t="s">
        <v>471</v>
      </c>
      <c r="C236" s="112" t="s">
        <v>472</v>
      </c>
      <c r="D236" s="107"/>
      <c r="E236" s="3" t="s">
        <v>215</v>
      </c>
      <c r="F236" s="31">
        <v>38</v>
      </c>
      <c r="G236" s="32">
        <v>0</v>
      </c>
      <c r="H236" s="31">
        <f>ROUND(F236*AO236,2)</f>
        <v>0</v>
      </c>
      <c r="I236" s="31">
        <f>ROUND(F236*AP236,2)</f>
        <v>0</v>
      </c>
      <c r="J236" s="31">
        <f>ROUND(F236*G236,2)</f>
        <v>0</v>
      </c>
      <c r="K236" s="33" t="s">
        <v>60</v>
      </c>
      <c r="Z236" s="31">
        <f>ROUND(IF(AQ236="5",BJ236,0),2)</f>
        <v>0</v>
      </c>
      <c r="AB236" s="31">
        <f>ROUND(IF(AQ236="1",BH236,0),2)</f>
        <v>0</v>
      </c>
      <c r="AC236" s="31">
        <f>ROUND(IF(AQ236="1",BI236,0),2)</f>
        <v>0</v>
      </c>
      <c r="AD236" s="31">
        <f>ROUND(IF(AQ236="7",BH236,0),2)</f>
        <v>0</v>
      </c>
      <c r="AE236" s="31">
        <f>ROUND(IF(AQ236="7",BI236,0),2)</f>
        <v>0</v>
      </c>
      <c r="AF236" s="31">
        <f>ROUND(IF(AQ236="2",BH236,0),2)</f>
        <v>0</v>
      </c>
      <c r="AG236" s="31">
        <f>ROUND(IF(AQ236="2",BI236,0),2)</f>
        <v>0</v>
      </c>
      <c r="AH236" s="31">
        <f>ROUND(IF(AQ236="0",BJ236,0),2)</f>
        <v>0</v>
      </c>
      <c r="AI236" s="11" t="s">
        <v>56</v>
      </c>
      <c r="AJ236" s="31">
        <f>IF(AN236=0,J236,0)</f>
        <v>0</v>
      </c>
      <c r="AK236" s="31">
        <f>IF(AN236=12,J236,0)</f>
        <v>0</v>
      </c>
      <c r="AL236" s="31">
        <f>IF(AN236=21,J236,0)</f>
        <v>0</v>
      </c>
      <c r="AN236" s="31">
        <v>21</v>
      </c>
      <c r="AO236" s="31">
        <f>G236*0.044222205</f>
        <v>0</v>
      </c>
      <c r="AP236" s="31">
        <f>G236*(1-0.044222205)</f>
        <v>0</v>
      </c>
      <c r="AQ236" s="34" t="s">
        <v>101</v>
      </c>
      <c r="AV236" s="31">
        <f>ROUND(AW236+AX236,2)</f>
        <v>0</v>
      </c>
      <c r="AW236" s="31">
        <f>ROUND(F236*AO236,2)</f>
        <v>0</v>
      </c>
      <c r="AX236" s="31">
        <f>ROUND(F236*AP236,2)</f>
        <v>0</v>
      </c>
      <c r="AY236" s="34" t="s">
        <v>422</v>
      </c>
      <c r="AZ236" s="34" t="s">
        <v>423</v>
      </c>
      <c r="BA236" s="11" t="s">
        <v>63</v>
      </c>
      <c r="BC236" s="31">
        <f>AW236+AX236</f>
        <v>0</v>
      </c>
      <c r="BD236" s="31">
        <f>G236/(100-BE236)*100</f>
        <v>0</v>
      </c>
      <c r="BE236" s="31">
        <v>0</v>
      </c>
      <c r="BF236" s="31">
        <f>236</f>
        <v>236</v>
      </c>
      <c r="BH236" s="31">
        <f>F236*AO236</f>
        <v>0</v>
      </c>
      <c r="BI236" s="31">
        <f>F236*AP236</f>
        <v>0</v>
      </c>
      <c r="BJ236" s="31">
        <f>F236*G236</f>
        <v>0</v>
      </c>
      <c r="BK236" s="34" t="s">
        <v>64</v>
      </c>
      <c r="BL236" s="31">
        <v>771</v>
      </c>
      <c r="BW236" s="31">
        <v>21</v>
      </c>
      <c r="BX236" s="5" t="s">
        <v>472</v>
      </c>
    </row>
    <row r="237" spans="1:76" x14ac:dyDescent="0.25">
      <c r="A237" s="35"/>
      <c r="C237" s="36" t="s">
        <v>461</v>
      </c>
      <c r="D237" s="36" t="s">
        <v>462</v>
      </c>
      <c r="F237" s="37">
        <v>15.65</v>
      </c>
      <c r="K237" s="38"/>
    </row>
    <row r="238" spans="1:76" x14ac:dyDescent="0.25">
      <c r="A238" s="35"/>
      <c r="C238" s="36" t="s">
        <v>463</v>
      </c>
      <c r="D238" s="36" t="s">
        <v>464</v>
      </c>
      <c r="F238" s="37">
        <v>12.25</v>
      </c>
      <c r="K238" s="38"/>
    </row>
    <row r="239" spans="1:76" x14ac:dyDescent="0.25">
      <c r="A239" s="35"/>
      <c r="C239" s="36" t="s">
        <v>465</v>
      </c>
      <c r="D239" s="36" t="s">
        <v>384</v>
      </c>
      <c r="F239" s="37">
        <v>5.4</v>
      </c>
      <c r="K239" s="38"/>
    </row>
    <row r="240" spans="1:76" x14ac:dyDescent="0.25">
      <c r="A240" s="35"/>
      <c r="C240" s="36" t="s">
        <v>466</v>
      </c>
      <c r="D240" s="36" t="s">
        <v>382</v>
      </c>
      <c r="F240" s="37">
        <v>4.7</v>
      </c>
      <c r="K240" s="38"/>
    </row>
    <row r="241" spans="1:76" x14ac:dyDescent="0.25">
      <c r="A241" s="2" t="s">
        <v>473</v>
      </c>
      <c r="B241" s="3" t="s">
        <v>474</v>
      </c>
      <c r="C241" s="112" t="s">
        <v>475</v>
      </c>
      <c r="D241" s="107"/>
      <c r="E241" s="3" t="s">
        <v>215</v>
      </c>
      <c r="F241" s="31">
        <v>3</v>
      </c>
      <c r="G241" s="32">
        <v>0</v>
      </c>
      <c r="H241" s="31">
        <f>ROUND(F241*AO241,2)</f>
        <v>0</v>
      </c>
      <c r="I241" s="31">
        <f>ROUND(F241*AP241,2)</f>
        <v>0</v>
      </c>
      <c r="J241" s="31">
        <f>ROUND(F241*G241,2)</f>
        <v>0</v>
      </c>
      <c r="K241" s="33" t="s">
        <v>60</v>
      </c>
      <c r="Z241" s="31">
        <f>ROUND(IF(AQ241="5",BJ241,0),2)</f>
        <v>0</v>
      </c>
      <c r="AB241" s="31">
        <f>ROUND(IF(AQ241="1",BH241,0),2)</f>
        <v>0</v>
      </c>
      <c r="AC241" s="31">
        <f>ROUND(IF(AQ241="1",BI241,0),2)</f>
        <v>0</v>
      </c>
      <c r="AD241" s="31">
        <f>ROUND(IF(AQ241="7",BH241,0),2)</f>
        <v>0</v>
      </c>
      <c r="AE241" s="31">
        <f>ROUND(IF(AQ241="7",BI241,0),2)</f>
        <v>0</v>
      </c>
      <c r="AF241" s="31">
        <f>ROUND(IF(AQ241="2",BH241,0),2)</f>
        <v>0</v>
      </c>
      <c r="AG241" s="31">
        <f>ROUND(IF(AQ241="2",BI241,0),2)</f>
        <v>0</v>
      </c>
      <c r="AH241" s="31">
        <f>ROUND(IF(AQ241="0",BJ241,0),2)</f>
        <v>0</v>
      </c>
      <c r="AI241" s="11" t="s">
        <v>56</v>
      </c>
      <c r="AJ241" s="31">
        <f>IF(AN241=0,J241,0)</f>
        <v>0</v>
      </c>
      <c r="AK241" s="31">
        <f>IF(AN241=12,J241,0)</f>
        <v>0</v>
      </c>
      <c r="AL241" s="31">
        <f>IF(AN241=21,J241,0)</f>
        <v>0</v>
      </c>
      <c r="AN241" s="31">
        <v>21</v>
      </c>
      <c r="AO241" s="31">
        <f>G241*0.647114</f>
        <v>0</v>
      </c>
      <c r="AP241" s="31">
        <f>G241*(1-0.647114)</f>
        <v>0</v>
      </c>
      <c r="AQ241" s="34" t="s">
        <v>101</v>
      </c>
      <c r="AV241" s="31">
        <f>ROUND(AW241+AX241,2)</f>
        <v>0</v>
      </c>
      <c r="AW241" s="31">
        <f>ROUND(F241*AO241,2)</f>
        <v>0</v>
      </c>
      <c r="AX241" s="31">
        <f>ROUND(F241*AP241,2)</f>
        <v>0</v>
      </c>
      <c r="AY241" s="34" t="s">
        <v>422</v>
      </c>
      <c r="AZ241" s="34" t="s">
        <v>423</v>
      </c>
      <c r="BA241" s="11" t="s">
        <v>63</v>
      </c>
      <c r="BC241" s="31">
        <f>AW241+AX241</f>
        <v>0</v>
      </c>
      <c r="BD241" s="31">
        <f>G241/(100-BE241)*100</f>
        <v>0</v>
      </c>
      <c r="BE241" s="31">
        <v>0</v>
      </c>
      <c r="BF241" s="31">
        <f>241</f>
        <v>241</v>
      </c>
      <c r="BH241" s="31">
        <f>F241*AO241</f>
        <v>0</v>
      </c>
      <c r="BI241" s="31">
        <f>F241*AP241</f>
        <v>0</v>
      </c>
      <c r="BJ241" s="31">
        <f>F241*G241</f>
        <v>0</v>
      </c>
      <c r="BK241" s="34" t="s">
        <v>64</v>
      </c>
      <c r="BL241" s="31">
        <v>771</v>
      </c>
      <c r="BW241" s="31">
        <v>21</v>
      </c>
      <c r="BX241" s="5" t="s">
        <v>475</v>
      </c>
    </row>
    <row r="242" spans="1:76" x14ac:dyDescent="0.25">
      <c r="A242" s="35"/>
      <c r="C242" s="36" t="s">
        <v>476</v>
      </c>
      <c r="D242" s="36" t="s">
        <v>477</v>
      </c>
      <c r="F242" s="37">
        <v>1.5</v>
      </c>
      <c r="K242" s="38"/>
    </row>
    <row r="243" spans="1:76" x14ac:dyDescent="0.25">
      <c r="A243" s="35"/>
      <c r="C243" s="36" t="s">
        <v>478</v>
      </c>
      <c r="D243" s="36" t="s">
        <v>479</v>
      </c>
      <c r="F243" s="37">
        <v>0.8</v>
      </c>
      <c r="K243" s="38"/>
    </row>
    <row r="244" spans="1:76" x14ac:dyDescent="0.25">
      <c r="A244" s="35"/>
      <c r="C244" s="36" t="s">
        <v>480</v>
      </c>
      <c r="D244" s="36" t="s">
        <v>481</v>
      </c>
      <c r="F244" s="37">
        <v>0.7</v>
      </c>
      <c r="K244" s="38"/>
    </row>
    <row r="245" spans="1:76" x14ac:dyDescent="0.25">
      <c r="A245" s="2" t="s">
        <v>482</v>
      </c>
      <c r="B245" s="3" t="s">
        <v>483</v>
      </c>
      <c r="C245" s="112" t="s">
        <v>484</v>
      </c>
      <c r="D245" s="107"/>
      <c r="E245" s="3" t="s">
        <v>276</v>
      </c>
      <c r="F245" s="31">
        <v>2.2690000000000001</v>
      </c>
      <c r="G245" s="32">
        <v>0</v>
      </c>
      <c r="H245" s="31">
        <f>ROUND(F245*AO245,2)</f>
        <v>0</v>
      </c>
      <c r="I245" s="31">
        <f>ROUND(F245*AP245,2)</f>
        <v>0</v>
      </c>
      <c r="J245" s="31">
        <f>ROUND(F245*G245,2)</f>
        <v>0</v>
      </c>
      <c r="K245" s="33" t="s">
        <v>60</v>
      </c>
      <c r="Z245" s="31">
        <f>ROUND(IF(AQ245="5",BJ245,0),2)</f>
        <v>0</v>
      </c>
      <c r="AB245" s="31">
        <f>ROUND(IF(AQ245="1",BH245,0),2)</f>
        <v>0</v>
      </c>
      <c r="AC245" s="31">
        <f>ROUND(IF(AQ245="1",BI245,0),2)</f>
        <v>0</v>
      </c>
      <c r="AD245" s="31">
        <f>ROUND(IF(AQ245="7",BH245,0),2)</f>
        <v>0</v>
      </c>
      <c r="AE245" s="31">
        <f>ROUND(IF(AQ245="7",BI245,0),2)</f>
        <v>0</v>
      </c>
      <c r="AF245" s="31">
        <f>ROUND(IF(AQ245="2",BH245,0),2)</f>
        <v>0</v>
      </c>
      <c r="AG245" s="31">
        <f>ROUND(IF(AQ245="2",BI245,0),2)</f>
        <v>0</v>
      </c>
      <c r="AH245" s="31">
        <f>ROUND(IF(AQ245="0",BJ245,0),2)</f>
        <v>0</v>
      </c>
      <c r="AI245" s="11" t="s">
        <v>56</v>
      </c>
      <c r="AJ245" s="31">
        <f>IF(AN245=0,J245,0)</f>
        <v>0</v>
      </c>
      <c r="AK245" s="31">
        <f>IF(AN245=12,J245,0)</f>
        <v>0</v>
      </c>
      <c r="AL245" s="31">
        <f>IF(AN245=21,J245,0)</f>
        <v>0</v>
      </c>
      <c r="AN245" s="31">
        <v>21</v>
      </c>
      <c r="AO245" s="31">
        <f>G245*0</f>
        <v>0</v>
      </c>
      <c r="AP245" s="31">
        <f>G245*(1-0)</f>
        <v>0</v>
      </c>
      <c r="AQ245" s="34" t="s">
        <v>85</v>
      </c>
      <c r="AV245" s="31">
        <f>ROUND(AW245+AX245,2)</f>
        <v>0</v>
      </c>
      <c r="AW245" s="31">
        <f>ROUND(F245*AO245,2)</f>
        <v>0</v>
      </c>
      <c r="AX245" s="31">
        <f>ROUND(F245*AP245,2)</f>
        <v>0</v>
      </c>
      <c r="AY245" s="34" t="s">
        <v>422</v>
      </c>
      <c r="AZ245" s="34" t="s">
        <v>423</v>
      </c>
      <c r="BA245" s="11" t="s">
        <v>63</v>
      </c>
      <c r="BC245" s="31">
        <f>AW245+AX245</f>
        <v>0</v>
      </c>
      <c r="BD245" s="31">
        <f>G245/(100-BE245)*100</f>
        <v>0</v>
      </c>
      <c r="BE245" s="31">
        <v>0</v>
      </c>
      <c r="BF245" s="31">
        <f>245</f>
        <v>245</v>
      </c>
      <c r="BH245" s="31">
        <f>F245*AO245</f>
        <v>0</v>
      </c>
      <c r="BI245" s="31">
        <f>F245*AP245</f>
        <v>0</v>
      </c>
      <c r="BJ245" s="31">
        <f>F245*G245</f>
        <v>0</v>
      </c>
      <c r="BK245" s="34" t="s">
        <v>64</v>
      </c>
      <c r="BL245" s="31">
        <v>771</v>
      </c>
      <c r="BW245" s="31">
        <v>21</v>
      </c>
      <c r="BX245" s="5" t="s">
        <v>484</v>
      </c>
    </row>
    <row r="246" spans="1:76" x14ac:dyDescent="0.25">
      <c r="A246" s="26" t="s">
        <v>52</v>
      </c>
      <c r="B246" s="27" t="s">
        <v>485</v>
      </c>
      <c r="C246" s="133" t="s">
        <v>486</v>
      </c>
      <c r="D246" s="134"/>
      <c r="E246" s="28" t="s">
        <v>4</v>
      </c>
      <c r="F246" s="28" t="s">
        <v>4</v>
      </c>
      <c r="G246" s="29" t="s">
        <v>4</v>
      </c>
      <c r="H246" s="1">
        <f>SUM(H247:H276)</f>
        <v>0</v>
      </c>
      <c r="I246" s="1">
        <f>SUM(I247:I276)</f>
        <v>0</v>
      </c>
      <c r="J246" s="1">
        <f>SUM(J247:J276)</f>
        <v>0</v>
      </c>
      <c r="K246" s="30" t="s">
        <v>52</v>
      </c>
      <c r="AI246" s="11" t="s">
        <v>56</v>
      </c>
      <c r="AS246" s="1">
        <f>SUM(AJ247:AJ276)</f>
        <v>0</v>
      </c>
      <c r="AT246" s="1">
        <f>SUM(AK247:AK276)</f>
        <v>0</v>
      </c>
      <c r="AU246" s="1">
        <f>SUM(AL247:AL276)</f>
        <v>0</v>
      </c>
    </row>
    <row r="247" spans="1:76" x14ac:dyDescent="0.25">
      <c r="A247" s="2" t="s">
        <v>487</v>
      </c>
      <c r="B247" s="3" t="s">
        <v>488</v>
      </c>
      <c r="C247" s="112" t="s">
        <v>489</v>
      </c>
      <c r="D247" s="107"/>
      <c r="E247" s="3" t="s">
        <v>59</v>
      </c>
      <c r="F247" s="31">
        <v>47.767499999999998</v>
      </c>
      <c r="G247" s="32">
        <v>0</v>
      </c>
      <c r="H247" s="31">
        <f>ROUND(F247*AO247,2)</f>
        <v>0</v>
      </c>
      <c r="I247" s="31">
        <f>ROUND(F247*AP247,2)</f>
        <v>0</v>
      </c>
      <c r="J247" s="31">
        <f>ROUND(F247*G247,2)</f>
        <v>0</v>
      </c>
      <c r="K247" s="33" t="s">
        <v>60</v>
      </c>
      <c r="Z247" s="31">
        <f>ROUND(IF(AQ247="5",BJ247,0),2)</f>
        <v>0</v>
      </c>
      <c r="AB247" s="31">
        <f>ROUND(IF(AQ247="1",BH247,0),2)</f>
        <v>0</v>
      </c>
      <c r="AC247" s="31">
        <f>ROUND(IF(AQ247="1",BI247,0),2)</f>
        <v>0</v>
      </c>
      <c r="AD247" s="31">
        <f>ROUND(IF(AQ247="7",BH247,0),2)</f>
        <v>0</v>
      </c>
      <c r="AE247" s="31">
        <f>ROUND(IF(AQ247="7",BI247,0),2)</f>
        <v>0</v>
      </c>
      <c r="AF247" s="31">
        <f>ROUND(IF(AQ247="2",BH247,0),2)</f>
        <v>0</v>
      </c>
      <c r="AG247" s="31">
        <f>ROUND(IF(AQ247="2",BI247,0),2)</f>
        <v>0</v>
      </c>
      <c r="AH247" s="31">
        <f>ROUND(IF(AQ247="0",BJ247,0),2)</f>
        <v>0</v>
      </c>
      <c r="AI247" s="11" t="s">
        <v>56</v>
      </c>
      <c r="AJ247" s="31">
        <f>IF(AN247=0,J247,0)</f>
        <v>0</v>
      </c>
      <c r="AK247" s="31">
        <f>IF(AN247=12,J247,0)</f>
        <v>0</v>
      </c>
      <c r="AL247" s="31">
        <f>IF(AN247=21,J247,0)</f>
        <v>0</v>
      </c>
      <c r="AN247" s="31">
        <v>21</v>
      </c>
      <c r="AO247" s="31">
        <f>G247*0</f>
        <v>0</v>
      </c>
      <c r="AP247" s="31">
        <f>G247*(1-0)</f>
        <v>0</v>
      </c>
      <c r="AQ247" s="34" t="s">
        <v>101</v>
      </c>
      <c r="AV247" s="31">
        <f>ROUND(AW247+AX247,2)</f>
        <v>0</v>
      </c>
      <c r="AW247" s="31">
        <f>ROUND(F247*AO247,2)</f>
        <v>0</v>
      </c>
      <c r="AX247" s="31">
        <f>ROUND(F247*AP247,2)</f>
        <v>0</v>
      </c>
      <c r="AY247" s="34" t="s">
        <v>490</v>
      </c>
      <c r="AZ247" s="34" t="s">
        <v>423</v>
      </c>
      <c r="BA247" s="11" t="s">
        <v>63</v>
      </c>
      <c r="BC247" s="31">
        <f>AW247+AX247</f>
        <v>0</v>
      </c>
      <c r="BD247" s="31">
        <f>G247/(100-BE247)*100</f>
        <v>0</v>
      </c>
      <c r="BE247" s="31">
        <v>0</v>
      </c>
      <c r="BF247" s="31">
        <f>247</f>
        <v>247</v>
      </c>
      <c r="BH247" s="31">
        <f>F247*AO247</f>
        <v>0</v>
      </c>
      <c r="BI247" s="31">
        <f>F247*AP247</f>
        <v>0</v>
      </c>
      <c r="BJ247" s="31">
        <f>F247*G247</f>
        <v>0</v>
      </c>
      <c r="BK247" s="34" t="s">
        <v>64</v>
      </c>
      <c r="BL247" s="31">
        <v>776</v>
      </c>
      <c r="BW247" s="31">
        <v>21</v>
      </c>
      <c r="BX247" s="5" t="s">
        <v>489</v>
      </c>
    </row>
    <row r="248" spans="1:76" ht="13.5" customHeight="1" x14ac:dyDescent="0.25">
      <c r="A248" s="35"/>
      <c r="C248" s="137" t="s">
        <v>491</v>
      </c>
      <c r="D248" s="138"/>
      <c r="E248" s="138"/>
      <c r="F248" s="138"/>
      <c r="G248" s="139"/>
      <c r="H248" s="138"/>
      <c r="I248" s="138"/>
      <c r="J248" s="138"/>
      <c r="K248" s="140"/>
    </row>
    <row r="249" spans="1:76" x14ac:dyDescent="0.25">
      <c r="A249" s="35"/>
      <c r="C249" s="36" t="s">
        <v>492</v>
      </c>
      <c r="D249" s="36" t="s">
        <v>493</v>
      </c>
      <c r="F249" s="37">
        <v>14.4925</v>
      </c>
      <c r="K249" s="38"/>
    </row>
    <row r="250" spans="1:76" x14ac:dyDescent="0.25">
      <c r="A250" s="35"/>
      <c r="C250" s="36" t="s">
        <v>494</v>
      </c>
      <c r="D250" s="36" t="s">
        <v>495</v>
      </c>
      <c r="F250" s="37">
        <v>19.555</v>
      </c>
      <c r="K250" s="38"/>
    </row>
    <row r="251" spans="1:76" x14ac:dyDescent="0.25">
      <c r="A251" s="35"/>
      <c r="C251" s="36" t="s">
        <v>496</v>
      </c>
      <c r="D251" s="36" t="s">
        <v>497</v>
      </c>
      <c r="F251" s="37">
        <v>13.72</v>
      </c>
      <c r="K251" s="38"/>
    </row>
    <row r="252" spans="1:76" x14ac:dyDescent="0.25">
      <c r="A252" s="2" t="s">
        <v>498</v>
      </c>
      <c r="B252" s="3" t="s">
        <v>499</v>
      </c>
      <c r="C252" s="112" t="s">
        <v>500</v>
      </c>
      <c r="D252" s="107"/>
      <c r="E252" s="3" t="s">
        <v>215</v>
      </c>
      <c r="F252" s="31">
        <v>32.1</v>
      </c>
      <c r="G252" s="32">
        <v>0</v>
      </c>
      <c r="H252" s="31">
        <f>ROUND(F252*AO252,2)</f>
        <v>0</v>
      </c>
      <c r="I252" s="31">
        <f>ROUND(F252*AP252,2)</f>
        <v>0</v>
      </c>
      <c r="J252" s="31">
        <f>ROUND(F252*G252,2)</f>
        <v>0</v>
      </c>
      <c r="K252" s="33" t="s">
        <v>60</v>
      </c>
      <c r="Z252" s="31">
        <f>ROUND(IF(AQ252="5",BJ252,0),2)</f>
        <v>0</v>
      </c>
      <c r="AB252" s="31">
        <f>ROUND(IF(AQ252="1",BH252,0),2)</f>
        <v>0</v>
      </c>
      <c r="AC252" s="31">
        <f>ROUND(IF(AQ252="1",BI252,0),2)</f>
        <v>0</v>
      </c>
      <c r="AD252" s="31">
        <f>ROUND(IF(AQ252="7",BH252,0),2)</f>
        <v>0</v>
      </c>
      <c r="AE252" s="31">
        <f>ROUND(IF(AQ252="7",BI252,0),2)</f>
        <v>0</v>
      </c>
      <c r="AF252" s="31">
        <f>ROUND(IF(AQ252="2",BH252,0),2)</f>
        <v>0</v>
      </c>
      <c r="AG252" s="31">
        <f>ROUND(IF(AQ252="2",BI252,0),2)</f>
        <v>0</v>
      </c>
      <c r="AH252" s="31">
        <f>ROUND(IF(AQ252="0",BJ252,0),2)</f>
        <v>0</v>
      </c>
      <c r="AI252" s="11" t="s">
        <v>56</v>
      </c>
      <c r="AJ252" s="31">
        <f>IF(AN252=0,J252,0)</f>
        <v>0</v>
      </c>
      <c r="AK252" s="31">
        <f>IF(AN252=12,J252,0)</f>
        <v>0</v>
      </c>
      <c r="AL252" s="31">
        <f>IF(AN252=21,J252,0)</f>
        <v>0</v>
      </c>
      <c r="AN252" s="31">
        <v>21</v>
      </c>
      <c r="AO252" s="31">
        <f>G252*0</f>
        <v>0</v>
      </c>
      <c r="AP252" s="31">
        <f>G252*(1-0)</f>
        <v>0</v>
      </c>
      <c r="AQ252" s="34" t="s">
        <v>101</v>
      </c>
      <c r="AV252" s="31">
        <f>ROUND(AW252+AX252,2)</f>
        <v>0</v>
      </c>
      <c r="AW252" s="31">
        <f>ROUND(F252*AO252,2)</f>
        <v>0</v>
      </c>
      <c r="AX252" s="31">
        <f>ROUND(F252*AP252,2)</f>
        <v>0</v>
      </c>
      <c r="AY252" s="34" t="s">
        <v>490</v>
      </c>
      <c r="AZ252" s="34" t="s">
        <v>423</v>
      </c>
      <c r="BA252" s="11" t="s">
        <v>63</v>
      </c>
      <c r="BC252" s="31">
        <f>AW252+AX252</f>
        <v>0</v>
      </c>
      <c r="BD252" s="31">
        <f>G252/(100-BE252)*100</f>
        <v>0</v>
      </c>
      <c r="BE252" s="31">
        <v>0</v>
      </c>
      <c r="BF252" s="31">
        <f>252</f>
        <v>252</v>
      </c>
      <c r="BH252" s="31">
        <f>F252*AO252</f>
        <v>0</v>
      </c>
      <c r="BI252" s="31">
        <f>F252*AP252</f>
        <v>0</v>
      </c>
      <c r="BJ252" s="31">
        <f>F252*G252</f>
        <v>0</v>
      </c>
      <c r="BK252" s="34" t="s">
        <v>64</v>
      </c>
      <c r="BL252" s="31">
        <v>776</v>
      </c>
      <c r="BW252" s="31">
        <v>21</v>
      </c>
      <c r="BX252" s="5" t="s">
        <v>500</v>
      </c>
    </row>
    <row r="253" spans="1:76" x14ac:dyDescent="0.25">
      <c r="A253" s="35"/>
      <c r="C253" s="36" t="s">
        <v>501</v>
      </c>
      <c r="D253" s="36" t="s">
        <v>365</v>
      </c>
      <c r="F253" s="37">
        <v>11.75</v>
      </c>
      <c r="K253" s="38"/>
    </row>
    <row r="254" spans="1:76" x14ac:dyDescent="0.25">
      <c r="A254" s="35"/>
      <c r="C254" s="36" t="s">
        <v>502</v>
      </c>
      <c r="D254" s="36" t="s">
        <v>399</v>
      </c>
      <c r="F254" s="37">
        <v>20.350000000000001</v>
      </c>
      <c r="K254" s="38"/>
    </row>
    <row r="255" spans="1:76" x14ac:dyDescent="0.25">
      <c r="A255" s="2" t="s">
        <v>503</v>
      </c>
      <c r="B255" s="3" t="s">
        <v>240</v>
      </c>
      <c r="C255" s="112" t="s">
        <v>504</v>
      </c>
      <c r="D255" s="107"/>
      <c r="E255" s="3" t="s">
        <v>215</v>
      </c>
      <c r="F255" s="31">
        <v>12.4</v>
      </c>
      <c r="G255" s="32">
        <v>0</v>
      </c>
      <c r="H255" s="31">
        <f>ROUND(F255*AO255,2)</f>
        <v>0</v>
      </c>
      <c r="I255" s="31">
        <f>ROUND(F255*AP255,2)</f>
        <v>0</v>
      </c>
      <c r="J255" s="31">
        <f>ROUND(F255*G255,2)</f>
        <v>0</v>
      </c>
      <c r="K255" s="33" t="s">
        <v>242</v>
      </c>
      <c r="Z255" s="31">
        <f>ROUND(IF(AQ255="5",BJ255,0),2)</f>
        <v>0</v>
      </c>
      <c r="AB255" s="31">
        <f>ROUND(IF(AQ255="1",BH255,0),2)</f>
        <v>0</v>
      </c>
      <c r="AC255" s="31">
        <f>ROUND(IF(AQ255="1",BI255,0),2)</f>
        <v>0</v>
      </c>
      <c r="AD255" s="31">
        <f>ROUND(IF(AQ255="7",BH255,0),2)</f>
        <v>0</v>
      </c>
      <c r="AE255" s="31">
        <f>ROUND(IF(AQ255="7",BI255,0),2)</f>
        <v>0</v>
      </c>
      <c r="AF255" s="31">
        <f>ROUND(IF(AQ255="2",BH255,0),2)</f>
        <v>0</v>
      </c>
      <c r="AG255" s="31">
        <f>ROUND(IF(AQ255="2",BI255,0),2)</f>
        <v>0</v>
      </c>
      <c r="AH255" s="31">
        <f>ROUND(IF(AQ255="0",BJ255,0),2)</f>
        <v>0</v>
      </c>
      <c r="AI255" s="11" t="s">
        <v>56</v>
      </c>
      <c r="AJ255" s="31">
        <f>IF(AN255=0,J255,0)</f>
        <v>0</v>
      </c>
      <c r="AK255" s="31">
        <f>IF(AN255=12,J255,0)</f>
        <v>0</v>
      </c>
      <c r="AL255" s="31">
        <f>IF(AN255=21,J255,0)</f>
        <v>0</v>
      </c>
      <c r="AN255" s="31">
        <v>21</v>
      </c>
      <c r="AO255" s="31">
        <f>G255*0</f>
        <v>0</v>
      </c>
      <c r="AP255" s="31">
        <f>G255*(1-0)</f>
        <v>0</v>
      </c>
      <c r="AQ255" s="34" t="s">
        <v>101</v>
      </c>
      <c r="AV255" s="31">
        <f>ROUND(AW255+AX255,2)</f>
        <v>0</v>
      </c>
      <c r="AW255" s="31">
        <f>ROUND(F255*AO255,2)</f>
        <v>0</v>
      </c>
      <c r="AX255" s="31">
        <f>ROUND(F255*AP255,2)</f>
        <v>0</v>
      </c>
      <c r="AY255" s="34" t="s">
        <v>490</v>
      </c>
      <c r="AZ255" s="34" t="s">
        <v>423</v>
      </c>
      <c r="BA255" s="11" t="s">
        <v>63</v>
      </c>
      <c r="BC255" s="31">
        <f>AW255+AX255</f>
        <v>0</v>
      </c>
      <c r="BD255" s="31">
        <f>G255/(100-BE255)*100</f>
        <v>0</v>
      </c>
      <c r="BE255" s="31">
        <v>0</v>
      </c>
      <c r="BF255" s="31">
        <f>255</f>
        <v>255</v>
      </c>
      <c r="BH255" s="31">
        <f>F255*AO255</f>
        <v>0</v>
      </c>
      <c r="BI255" s="31">
        <f>F255*AP255</f>
        <v>0</v>
      </c>
      <c r="BJ255" s="31">
        <f>F255*G255</f>
        <v>0</v>
      </c>
      <c r="BK255" s="34" t="s">
        <v>64</v>
      </c>
      <c r="BL255" s="31">
        <v>776</v>
      </c>
      <c r="BW255" s="31">
        <v>21</v>
      </c>
      <c r="BX255" s="5" t="s">
        <v>504</v>
      </c>
    </row>
    <row r="256" spans="1:76" x14ac:dyDescent="0.25">
      <c r="A256" s="35"/>
      <c r="C256" s="36" t="s">
        <v>505</v>
      </c>
      <c r="D256" s="36" t="s">
        <v>52</v>
      </c>
      <c r="F256" s="37">
        <v>12.4</v>
      </c>
      <c r="K256" s="38"/>
    </row>
    <row r="257" spans="1:76" x14ac:dyDescent="0.25">
      <c r="A257" s="2" t="s">
        <v>506</v>
      </c>
      <c r="B257" s="3" t="s">
        <v>507</v>
      </c>
      <c r="C257" s="112" t="s">
        <v>508</v>
      </c>
      <c r="D257" s="107"/>
      <c r="E257" s="3" t="s">
        <v>215</v>
      </c>
      <c r="F257" s="31">
        <v>37</v>
      </c>
      <c r="G257" s="32">
        <v>0</v>
      </c>
      <c r="H257" s="31">
        <f>ROUND(F257*AO257,2)</f>
        <v>0</v>
      </c>
      <c r="I257" s="31">
        <f>ROUND(F257*AP257,2)</f>
        <v>0</v>
      </c>
      <c r="J257" s="31">
        <f>ROUND(F257*G257,2)</f>
        <v>0</v>
      </c>
      <c r="K257" s="33" t="s">
        <v>60</v>
      </c>
      <c r="Z257" s="31">
        <f>ROUND(IF(AQ257="5",BJ257,0),2)</f>
        <v>0</v>
      </c>
      <c r="AB257" s="31">
        <f>ROUND(IF(AQ257="1",BH257,0),2)</f>
        <v>0</v>
      </c>
      <c r="AC257" s="31">
        <f>ROUND(IF(AQ257="1",BI257,0),2)</f>
        <v>0</v>
      </c>
      <c r="AD257" s="31">
        <f>ROUND(IF(AQ257="7",BH257,0),2)</f>
        <v>0</v>
      </c>
      <c r="AE257" s="31">
        <f>ROUND(IF(AQ257="7",BI257,0),2)</f>
        <v>0</v>
      </c>
      <c r="AF257" s="31">
        <f>ROUND(IF(AQ257="2",BH257,0),2)</f>
        <v>0</v>
      </c>
      <c r="AG257" s="31">
        <f>ROUND(IF(AQ257="2",BI257,0),2)</f>
        <v>0</v>
      </c>
      <c r="AH257" s="31">
        <f>ROUND(IF(AQ257="0",BJ257,0),2)</f>
        <v>0</v>
      </c>
      <c r="AI257" s="11" t="s">
        <v>56</v>
      </c>
      <c r="AJ257" s="31">
        <f>IF(AN257=0,J257,0)</f>
        <v>0</v>
      </c>
      <c r="AK257" s="31">
        <f>IF(AN257=12,J257,0)</f>
        <v>0</v>
      </c>
      <c r="AL257" s="31">
        <f>IF(AN257=21,J257,0)</f>
        <v>0</v>
      </c>
      <c r="AN257" s="31">
        <v>21</v>
      </c>
      <c r="AO257" s="31">
        <f>G257*0.068846154</f>
        <v>0</v>
      </c>
      <c r="AP257" s="31">
        <f>G257*(1-0.068846154)</f>
        <v>0</v>
      </c>
      <c r="AQ257" s="34" t="s">
        <v>101</v>
      </c>
      <c r="AV257" s="31">
        <f>ROUND(AW257+AX257,2)</f>
        <v>0</v>
      </c>
      <c r="AW257" s="31">
        <f>ROUND(F257*AO257,2)</f>
        <v>0</v>
      </c>
      <c r="AX257" s="31">
        <f>ROUND(F257*AP257,2)</f>
        <v>0</v>
      </c>
      <c r="AY257" s="34" t="s">
        <v>490</v>
      </c>
      <c r="AZ257" s="34" t="s">
        <v>423</v>
      </c>
      <c r="BA257" s="11" t="s">
        <v>63</v>
      </c>
      <c r="BC257" s="31">
        <f>AW257+AX257</f>
        <v>0</v>
      </c>
      <c r="BD257" s="31">
        <f>G257/(100-BE257)*100</f>
        <v>0</v>
      </c>
      <c r="BE257" s="31">
        <v>0</v>
      </c>
      <c r="BF257" s="31">
        <f>257</f>
        <v>257</v>
      </c>
      <c r="BH257" s="31">
        <f>F257*AO257</f>
        <v>0</v>
      </c>
      <c r="BI257" s="31">
        <f>F257*AP257</f>
        <v>0</v>
      </c>
      <c r="BJ257" s="31">
        <f>F257*G257</f>
        <v>0</v>
      </c>
      <c r="BK257" s="34" t="s">
        <v>64</v>
      </c>
      <c r="BL257" s="31">
        <v>776</v>
      </c>
      <c r="BW257" s="31">
        <v>21</v>
      </c>
      <c r="BX257" s="5" t="s">
        <v>508</v>
      </c>
    </row>
    <row r="258" spans="1:76" ht="13.5" customHeight="1" x14ac:dyDescent="0.25">
      <c r="A258" s="35"/>
      <c r="C258" s="137" t="s">
        <v>509</v>
      </c>
      <c r="D258" s="138"/>
      <c r="E258" s="138"/>
      <c r="F258" s="138"/>
      <c r="G258" s="139"/>
      <c r="H258" s="138"/>
      <c r="I258" s="138"/>
      <c r="J258" s="138"/>
      <c r="K258" s="140"/>
    </row>
    <row r="259" spans="1:76" x14ac:dyDescent="0.25">
      <c r="A259" s="35"/>
      <c r="C259" s="36" t="s">
        <v>505</v>
      </c>
      <c r="D259" s="36" t="s">
        <v>510</v>
      </c>
      <c r="F259" s="37">
        <v>12.4</v>
      </c>
      <c r="K259" s="38"/>
    </row>
    <row r="260" spans="1:76" x14ac:dyDescent="0.25">
      <c r="A260" s="35"/>
      <c r="C260" s="36" t="s">
        <v>511</v>
      </c>
      <c r="D260" s="36" t="s">
        <v>399</v>
      </c>
      <c r="F260" s="37">
        <v>16.399999999999999</v>
      </c>
      <c r="K260" s="38"/>
    </row>
    <row r="261" spans="1:76" x14ac:dyDescent="0.25">
      <c r="A261" s="35"/>
      <c r="C261" s="36" t="s">
        <v>512</v>
      </c>
      <c r="D261" s="36" t="s">
        <v>397</v>
      </c>
      <c r="F261" s="37">
        <v>8.1999999999999993</v>
      </c>
      <c r="K261" s="38"/>
    </row>
    <row r="262" spans="1:76" x14ac:dyDescent="0.25">
      <c r="A262" s="39" t="s">
        <v>513</v>
      </c>
      <c r="B262" s="40" t="s">
        <v>514</v>
      </c>
      <c r="C262" s="135" t="s">
        <v>515</v>
      </c>
      <c r="D262" s="136"/>
      <c r="E262" s="40" t="s">
        <v>59</v>
      </c>
      <c r="F262" s="42">
        <v>3.8849999999999998</v>
      </c>
      <c r="G262" s="43">
        <v>0</v>
      </c>
      <c r="H262" s="42">
        <f>ROUND(F262*AO262,2)</f>
        <v>0</v>
      </c>
      <c r="I262" s="42">
        <f>ROUND(F262*AP262,2)</f>
        <v>0</v>
      </c>
      <c r="J262" s="42">
        <f>ROUND(F262*G262,2)</f>
        <v>0</v>
      </c>
      <c r="K262" s="44" t="s">
        <v>60</v>
      </c>
      <c r="Z262" s="31">
        <f>ROUND(IF(AQ262="5",BJ262,0),2)</f>
        <v>0</v>
      </c>
      <c r="AB262" s="31">
        <f>ROUND(IF(AQ262="1",BH262,0),2)</f>
        <v>0</v>
      </c>
      <c r="AC262" s="31">
        <f>ROUND(IF(AQ262="1",BI262,0),2)</f>
        <v>0</v>
      </c>
      <c r="AD262" s="31">
        <f>ROUND(IF(AQ262="7",BH262,0),2)</f>
        <v>0</v>
      </c>
      <c r="AE262" s="31">
        <f>ROUND(IF(AQ262="7",BI262,0),2)</f>
        <v>0</v>
      </c>
      <c r="AF262" s="31">
        <f>ROUND(IF(AQ262="2",BH262,0),2)</f>
        <v>0</v>
      </c>
      <c r="AG262" s="31">
        <f>ROUND(IF(AQ262="2",BI262,0),2)</f>
        <v>0</v>
      </c>
      <c r="AH262" s="31">
        <f>ROUND(IF(AQ262="0",BJ262,0),2)</f>
        <v>0</v>
      </c>
      <c r="AI262" s="11" t="s">
        <v>56</v>
      </c>
      <c r="AJ262" s="42">
        <f>IF(AN262=0,J262,0)</f>
        <v>0</v>
      </c>
      <c r="AK262" s="42">
        <f>IF(AN262=12,J262,0)</f>
        <v>0</v>
      </c>
      <c r="AL262" s="42">
        <f>IF(AN262=21,J262,0)</f>
        <v>0</v>
      </c>
      <c r="AN262" s="31">
        <v>21</v>
      </c>
      <c r="AO262" s="31">
        <f>G262*1</f>
        <v>0</v>
      </c>
      <c r="AP262" s="31">
        <f>G262*(1-1)</f>
        <v>0</v>
      </c>
      <c r="AQ262" s="45" t="s">
        <v>101</v>
      </c>
      <c r="AV262" s="31">
        <f>ROUND(AW262+AX262,2)</f>
        <v>0</v>
      </c>
      <c r="AW262" s="31">
        <f>ROUND(F262*AO262,2)</f>
        <v>0</v>
      </c>
      <c r="AX262" s="31">
        <f>ROUND(F262*AP262,2)</f>
        <v>0</v>
      </c>
      <c r="AY262" s="34" t="s">
        <v>490</v>
      </c>
      <c r="AZ262" s="34" t="s">
        <v>423</v>
      </c>
      <c r="BA262" s="11" t="s">
        <v>63</v>
      </c>
      <c r="BC262" s="31">
        <f>AW262+AX262</f>
        <v>0</v>
      </c>
      <c r="BD262" s="31">
        <f>G262/(100-BE262)*100</f>
        <v>0</v>
      </c>
      <c r="BE262" s="31">
        <v>0</v>
      </c>
      <c r="BF262" s="31">
        <f>262</f>
        <v>262</v>
      </c>
      <c r="BH262" s="42">
        <f>F262*AO262</f>
        <v>0</v>
      </c>
      <c r="BI262" s="42">
        <f>F262*AP262</f>
        <v>0</v>
      </c>
      <c r="BJ262" s="42">
        <f>F262*G262</f>
        <v>0</v>
      </c>
      <c r="BK262" s="45" t="s">
        <v>70</v>
      </c>
      <c r="BL262" s="31">
        <v>776</v>
      </c>
      <c r="BW262" s="31">
        <v>21</v>
      </c>
      <c r="BX262" s="41" t="s">
        <v>515</v>
      </c>
    </row>
    <row r="263" spans="1:76" x14ac:dyDescent="0.25">
      <c r="A263" s="35"/>
      <c r="C263" s="36" t="s">
        <v>516</v>
      </c>
      <c r="D263" s="36" t="s">
        <v>510</v>
      </c>
      <c r="F263" s="37">
        <v>1.24</v>
      </c>
      <c r="K263" s="38"/>
    </row>
    <row r="264" spans="1:76" x14ac:dyDescent="0.25">
      <c r="A264" s="35"/>
      <c r="C264" s="36" t="s">
        <v>517</v>
      </c>
      <c r="D264" s="36" t="s">
        <v>399</v>
      </c>
      <c r="F264" s="37">
        <v>1.64</v>
      </c>
      <c r="K264" s="38"/>
    </row>
    <row r="265" spans="1:76" x14ac:dyDescent="0.25">
      <c r="A265" s="35"/>
      <c r="C265" s="36" t="s">
        <v>518</v>
      </c>
      <c r="D265" s="36" t="s">
        <v>397</v>
      </c>
      <c r="F265" s="37">
        <v>0.82</v>
      </c>
      <c r="K265" s="38"/>
    </row>
    <row r="266" spans="1:76" x14ac:dyDescent="0.25">
      <c r="A266" s="35"/>
      <c r="C266" s="36" t="s">
        <v>519</v>
      </c>
      <c r="D266" s="36" t="s">
        <v>52</v>
      </c>
      <c r="F266" s="37">
        <v>0.185</v>
      </c>
      <c r="K266" s="38"/>
    </row>
    <row r="267" spans="1:76" x14ac:dyDescent="0.25">
      <c r="A267" s="2" t="s">
        <v>520</v>
      </c>
      <c r="B267" s="3" t="s">
        <v>521</v>
      </c>
      <c r="C267" s="112" t="s">
        <v>522</v>
      </c>
      <c r="D267" s="107"/>
      <c r="E267" s="3" t="s">
        <v>59</v>
      </c>
      <c r="F267" s="31">
        <v>34.567500000000003</v>
      </c>
      <c r="G267" s="32">
        <v>0</v>
      </c>
      <c r="H267" s="31">
        <f>ROUND(F267*AO267,2)</f>
        <v>0</v>
      </c>
      <c r="I267" s="31">
        <f>ROUND(F267*AP267,2)</f>
        <v>0</v>
      </c>
      <c r="J267" s="31">
        <f>ROUND(F267*G267,2)</f>
        <v>0</v>
      </c>
      <c r="K267" s="33" t="s">
        <v>60</v>
      </c>
      <c r="Z267" s="31">
        <f>ROUND(IF(AQ267="5",BJ267,0),2)</f>
        <v>0</v>
      </c>
      <c r="AB267" s="31">
        <f>ROUND(IF(AQ267="1",BH267,0),2)</f>
        <v>0</v>
      </c>
      <c r="AC267" s="31">
        <f>ROUND(IF(AQ267="1",BI267,0),2)</f>
        <v>0</v>
      </c>
      <c r="AD267" s="31">
        <f>ROUND(IF(AQ267="7",BH267,0),2)</f>
        <v>0</v>
      </c>
      <c r="AE267" s="31">
        <f>ROUND(IF(AQ267="7",BI267,0),2)</f>
        <v>0</v>
      </c>
      <c r="AF267" s="31">
        <f>ROUND(IF(AQ267="2",BH267,0),2)</f>
        <v>0</v>
      </c>
      <c r="AG267" s="31">
        <f>ROUND(IF(AQ267="2",BI267,0),2)</f>
        <v>0</v>
      </c>
      <c r="AH267" s="31">
        <f>ROUND(IF(AQ267="0",BJ267,0),2)</f>
        <v>0</v>
      </c>
      <c r="AI267" s="11" t="s">
        <v>56</v>
      </c>
      <c r="AJ267" s="31">
        <f>IF(AN267=0,J267,0)</f>
        <v>0</v>
      </c>
      <c r="AK267" s="31">
        <f>IF(AN267=12,J267,0)</f>
        <v>0</v>
      </c>
      <c r="AL267" s="31">
        <f>IF(AN267=21,J267,0)</f>
        <v>0</v>
      </c>
      <c r="AN267" s="31">
        <v>21</v>
      </c>
      <c r="AO267" s="31">
        <f>G267*0.274654514</f>
        <v>0</v>
      </c>
      <c r="AP267" s="31">
        <f>G267*(1-0.274654514)</f>
        <v>0</v>
      </c>
      <c r="AQ267" s="34" t="s">
        <v>101</v>
      </c>
      <c r="AV267" s="31">
        <f>ROUND(AW267+AX267,2)</f>
        <v>0</v>
      </c>
      <c r="AW267" s="31">
        <f>ROUND(F267*AO267,2)</f>
        <v>0</v>
      </c>
      <c r="AX267" s="31">
        <f>ROUND(F267*AP267,2)</f>
        <v>0</v>
      </c>
      <c r="AY267" s="34" t="s">
        <v>490</v>
      </c>
      <c r="AZ267" s="34" t="s">
        <v>423</v>
      </c>
      <c r="BA267" s="11" t="s">
        <v>63</v>
      </c>
      <c r="BC267" s="31">
        <f>AW267+AX267</f>
        <v>0</v>
      </c>
      <c r="BD267" s="31">
        <f>G267/(100-BE267)*100</f>
        <v>0</v>
      </c>
      <c r="BE267" s="31">
        <v>0</v>
      </c>
      <c r="BF267" s="31">
        <f>267</f>
        <v>267</v>
      </c>
      <c r="BH267" s="31">
        <f>F267*AO267</f>
        <v>0</v>
      </c>
      <c r="BI267" s="31">
        <f>F267*AP267</f>
        <v>0</v>
      </c>
      <c r="BJ267" s="31">
        <f>F267*G267</f>
        <v>0</v>
      </c>
      <c r="BK267" s="34" t="s">
        <v>64</v>
      </c>
      <c r="BL267" s="31">
        <v>776</v>
      </c>
      <c r="BW267" s="31">
        <v>21</v>
      </c>
      <c r="BX267" s="5" t="s">
        <v>522</v>
      </c>
    </row>
    <row r="268" spans="1:76" x14ac:dyDescent="0.25">
      <c r="A268" s="35"/>
      <c r="C268" s="36" t="s">
        <v>523</v>
      </c>
      <c r="D268" s="36" t="s">
        <v>510</v>
      </c>
      <c r="F268" s="37">
        <v>12.48</v>
      </c>
      <c r="K268" s="38"/>
    </row>
    <row r="269" spans="1:76" x14ac:dyDescent="0.25">
      <c r="A269" s="35"/>
      <c r="C269" s="36" t="s">
        <v>524</v>
      </c>
      <c r="D269" s="36" t="s">
        <v>399</v>
      </c>
      <c r="F269" s="37">
        <v>17.137499999999999</v>
      </c>
      <c r="K269" s="38"/>
    </row>
    <row r="270" spans="1:76" x14ac:dyDescent="0.25">
      <c r="A270" s="35"/>
      <c r="C270" s="36" t="s">
        <v>525</v>
      </c>
      <c r="D270" s="36" t="s">
        <v>397</v>
      </c>
      <c r="F270" s="37">
        <v>4.95</v>
      </c>
      <c r="K270" s="38"/>
    </row>
    <row r="271" spans="1:76" x14ac:dyDescent="0.25">
      <c r="A271" s="39" t="s">
        <v>526</v>
      </c>
      <c r="B271" s="40" t="s">
        <v>514</v>
      </c>
      <c r="C271" s="135" t="s">
        <v>515</v>
      </c>
      <c r="D271" s="136"/>
      <c r="E271" s="40" t="s">
        <v>59</v>
      </c>
      <c r="F271" s="42">
        <v>36.295870000000001</v>
      </c>
      <c r="G271" s="43">
        <v>0</v>
      </c>
      <c r="H271" s="42">
        <f>ROUND(F271*AO271,2)</f>
        <v>0</v>
      </c>
      <c r="I271" s="42">
        <f>ROUND(F271*AP271,2)</f>
        <v>0</v>
      </c>
      <c r="J271" s="42">
        <f>ROUND(F271*G271,2)</f>
        <v>0</v>
      </c>
      <c r="K271" s="44" t="s">
        <v>60</v>
      </c>
      <c r="Z271" s="31">
        <f>ROUND(IF(AQ271="5",BJ271,0),2)</f>
        <v>0</v>
      </c>
      <c r="AB271" s="31">
        <f>ROUND(IF(AQ271="1",BH271,0),2)</f>
        <v>0</v>
      </c>
      <c r="AC271" s="31">
        <f>ROUND(IF(AQ271="1",BI271,0),2)</f>
        <v>0</v>
      </c>
      <c r="AD271" s="31">
        <f>ROUND(IF(AQ271="7",BH271,0),2)</f>
        <v>0</v>
      </c>
      <c r="AE271" s="31">
        <f>ROUND(IF(AQ271="7",BI271,0),2)</f>
        <v>0</v>
      </c>
      <c r="AF271" s="31">
        <f>ROUND(IF(AQ271="2",BH271,0),2)</f>
        <v>0</v>
      </c>
      <c r="AG271" s="31">
        <f>ROUND(IF(AQ271="2",BI271,0),2)</f>
        <v>0</v>
      </c>
      <c r="AH271" s="31">
        <f>ROUND(IF(AQ271="0",BJ271,0),2)</f>
        <v>0</v>
      </c>
      <c r="AI271" s="11" t="s">
        <v>56</v>
      </c>
      <c r="AJ271" s="42">
        <f>IF(AN271=0,J271,0)</f>
        <v>0</v>
      </c>
      <c r="AK271" s="42">
        <f>IF(AN271=12,J271,0)</f>
        <v>0</v>
      </c>
      <c r="AL271" s="42">
        <f>IF(AN271=21,J271,0)</f>
        <v>0</v>
      </c>
      <c r="AN271" s="31">
        <v>21</v>
      </c>
      <c r="AO271" s="31">
        <f>G271*1</f>
        <v>0</v>
      </c>
      <c r="AP271" s="31">
        <f>G271*(1-1)</f>
        <v>0</v>
      </c>
      <c r="AQ271" s="45" t="s">
        <v>101</v>
      </c>
      <c r="AV271" s="31">
        <f>ROUND(AW271+AX271,2)</f>
        <v>0</v>
      </c>
      <c r="AW271" s="31">
        <f>ROUND(F271*AO271,2)</f>
        <v>0</v>
      </c>
      <c r="AX271" s="31">
        <f>ROUND(F271*AP271,2)</f>
        <v>0</v>
      </c>
      <c r="AY271" s="34" t="s">
        <v>490</v>
      </c>
      <c r="AZ271" s="34" t="s">
        <v>423</v>
      </c>
      <c r="BA271" s="11" t="s">
        <v>63</v>
      </c>
      <c r="BC271" s="31">
        <f>AW271+AX271</f>
        <v>0</v>
      </c>
      <c r="BD271" s="31">
        <f>G271/(100-BE271)*100</f>
        <v>0</v>
      </c>
      <c r="BE271" s="31">
        <v>0</v>
      </c>
      <c r="BF271" s="31">
        <f>271</f>
        <v>271</v>
      </c>
      <c r="BH271" s="42">
        <f>F271*AO271</f>
        <v>0</v>
      </c>
      <c r="BI271" s="42">
        <f>F271*AP271</f>
        <v>0</v>
      </c>
      <c r="BJ271" s="42">
        <f>F271*G271</f>
        <v>0</v>
      </c>
      <c r="BK271" s="45" t="s">
        <v>70</v>
      </c>
      <c r="BL271" s="31">
        <v>776</v>
      </c>
      <c r="BW271" s="31">
        <v>21</v>
      </c>
      <c r="BX271" s="41" t="s">
        <v>515</v>
      </c>
    </row>
    <row r="272" spans="1:76" x14ac:dyDescent="0.25">
      <c r="A272" s="35"/>
      <c r="C272" s="36" t="s">
        <v>523</v>
      </c>
      <c r="D272" s="36" t="s">
        <v>510</v>
      </c>
      <c r="F272" s="37">
        <v>12.48</v>
      </c>
      <c r="K272" s="38"/>
    </row>
    <row r="273" spans="1:76" x14ac:dyDescent="0.25">
      <c r="A273" s="35"/>
      <c r="C273" s="36" t="s">
        <v>524</v>
      </c>
      <c r="D273" s="36" t="s">
        <v>399</v>
      </c>
      <c r="F273" s="37">
        <v>17.137499999999999</v>
      </c>
      <c r="K273" s="38"/>
    </row>
    <row r="274" spans="1:76" x14ac:dyDescent="0.25">
      <c r="A274" s="35"/>
      <c r="C274" s="36" t="s">
        <v>525</v>
      </c>
      <c r="D274" s="36" t="s">
        <v>397</v>
      </c>
      <c r="F274" s="37">
        <v>4.95</v>
      </c>
      <c r="K274" s="38"/>
    </row>
    <row r="275" spans="1:76" x14ac:dyDescent="0.25">
      <c r="A275" s="35"/>
      <c r="C275" s="36" t="s">
        <v>527</v>
      </c>
      <c r="D275" s="36" t="s">
        <v>52</v>
      </c>
      <c r="F275" s="37">
        <v>1.72837</v>
      </c>
      <c r="K275" s="38"/>
    </row>
    <row r="276" spans="1:76" x14ac:dyDescent="0.25">
      <c r="A276" s="2" t="s">
        <v>528</v>
      </c>
      <c r="B276" s="3" t="s">
        <v>529</v>
      </c>
      <c r="C276" s="112" t="s">
        <v>530</v>
      </c>
      <c r="D276" s="107"/>
      <c r="E276" s="3" t="s">
        <v>276</v>
      </c>
      <c r="F276" s="31">
        <v>0.29144999999999999</v>
      </c>
      <c r="G276" s="32">
        <v>0</v>
      </c>
      <c r="H276" s="31">
        <f>ROUND(F276*AO276,2)</f>
        <v>0</v>
      </c>
      <c r="I276" s="31">
        <f>ROUND(F276*AP276,2)</f>
        <v>0</v>
      </c>
      <c r="J276" s="31">
        <f>ROUND(F276*G276,2)</f>
        <v>0</v>
      </c>
      <c r="K276" s="33" t="s">
        <v>60</v>
      </c>
      <c r="Z276" s="31">
        <f>ROUND(IF(AQ276="5",BJ276,0),2)</f>
        <v>0</v>
      </c>
      <c r="AB276" s="31">
        <f>ROUND(IF(AQ276="1",BH276,0),2)</f>
        <v>0</v>
      </c>
      <c r="AC276" s="31">
        <f>ROUND(IF(AQ276="1",BI276,0),2)</f>
        <v>0</v>
      </c>
      <c r="AD276" s="31">
        <f>ROUND(IF(AQ276="7",BH276,0),2)</f>
        <v>0</v>
      </c>
      <c r="AE276" s="31">
        <f>ROUND(IF(AQ276="7",BI276,0),2)</f>
        <v>0</v>
      </c>
      <c r="AF276" s="31">
        <f>ROUND(IF(AQ276="2",BH276,0),2)</f>
        <v>0</v>
      </c>
      <c r="AG276" s="31">
        <f>ROUND(IF(AQ276="2",BI276,0),2)</f>
        <v>0</v>
      </c>
      <c r="AH276" s="31">
        <f>ROUND(IF(AQ276="0",BJ276,0),2)</f>
        <v>0</v>
      </c>
      <c r="AI276" s="11" t="s">
        <v>56</v>
      </c>
      <c r="AJ276" s="31">
        <f>IF(AN276=0,J276,0)</f>
        <v>0</v>
      </c>
      <c r="AK276" s="31">
        <f>IF(AN276=12,J276,0)</f>
        <v>0</v>
      </c>
      <c r="AL276" s="31">
        <f>IF(AN276=21,J276,0)</f>
        <v>0</v>
      </c>
      <c r="AN276" s="31">
        <v>21</v>
      </c>
      <c r="AO276" s="31">
        <f>G276*0</f>
        <v>0</v>
      </c>
      <c r="AP276" s="31">
        <f>G276*(1-0)</f>
        <v>0</v>
      </c>
      <c r="AQ276" s="34" t="s">
        <v>85</v>
      </c>
      <c r="AV276" s="31">
        <f>ROUND(AW276+AX276,2)</f>
        <v>0</v>
      </c>
      <c r="AW276" s="31">
        <f>ROUND(F276*AO276,2)</f>
        <v>0</v>
      </c>
      <c r="AX276" s="31">
        <f>ROUND(F276*AP276,2)</f>
        <v>0</v>
      </c>
      <c r="AY276" s="34" t="s">
        <v>490</v>
      </c>
      <c r="AZ276" s="34" t="s">
        <v>423</v>
      </c>
      <c r="BA276" s="11" t="s">
        <v>63</v>
      </c>
      <c r="BC276" s="31">
        <f>AW276+AX276</f>
        <v>0</v>
      </c>
      <c r="BD276" s="31">
        <f>G276/(100-BE276)*100</f>
        <v>0</v>
      </c>
      <c r="BE276" s="31">
        <v>0</v>
      </c>
      <c r="BF276" s="31">
        <f>276</f>
        <v>276</v>
      </c>
      <c r="BH276" s="31">
        <f>F276*AO276</f>
        <v>0</v>
      </c>
      <c r="BI276" s="31">
        <f>F276*AP276</f>
        <v>0</v>
      </c>
      <c r="BJ276" s="31">
        <f>F276*G276</f>
        <v>0</v>
      </c>
      <c r="BK276" s="34" t="s">
        <v>64</v>
      </c>
      <c r="BL276" s="31">
        <v>776</v>
      </c>
      <c r="BW276" s="31">
        <v>21</v>
      </c>
      <c r="BX276" s="5" t="s">
        <v>530</v>
      </c>
    </row>
    <row r="277" spans="1:76" x14ac:dyDescent="0.25">
      <c r="A277" s="26" t="s">
        <v>52</v>
      </c>
      <c r="B277" s="27" t="s">
        <v>531</v>
      </c>
      <c r="C277" s="133" t="s">
        <v>532</v>
      </c>
      <c r="D277" s="134"/>
      <c r="E277" s="28" t="s">
        <v>4</v>
      </c>
      <c r="F277" s="28" t="s">
        <v>4</v>
      </c>
      <c r="G277" s="29" t="s">
        <v>4</v>
      </c>
      <c r="H277" s="1">
        <f>SUM(H278:H333)</f>
        <v>0</v>
      </c>
      <c r="I277" s="1">
        <f>SUM(I278:I333)</f>
        <v>0</v>
      </c>
      <c r="J277" s="1">
        <f>SUM(J278:J333)</f>
        <v>0</v>
      </c>
      <c r="K277" s="30" t="s">
        <v>52</v>
      </c>
      <c r="AI277" s="11" t="s">
        <v>56</v>
      </c>
      <c r="AS277" s="1">
        <f>SUM(AJ278:AJ333)</f>
        <v>0</v>
      </c>
      <c r="AT277" s="1">
        <f>SUM(AK278:AK333)</f>
        <v>0</v>
      </c>
      <c r="AU277" s="1">
        <f>SUM(AL278:AL333)</f>
        <v>0</v>
      </c>
    </row>
    <row r="278" spans="1:76" x14ac:dyDescent="0.25">
      <c r="A278" s="2" t="s">
        <v>533</v>
      </c>
      <c r="B278" s="3" t="s">
        <v>534</v>
      </c>
      <c r="C278" s="112" t="s">
        <v>535</v>
      </c>
      <c r="D278" s="107"/>
      <c r="E278" s="3" t="s">
        <v>59</v>
      </c>
      <c r="F278" s="31">
        <v>16.919</v>
      </c>
      <c r="G278" s="32">
        <v>0</v>
      </c>
      <c r="H278" s="31">
        <f>ROUND(F278*AO278,2)</f>
        <v>0</v>
      </c>
      <c r="I278" s="31">
        <f>ROUND(F278*AP278,2)</f>
        <v>0</v>
      </c>
      <c r="J278" s="31">
        <f>ROUND(F278*G278,2)</f>
        <v>0</v>
      </c>
      <c r="K278" s="33" t="s">
        <v>60</v>
      </c>
      <c r="Z278" s="31">
        <f>ROUND(IF(AQ278="5",BJ278,0),2)</f>
        <v>0</v>
      </c>
      <c r="AB278" s="31">
        <f>ROUND(IF(AQ278="1",BH278,0),2)</f>
        <v>0</v>
      </c>
      <c r="AC278" s="31">
        <f>ROUND(IF(AQ278="1",BI278,0),2)</f>
        <v>0</v>
      </c>
      <c r="AD278" s="31">
        <f>ROUND(IF(AQ278="7",BH278,0),2)</f>
        <v>0</v>
      </c>
      <c r="AE278" s="31">
        <f>ROUND(IF(AQ278="7",BI278,0),2)</f>
        <v>0</v>
      </c>
      <c r="AF278" s="31">
        <f>ROUND(IF(AQ278="2",BH278,0),2)</f>
        <v>0</v>
      </c>
      <c r="AG278" s="31">
        <f>ROUND(IF(AQ278="2",BI278,0),2)</f>
        <v>0</v>
      </c>
      <c r="AH278" s="31">
        <f>ROUND(IF(AQ278="0",BJ278,0),2)</f>
        <v>0</v>
      </c>
      <c r="AI278" s="11" t="s">
        <v>56</v>
      </c>
      <c r="AJ278" s="31">
        <f>IF(AN278=0,J278,0)</f>
        <v>0</v>
      </c>
      <c r="AK278" s="31">
        <f>IF(AN278=12,J278,0)</f>
        <v>0</v>
      </c>
      <c r="AL278" s="31">
        <f>IF(AN278=21,J278,0)</f>
        <v>0</v>
      </c>
      <c r="AN278" s="31">
        <v>21</v>
      </c>
      <c r="AO278" s="31">
        <f>G278*0</f>
        <v>0</v>
      </c>
      <c r="AP278" s="31">
        <f>G278*(1-0)</f>
        <v>0</v>
      </c>
      <c r="AQ278" s="34" t="s">
        <v>101</v>
      </c>
      <c r="AV278" s="31">
        <f>ROUND(AW278+AX278,2)</f>
        <v>0</v>
      </c>
      <c r="AW278" s="31">
        <f>ROUND(F278*AO278,2)</f>
        <v>0</v>
      </c>
      <c r="AX278" s="31">
        <f>ROUND(F278*AP278,2)</f>
        <v>0</v>
      </c>
      <c r="AY278" s="34" t="s">
        <v>536</v>
      </c>
      <c r="AZ278" s="34" t="s">
        <v>537</v>
      </c>
      <c r="BA278" s="11" t="s">
        <v>63</v>
      </c>
      <c r="BC278" s="31">
        <f>AW278+AX278</f>
        <v>0</v>
      </c>
      <c r="BD278" s="31">
        <f>G278/(100-BE278)*100</f>
        <v>0</v>
      </c>
      <c r="BE278" s="31">
        <v>0</v>
      </c>
      <c r="BF278" s="31">
        <f>278</f>
        <v>278</v>
      </c>
      <c r="BH278" s="31">
        <f>F278*AO278</f>
        <v>0</v>
      </c>
      <c r="BI278" s="31">
        <f>F278*AP278</f>
        <v>0</v>
      </c>
      <c r="BJ278" s="31">
        <f>F278*G278</f>
        <v>0</v>
      </c>
      <c r="BK278" s="34" t="s">
        <v>64</v>
      </c>
      <c r="BL278" s="31">
        <v>781</v>
      </c>
      <c r="BW278" s="31">
        <v>21</v>
      </c>
      <c r="BX278" s="5" t="s">
        <v>535</v>
      </c>
    </row>
    <row r="279" spans="1:76" x14ac:dyDescent="0.25">
      <c r="A279" s="35"/>
      <c r="C279" s="36" t="s">
        <v>538</v>
      </c>
      <c r="D279" s="36" t="s">
        <v>431</v>
      </c>
      <c r="F279" s="37">
        <v>4.68</v>
      </c>
      <c r="K279" s="38"/>
    </row>
    <row r="280" spans="1:76" x14ac:dyDescent="0.25">
      <c r="A280" s="35"/>
      <c r="C280" s="36" t="s">
        <v>539</v>
      </c>
      <c r="D280" s="36" t="s">
        <v>429</v>
      </c>
      <c r="F280" s="37">
        <v>2.7149999999999999</v>
      </c>
      <c r="K280" s="38"/>
    </row>
    <row r="281" spans="1:76" x14ac:dyDescent="0.25">
      <c r="A281" s="35"/>
      <c r="C281" s="36" t="s">
        <v>540</v>
      </c>
      <c r="D281" s="36" t="s">
        <v>427</v>
      </c>
      <c r="F281" s="37">
        <v>4.524</v>
      </c>
      <c r="K281" s="38"/>
    </row>
    <row r="282" spans="1:76" x14ac:dyDescent="0.25">
      <c r="A282" s="35"/>
      <c r="C282" s="36" t="s">
        <v>85</v>
      </c>
      <c r="D282" s="36" t="s">
        <v>541</v>
      </c>
      <c r="F282" s="37">
        <v>5</v>
      </c>
      <c r="K282" s="38"/>
    </row>
    <row r="283" spans="1:76" x14ac:dyDescent="0.25">
      <c r="A283" s="2" t="s">
        <v>542</v>
      </c>
      <c r="B283" s="3" t="s">
        <v>543</v>
      </c>
      <c r="C283" s="112" t="s">
        <v>544</v>
      </c>
      <c r="D283" s="107"/>
      <c r="E283" s="3" t="s">
        <v>59</v>
      </c>
      <c r="F283" s="31">
        <v>11.532500000000001</v>
      </c>
      <c r="G283" s="32">
        <v>0</v>
      </c>
      <c r="H283" s="31">
        <f>ROUND(F283*AO283,2)</f>
        <v>0</v>
      </c>
      <c r="I283" s="31">
        <f>ROUND(F283*AP283,2)</f>
        <v>0</v>
      </c>
      <c r="J283" s="31">
        <f>ROUND(F283*G283,2)</f>
        <v>0</v>
      </c>
      <c r="K283" s="33" t="s">
        <v>60</v>
      </c>
      <c r="Z283" s="31">
        <f>ROUND(IF(AQ283="5",BJ283,0),2)</f>
        <v>0</v>
      </c>
      <c r="AB283" s="31">
        <f>ROUND(IF(AQ283="1",BH283,0),2)</f>
        <v>0</v>
      </c>
      <c r="AC283" s="31">
        <f>ROUND(IF(AQ283="1",BI283,0),2)</f>
        <v>0</v>
      </c>
      <c r="AD283" s="31">
        <f>ROUND(IF(AQ283="7",BH283,0),2)</f>
        <v>0</v>
      </c>
      <c r="AE283" s="31">
        <f>ROUND(IF(AQ283="7",BI283,0),2)</f>
        <v>0</v>
      </c>
      <c r="AF283" s="31">
        <f>ROUND(IF(AQ283="2",BH283,0),2)</f>
        <v>0</v>
      </c>
      <c r="AG283" s="31">
        <f>ROUND(IF(AQ283="2",BI283,0),2)</f>
        <v>0</v>
      </c>
      <c r="AH283" s="31">
        <f>ROUND(IF(AQ283="0",BJ283,0),2)</f>
        <v>0</v>
      </c>
      <c r="AI283" s="11" t="s">
        <v>56</v>
      </c>
      <c r="AJ283" s="31">
        <f>IF(AN283=0,J283,0)</f>
        <v>0</v>
      </c>
      <c r="AK283" s="31">
        <f>IF(AN283=12,J283,0)</f>
        <v>0</v>
      </c>
      <c r="AL283" s="31">
        <f>IF(AN283=21,J283,0)</f>
        <v>0</v>
      </c>
      <c r="AN283" s="31">
        <v>21</v>
      </c>
      <c r="AO283" s="31">
        <f>G283*0</f>
        <v>0</v>
      </c>
      <c r="AP283" s="31">
        <f>G283*(1-0)</f>
        <v>0</v>
      </c>
      <c r="AQ283" s="34" t="s">
        <v>101</v>
      </c>
      <c r="AV283" s="31">
        <f>ROUND(AW283+AX283,2)</f>
        <v>0</v>
      </c>
      <c r="AW283" s="31">
        <f>ROUND(F283*AO283,2)</f>
        <v>0</v>
      </c>
      <c r="AX283" s="31">
        <f>ROUND(F283*AP283,2)</f>
        <v>0</v>
      </c>
      <c r="AY283" s="34" t="s">
        <v>536</v>
      </c>
      <c r="AZ283" s="34" t="s">
        <v>537</v>
      </c>
      <c r="BA283" s="11" t="s">
        <v>63</v>
      </c>
      <c r="BC283" s="31">
        <f>AW283+AX283</f>
        <v>0</v>
      </c>
      <c r="BD283" s="31">
        <f>G283/(100-BE283)*100</f>
        <v>0</v>
      </c>
      <c r="BE283" s="31">
        <v>0</v>
      </c>
      <c r="BF283" s="31">
        <f>283</f>
        <v>283</v>
      </c>
      <c r="BH283" s="31">
        <f>F283*AO283</f>
        <v>0</v>
      </c>
      <c r="BI283" s="31">
        <f>F283*AP283</f>
        <v>0</v>
      </c>
      <c r="BJ283" s="31">
        <f>F283*G283</f>
        <v>0</v>
      </c>
      <c r="BK283" s="34" t="s">
        <v>64</v>
      </c>
      <c r="BL283" s="31">
        <v>781</v>
      </c>
      <c r="BW283" s="31">
        <v>21</v>
      </c>
      <c r="BX283" s="5" t="s">
        <v>544</v>
      </c>
    </row>
    <row r="284" spans="1:76" x14ac:dyDescent="0.25">
      <c r="A284" s="35"/>
      <c r="C284" s="36" t="s">
        <v>545</v>
      </c>
      <c r="D284" s="36" t="s">
        <v>546</v>
      </c>
      <c r="F284" s="37">
        <v>4.0949999999999998</v>
      </c>
      <c r="K284" s="38"/>
    </row>
    <row r="285" spans="1:76" x14ac:dyDescent="0.25">
      <c r="A285" s="35"/>
      <c r="C285" s="36" t="s">
        <v>85</v>
      </c>
      <c r="D285" s="36" t="s">
        <v>541</v>
      </c>
      <c r="F285" s="37">
        <v>5</v>
      </c>
      <c r="K285" s="38"/>
    </row>
    <row r="286" spans="1:76" x14ac:dyDescent="0.25">
      <c r="A286" s="35"/>
      <c r="C286" s="36" t="s">
        <v>547</v>
      </c>
      <c r="D286" s="36" t="s">
        <v>427</v>
      </c>
      <c r="F286" s="37">
        <v>2.4375</v>
      </c>
      <c r="K286" s="38"/>
    </row>
    <row r="287" spans="1:76" x14ac:dyDescent="0.25">
      <c r="A287" s="39" t="s">
        <v>548</v>
      </c>
      <c r="B287" s="40" t="s">
        <v>549</v>
      </c>
      <c r="C287" s="135" t="s">
        <v>550</v>
      </c>
      <c r="D287" s="136"/>
      <c r="E287" s="40" t="s">
        <v>69</v>
      </c>
      <c r="F287" s="42">
        <v>92.26</v>
      </c>
      <c r="G287" s="43">
        <v>0</v>
      </c>
      <c r="H287" s="42">
        <f>ROUND(F287*AO287,2)</f>
        <v>0</v>
      </c>
      <c r="I287" s="42">
        <f>ROUND(F287*AP287,2)</f>
        <v>0</v>
      </c>
      <c r="J287" s="42">
        <f>ROUND(F287*G287,2)</f>
        <v>0</v>
      </c>
      <c r="K287" s="44" t="s">
        <v>60</v>
      </c>
      <c r="Z287" s="31">
        <f>ROUND(IF(AQ287="5",BJ287,0),2)</f>
        <v>0</v>
      </c>
      <c r="AB287" s="31">
        <f>ROUND(IF(AQ287="1",BH287,0),2)</f>
        <v>0</v>
      </c>
      <c r="AC287" s="31">
        <f>ROUND(IF(AQ287="1",BI287,0),2)</f>
        <v>0</v>
      </c>
      <c r="AD287" s="31">
        <f>ROUND(IF(AQ287="7",BH287,0),2)</f>
        <v>0</v>
      </c>
      <c r="AE287" s="31">
        <f>ROUND(IF(AQ287="7",BI287,0),2)</f>
        <v>0</v>
      </c>
      <c r="AF287" s="31">
        <f>ROUND(IF(AQ287="2",BH287,0),2)</f>
        <v>0</v>
      </c>
      <c r="AG287" s="31">
        <f>ROUND(IF(AQ287="2",BI287,0),2)</f>
        <v>0</v>
      </c>
      <c r="AH287" s="31">
        <f>ROUND(IF(AQ287="0",BJ287,0),2)</f>
        <v>0</v>
      </c>
      <c r="AI287" s="11" t="s">
        <v>56</v>
      </c>
      <c r="AJ287" s="42">
        <f>IF(AN287=0,J287,0)</f>
        <v>0</v>
      </c>
      <c r="AK287" s="42">
        <f>IF(AN287=12,J287,0)</f>
        <v>0</v>
      </c>
      <c r="AL287" s="42">
        <f>IF(AN287=21,J287,0)</f>
        <v>0</v>
      </c>
      <c r="AN287" s="31">
        <v>21</v>
      </c>
      <c r="AO287" s="31">
        <f>G287*1</f>
        <v>0</v>
      </c>
      <c r="AP287" s="31">
        <f>G287*(1-1)</f>
        <v>0</v>
      </c>
      <c r="AQ287" s="45" t="s">
        <v>101</v>
      </c>
      <c r="AV287" s="31">
        <f>ROUND(AW287+AX287,2)</f>
        <v>0</v>
      </c>
      <c r="AW287" s="31">
        <f>ROUND(F287*AO287,2)</f>
        <v>0</v>
      </c>
      <c r="AX287" s="31">
        <f>ROUND(F287*AP287,2)</f>
        <v>0</v>
      </c>
      <c r="AY287" s="34" t="s">
        <v>536</v>
      </c>
      <c r="AZ287" s="34" t="s">
        <v>537</v>
      </c>
      <c r="BA287" s="11" t="s">
        <v>63</v>
      </c>
      <c r="BC287" s="31">
        <f>AW287+AX287</f>
        <v>0</v>
      </c>
      <c r="BD287" s="31">
        <f>G287/(100-BE287)*100</f>
        <v>0</v>
      </c>
      <c r="BE287" s="31">
        <v>0</v>
      </c>
      <c r="BF287" s="31">
        <f>287</f>
        <v>287</v>
      </c>
      <c r="BH287" s="42">
        <f>F287*AO287</f>
        <v>0</v>
      </c>
      <c r="BI287" s="42">
        <f>F287*AP287</f>
        <v>0</v>
      </c>
      <c r="BJ287" s="42">
        <f>F287*G287</f>
        <v>0</v>
      </c>
      <c r="BK287" s="45" t="s">
        <v>70</v>
      </c>
      <c r="BL287" s="31">
        <v>781</v>
      </c>
      <c r="BW287" s="31">
        <v>21</v>
      </c>
      <c r="BX287" s="41" t="s">
        <v>550</v>
      </c>
    </row>
    <row r="288" spans="1:76" x14ac:dyDescent="0.25">
      <c r="A288" s="35"/>
      <c r="C288" s="36" t="s">
        <v>551</v>
      </c>
      <c r="D288" s="36" t="s">
        <v>52</v>
      </c>
      <c r="F288" s="37">
        <v>0</v>
      </c>
      <c r="K288" s="38"/>
    </row>
    <row r="289" spans="1:76" x14ac:dyDescent="0.25">
      <c r="A289" s="35"/>
      <c r="C289" s="36" t="s">
        <v>552</v>
      </c>
      <c r="D289" s="36" t="s">
        <v>546</v>
      </c>
      <c r="F289" s="37">
        <v>32.76</v>
      </c>
      <c r="K289" s="38"/>
    </row>
    <row r="290" spans="1:76" x14ac:dyDescent="0.25">
      <c r="A290" s="35"/>
      <c r="C290" s="36" t="s">
        <v>553</v>
      </c>
      <c r="D290" s="36" t="s">
        <v>541</v>
      </c>
      <c r="F290" s="37">
        <v>40</v>
      </c>
      <c r="K290" s="38"/>
    </row>
    <row r="291" spans="1:76" x14ac:dyDescent="0.25">
      <c r="A291" s="35"/>
      <c r="C291" s="36" t="s">
        <v>554</v>
      </c>
      <c r="D291" s="36" t="s">
        <v>427</v>
      </c>
      <c r="F291" s="37">
        <v>19.5</v>
      </c>
      <c r="K291" s="38"/>
    </row>
    <row r="292" spans="1:76" x14ac:dyDescent="0.25">
      <c r="A292" s="2" t="s">
        <v>555</v>
      </c>
      <c r="B292" s="3" t="s">
        <v>556</v>
      </c>
      <c r="C292" s="112" t="s">
        <v>557</v>
      </c>
      <c r="D292" s="107"/>
      <c r="E292" s="3" t="s">
        <v>59</v>
      </c>
      <c r="F292" s="31">
        <v>13.9625</v>
      </c>
      <c r="G292" s="32">
        <v>0</v>
      </c>
      <c r="H292" s="31">
        <f>ROUND(F292*AO292,2)</f>
        <v>0</v>
      </c>
      <c r="I292" s="31">
        <f>ROUND(F292*AP292,2)</f>
        <v>0</v>
      </c>
      <c r="J292" s="31">
        <f>ROUND(F292*G292,2)</f>
        <v>0</v>
      </c>
      <c r="K292" s="33" t="s">
        <v>60</v>
      </c>
      <c r="Z292" s="31">
        <f>ROUND(IF(AQ292="5",BJ292,0),2)</f>
        <v>0</v>
      </c>
      <c r="AB292" s="31">
        <f>ROUND(IF(AQ292="1",BH292,0),2)</f>
        <v>0</v>
      </c>
      <c r="AC292" s="31">
        <f>ROUND(IF(AQ292="1",BI292,0),2)</f>
        <v>0</v>
      </c>
      <c r="AD292" s="31">
        <f>ROUND(IF(AQ292="7",BH292,0),2)</f>
        <v>0</v>
      </c>
      <c r="AE292" s="31">
        <f>ROUND(IF(AQ292="7",BI292,0),2)</f>
        <v>0</v>
      </c>
      <c r="AF292" s="31">
        <f>ROUND(IF(AQ292="2",BH292,0),2)</f>
        <v>0</v>
      </c>
      <c r="AG292" s="31">
        <f>ROUND(IF(AQ292="2",BI292,0),2)</f>
        <v>0</v>
      </c>
      <c r="AH292" s="31">
        <f>ROUND(IF(AQ292="0",BJ292,0),2)</f>
        <v>0</v>
      </c>
      <c r="AI292" s="11" t="s">
        <v>56</v>
      </c>
      <c r="AJ292" s="31">
        <f>IF(AN292=0,J292,0)</f>
        <v>0</v>
      </c>
      <c r="AK292" s="31">
        <f>IF(AN292=12,J292,0)</f>
        <v>0</v>
      </c>
      <c r="AL292" s="31">
        <f>IF(AN292=21,J292,0)</f>
        <v>0</v>
      </c>
      <c r="AN292" s="31">
        <v>21</v>
      </c>
      <c r="AO292" s="31">
        <f>G292*0.143495344</f>
        <v>0</v>
      </c>
      <c r="AP292" s="31">
        <f>G292*(1-0.143495344)</f>
        <v>0</v>
      </c>
      <c r="AQ292" s="34" t="s">
        <v>101</v>
      </c>
      <c r="AV292" s="31">
        <f>ROUND(AW292+AX292,2)</f>
        <v>0</v>
      </c>
      <c r="AW292" s="31">
        <f>ROUND(F292*AO292,2)</f>
        <v>0</v>
      </c>
      <c r="AX292" s="31">
        <f>ROUND(F292*AP292,2)</f>
        <v>0</v>
      </c>
      <c r="AY292" s="34" t="s">
        <v>536</v>
      </c>
      <c r="AZ292" s="34" t="s">
        <v>537</v>
      </c>
      <c r="BA292" s="11" t="s">
        <v>63</v>
      </c>
      <c r="BC292" s="31">
        <f>AW292+AX292</f>
        <v>0</v>
      </c>
      <c r="BD292" s="31">
        <f>G292/(100-BE292)*100</f>
        <v>0</v>
      </c>
      <c r="BE292" s="31">
        <v>0</v>
      </c>
      <c r="BF292" s="31">
        <f>292</f>
        <v>292</v>
      </c>
      <c r="BH292" s="31">
        <f>F292*AO292</f>
        <v>0</v>
      </c>
      <c r="BI292" s="31">
        <f>F292*AP292</f>
        <v>0</v>
      </c>
      <c r="BJ292" s="31">
        <f>F292*G292</f>
        <v>0</v>
      </c>
      <c r="BK292" s="34" t="s">
        <v>64</v>
      </c>
      <c r="BL292" s="31">
        <v>781</v>
      </c>
      <c r="BW292" s="31">
        <v>21</v>
      </c>
      <c r="BX292" s="5" t="s">
        <v>557</v>
      </c>
    </row>
    <row r="293" spans="1:76" ht="13.5" customHeight="1" x14ac:dyDescent="0.25">
      <c r="A293" s="35"/>
      <c r="C293" s="137" t="s">
        <v>558</v>
      </c>
      <c r="D293" s="138"/>
      <c r="E293" s="138"/>
      <c r="F293" s="138"/>
      <c r="G293" s="139"/>
      <c r="H293" s="138"/>
      <c r="I293" s="138"/>
      <c r="J293" s="138"/>
      <c r="K293" s="140"/>
    </row>
    <row r="294" spans="1:76" x14ac:dyDescent="0.25">
      <c r="A294" s="35"/>
      <c r="C294" s="36" t="s">
        <v>559</v>
      </c>
      <c r="D294" s="36" t="s">
        <v>462</v>
      </c>
      <c r="F294" s="37">
        <v>1.35</v>
      </c>
      <c r="K294" s="38"/>
    </row>
    <row r="295" spans="1:76" x14ac:dyDescent="0.25">
      <c r="A295" s="35"/>
      <c r="C295" s="36" t="s">
        <v>560</v>
      </c>
      <c r="D295" s="36" t="s">
        <v>464</v>
      </c>
      <c r="F295" s="37">
        <v>1.08</v>
      </c>
      <c r="K295" s="38"/>
    </row>
    <row r="296" spans="1:76" x14ac:dyDescent="0.25">
      <c r="A296" s="35"/>
      <c r="C296" s="36" t="s">
        <v>545</v>
      </c>
      <c r="D296" s="36" t="s">
        <v>546</v>
      </c>
      <c r="F296" s="37">
        <v>4.0949999999999998</v>
      </c>
      <c r="K296" s="38"/>
    </row>
    <row r="297" spans="1:76" x14ac:dyDescent="0.25">
      <c r="A297" s="35"/>
      <c r="C297" s="36" t="s">
        <v>547</v>
      </c>
      <c r="D297" s="36" t="s">
        <v>427</v>
      </c>
      <c r="F297" s="37">
        <v>2.4375</v>
      </c>
      <c r="K297" s="38"/>
    </row>
    <row r="298" spans="1:76" x14ac:dyDescent="0.25">
      <c r="A298" s="35"/>
      <c r="C298" s="36" t="s">
        <v>85</v>
      </c>
      <c r="D298" s="36" t="s">
        <v>541</v>
      </c>
      <c r="F298" s="37">
        <v>5</v>
      </c>
      <c r="K298" s="38"/>
    </row>
    <row r="299" spans="1:76" x14ac:dyDescent="0.25">
      <c r="A299" s="39" t="s">
        <v>561</v>
      </c>
      <c r="B299" s="40" t="s">
        <v>562</v>
      </c>
      <c r="C299" s="135" t="s">
        <v>563</v>
      </c>
      <c r="D299" s="136"/>
      <c r="E299" s="40" t="s">
        <v>59</v>
      </c>
      <c r="F299" s="42">
        <v>14.68225</v>
      </c>
      <c r="G299" s="43">
        <v>0</v>
      </c>
      <c r="H299" s="42">
        <f>ROUND(F299*AO299,2)</f>
        <v>0</v>
      </c>
      <c r="I299" s="42">
        <f>ROUND(F299*AP299,2)</f>
        <v>0</v>
      </c>
      <c r="J299" s="42">
        <f>ROUND(F299*G299,2)</f>
        <v>0</v>
      </c>
      <c r="K299" s="44" t="s">
        <v>60</v>
      </c>
      <c r="Z299" s="31">
        <f>ROUND(IF(AQ299="5",BJ299,0),2)</f>
        <v>0</v>
      </c>
      <c r="AB299" s="31">
        <f>ROUND(IF(AQ299="1",BH299,0),2)</f>
        <v>0</v>
      </c>
      <c r="AC299" s="31">
        <f>ROUND(IF(AQ299="1",BI299,0),2)</f>
        <v>0</v>
      </c>
      <c r="AD299" s="31">
        <f>ROUND(IF(AQ299="7",BH299,0),2)</f>
        <v>0</v>
      </c>
      <c r="AE299" s="31">
        <f>ROUND(IF(AQ299="7",BI299,0),2)</f>
        <v>0</v>
      </c>
      <c r="AF299" s="31">
        <f>ROUND(IF(AQ299="2",BH299,0),2)</f>
        <v>0</v>
      </c>
      <c r="AG299" s="31">
        <f>ROUND(IF(AQ299="2",BI299,0),2)</f>
        <v>0</v>
      </c>
      <c r="AH299" s="31">
        <f>ROUND(IF(AQ299="0",BJ299,0),2)</f>
        <v>0</v>
      </c>
      <c r="AI299" s="11" t="s">
        <v>56</v>
      </c>
      <c r="AJ299" s="42">
        <f>IF(AN299=0,J299,0)</f>
        <v>0</v>
      </c>
      <c r="AK299" s="42">
        <f>IF(AN299=12,J299,0)</f>
        <v>0</v>
      </c>
      <c r="AL299" s="42">
        <f>IF(AN299=21,J299,0)</f>
        <v>0</v>
      </c>
      <c r="AN299" s="31">
        <v>21</v>
      </c>
      <c r="AO299" s="31">
        <f>G299*1</f>
        <v>0</v>
      </c>
      <c r="AP299" s="31">
        <f>G299*(1-1)</f>
        <v>0</v>
      </c>
      <c r="AQ299" s="45" t="s">
        <v>101</v>
      </c>
      <c r="AV299" s="31">
        <f>ROUND(AW299+AX299,2)</f>
        <v>0</v>
      </c>
      <c r="AW299" s="31">
        <f>ROUND(F299*AO299,2)</f>
        <v>0</v>
      </c>
      <c r="AX299" s="31">
        <f>ROUND(F299*AP299,2)</f>
        <v>0</v>
      </c>
      <c r="AY299" s="34" t="s">
        <v>536</v>
      </c>
      <c r="AZ299" s="34" t="s">
        <v>537</v>
      </c>
      <c r="BA299" s="11" t="s">
        <v>63</v>
      </c>
      <c r="BC299" s="31">
        <f>AW299+AX299</f>
        <v>0</v>
      </c>
      <c r="BD299" s="31">
        <f>G299/(100-BE299)*100</f>
        <v>0</v>
      </c>
      <c r="BE299" s="31">
        <v>0</v>
      </c>
      <c r="BF299" s="31">
        <f>299</f>
        <v>299</v>
      </c>
      <c r="BH299" s="42">
        <f>F299*AO299</f>
        <v>0</v>
      </c>
      <c r="BI299" s="42">
        <f>F299*AP299</f>
        <v>0</v>
      </c>
      <c r="BJ299" s="42">
        <f>F299*G299</f>
        <v>0</v>
      </c>
      <c r="BK299" s="45" t="s">
        <v>70</v>
      </c>
      <c r="BL299" s="31">
        <v>781</v>
      </c>
      <c r="BW299" s="31">
        <v>21</v>
      </c>
      <c r="BX299" s="41" t="s">
        <v>563</v>
      </c>
    </row>
    <row r="300" spans="1:76" x14ac:dyDescent="0.25">
      <c r="A300" s="35"/>
      <c r="C300" s="36" t="s">
        <v>559</v>
      </c>
      <c r="D300" s="36" t="s">
        <v>462</v>
      </c>
      <c r="F300" s="37">
        <v>1.35</v>
      </c>
      <c r="K300" s="38"/>
    </row>
    <row r="301" spans="1:76" x14ac:dyDescent="0.25">
      <c r="A301" s="35"/>
      <c r="C301" s="36" t="s">
        <v>560</v>
      </c>
      <c r="D301" s="36" t="s">
        <v>464</v>
      </c>
      <c r="F301" s="37">
        <v>1.08</v>
      </c>
      <c r="K301" s="38"/>
    </row>
    <row r="302" spans="1:76" x14ac:dyDescent="0.25">
      <c r="A302" s="35"/>
      <c r="C302" s="36" t="s">
        <v>545</v>
      </c>
      <c r="D302" s="36" t="s">
        <v>546</v>
      </c>
      <c r="F302" s="37">
        <v>4.0949999999999998</v>
      </c>
      <c r="K302" s="38"/>
    </row>
    <row r="303" spans="1:76" x14ac:dyDescent="0.25">
      <c r="A303" s="35"/>
      <c r="C303" s="36" t="s">
        <v>547</v>
      </c>
      <c r="D303" s="36" t="s">
        <v>427</v>
      </c>
      <c r="F303" s="37">
        <v>2.4375</v>
      </c>
      <c r="K303" s="38"/>
    </row>
    <row r="304" spans="1:76" x14ac:dyDescent="0.25">
      <c r="A304" s="35"/>
      <c r="C304" s="36" t="s">
        <v>85</v>
      </c>
      <c r="D304" s="36" t="s">
        <v>541</v>
      </c>
      <c r="F304" s="37">
        <v>5</v>
      </c>
      <c r="K304" s="38"/>
    </row>
    <row r="305" spans="1:76" x14ac:dyDescent="0.25">
      <c r="A305" s="35"/>
      <c r="C305" s="36" t="s">
        <v>564</v>
      </c>
      <c r="D305" s="36" t="s">
        <v>565</v>
      </c>
      <c r="F305" s="37">
        <v>-0.42749999999999999</v>
      </c>
      <c r="K305" s="38"/>
    </row>
    <row r="306" spans="1:76" x14ac:dyDescent="0.25">
      <c r="A306" s="35"/>
      <c r="C306" s="36" t="s">
        <v>566</v>
      </c>
      <c r="D306" s="36" t="s">
        <v>567</v>
      </c>
      <c r="F306" s="37">
        <v>-0.1875</v>
      </c>
      <c r="K306" s="38"/>
    </row>
    <row r="307" spans="1:76" x14ac:dyDescent="0.25">
      <c r="A307" s="35"/>
      <c r="C307" s="36" t="s">
        <v>568</v>
      </c>
      <c r="D307" s="36" t="s">
        <v>52</v>
      </c>
      <c r="F307" s="37">
        <v>1.3347500000000001</v>
      </c>
      <c r="K307" s="38"/>
    </row>
    <row r="308" spans="1:76" x14ac:dyDescent="0.25">
      <c r="A308" s="39" t="s">
        <v>569</v>
      </c>
      <c r="B308" s="40" t="s">
        <v>570</v>
      </c>
      <c r="C308" s="135" t="s">
        <v>571</v>
      </c>
      <c r="D308" s="136"/>
      <c r="E308" s="40" t="s">
        <v>59</v>
      </c>
      <c r="F308" s="42">
        <v>0.67649999999999999</v>
      </c>
      <c r="G308" s="43">
        <v>0</v>
      </c>
      <c r="H308" s="42">
        <f>ROUND(F308*AO308,2)</f>
        <v>0</v>
      </c>
      <c r="I308" s="42">
        <f>ROUND(F308*AP308,2)</f>
        <v>0</v>
      </c>
      <c r="J308" s="42">
        <f>ROUND(F308*G308,2)</f>
        <v>0</v>
      </c>
      <c r="K308" s="44" t="s">
        <v>60</v>
      </c>
      <c r="Z308" s="31">
        <f>ROUND(IF(AQ308="5",BJ308,0),2)</f>
        <v>0</v>
      </c>
      <c r="AB308" s="31">
        <f>ROUND(IF(AQ308="1",BH308,0),2)</f>
        <v>0</v>
      </c>
      <c r="AC308" s="31">
        <f>ROUND(IF(AQ308="1",BI308,0),2)</f>
        <v>0</v>
      </c>
      <c r="AD308" s="31">
        <f>ROUND(IF(AQ308="7",BH308,0),2)</f>
        <v>0</v>
      </c>
      <c r="AE308" s="31">
        <f>ROUND(IF(AQ308="7",BI308,0),2)</f>
        <v>0</v>
      </c>
      <c r="AF308" s="31">
        <f>ROUND(IF(AQ308="2",BH308,0),2)</f>
        <v>0</v>
      </c>
      <c r="AG308" s="31">
        <f>ROUND(IF(AQ308="2",BI308,0),2)</f>
        <v>0</v>
      </c>
      <c r="AH308" s="31">
        <f>ROUND(IF(AQ308="0",BJ308,0),2)</f>
        <v>0</v>
      </c>
      <c r="AI308" s="11" t="s">
        <v>56</v>
      </c>
      <c r="AJ308" s="42">
        <f>IF(AN308=0,J308,0)</f>
        <v>0</v>
      </c>
      <c r="AK308" s="42">
        <f>IF(AN308=12,J308,0)</f>
        <v>0</v>
      </c>
      <c r="AL308" s="42">
        <f>IF(AN308=21,J308,0)</f>
        <v>0</v>
      </c>
      <c r="AN308" s="31">
        <v>21</v>
      </c>
      <c r="AO308" s="31">
        <f>G308*1</f>
        <v>0</v>
      </c>
      <c r="AP308" s="31">
        <f>G308*(1-1)</f>
        <v>0</v>
      </c>
      <c r="AQ308" s="45" t="s">
        <v>101</v>
      </c>
      <c r="AV308" s="31">
        <f>ROUND(AW308+AX308,2)</f>
        <v>0</v>
      </c>
      <c r="AW308" s="31">
        <f>ROUND(F308*AO308,2)</f>
        <v>0</v>
      </c>
      <c r="AX308" s="31">
        <f>ROUND(F308*AP308,2)</f>
        <v>0</v>
      </c>
      <c r="AY308" s="34" t="s">
        <v>536</v>
      </c>
      <c r="AZ308" s="34" t="s">
        <v>537</v>
      </c>
      <c r="BA308" s="11" t="s">
        <v>63</v>
      </c>
      <c r="BC308" s="31">
        <f>AW308+AX308</f>
        <v>0</v>
      </c>
      <c r="BD308" s="31">
        <f>G308/(100-BE308)*100</f>
        <v>0</v>
      </c>
      <c r="BE308" s="31">
        <v>0</v>
      </c>
      <c r="BF308" s="31">
        <f>308</f>
        <v>308</v>
      </c>
      <c r="BH308" s="42">
        <f>F308*AO308</f>
        <v>0</v>
      </c>
      <c r="BI308" s="42">
        <f>F308*AP308</f>
        <v>0</v>
      </c>
      <c r="BJ308" s="42">
        <f>F308*G308</f>
        <v>0</v>
      </c>
      <c r="BK308" s="45" t="s">
        <v>70</v>
      </c>
      <c r="BL308" s="31">
        <v>781</v>
      </c>
      <c r="BW308" s="31">
        <v>21</v>
      </c>
      <c r="BX308" s="41" t="s">
        <v>571</v>
      </c>
    </row>
    <row r="309" spans="1:76" x14ac:dyDescent="0.25">
      <c r="A309" s="35"/>
      <c r="C309" s="36" t="s">
        <v>572</v>
      </c>
      <c r="D309" s="36" t="s">
        <v>52</v>
      </c>
      <c r="F309" s="37">
        <v>0</v>
      </c>
      <c r="K309" s="38"/>
    </row>
    <row r="310" spans="1:76" x14ac:dyDescent="0.25">
      <c r="A310" s="35"/>
      <c r="C310" s="36" t="s">
        <v>573</v>
      </c>
      <c r="D310" s="36" t="s">
        <v>574</v>
      </c>
      <c r="F310" s="37">
        <v>0.42749999999999999</v>
      </c>
      <c r="K310" s="38"/>
    </row>
    <row r="311" spans="1:76" x14ac:dyDescent="0.25">
      <c r="A311" s="35"/>
      <c r="C311" s="36" t="s">
        <v>575</v>
      </c>
      <c r="D311" s="36" t="s">
        <v>427</v>
      </c>
      <c r="F311" s="37">
        <v>0.1875</v>
      </c>
      <c r="K311" s="38"/>
    </row>
    <row r="312" spans="1:76" x14ac:dyDescent="0.25">
      <c r="A312" s="35"/>
      <c r="C312" s="36" t="s">
        <v>576</v>
      </c>
      <c r="D312" s="36" t="s">
        <v>52</v>
      </c>
      <c r="F312" s="37">
        <v>6.1499999999999999E-2</v>
      </c>
      <c r="K312" s="38"/>
    </row>
    <row r="313" spans="1:76" x14ac:dyDescent="0.25">
      <c r="A313" s="2" t="s">
        <v>577</v>
      </c>
      <c r="B313" s="3" t="s">
        <v>578</v>
      </c>
      <c r="C313" s="112" t="s">
        <v>579</v>
      </c>
      <c r="D313" s="107"/>
      <c r="E313" s="3" t="s">
        <v>59</v>
      </c>
      <c r="F313" s="31">
        <v>13.9625</v>
      </c>
      <c r="G313" s="32">
        <v>0</v>
      </c>
      <c r="H313" s="31">
        <f>ROUND(F313*AO313,2)</f>
        <v>0</v>
      </c>
      <c r="I313" s="31">
        <f>ROUND(F313*AP313,2)</f>
        <v>0</v>
      </c>
      <c r="J313" s="31">
        <f>ROUND(F313*G313,2)</f>
        <v>0</v>
      </c>
      <c r="K313" s="33" t="s">
        <v>60</v>
      </c>
      <c r="Z313" s="31">
        <f>ROUND(IF(AQ313="5",BJ313,0),2)</f>
        <v>0</v>
      </c>
      <c r="AB313" s="31">
        <f>ROUND(IF(AQ313="1",BH313,0),2)</f>
        <v>0</v>
      </c>
      <c r="AC313" s="31">
        <f>ROUND(IF(AQ313="1",BI313,0),2)</f>
        <v>0</v>
      </c>
      <c r="AD313" s="31">
        <f>ROUND(IF(AQ313="7",BH313,0),2)</f>
        <v>0</v>
      </c>
      <c r="AE313" s="31">
        <f>ROUND(IF(AQ313="7",BI313,0),2)</f>
        <v>0</v>
      </c>
      <c r="AF313" s="31">
        <f>ROUND(IF(AQ313="2",BH313,0),2)</f>
        <v>0</v>
      </c>
      <c r="AG313" s="31">
        <f>ROUND(IF(AQ313="2",BI313,0),2)</f>
        <v>0</v>
      </c>
      <c r="AH313" s="31">
        <f>ROUND(IF(AQ313="0",BJ313,0),2)</f>
        <v>0</v>
      </c>
      <c r="AI313" s="11" t="s">
        <v>56</v>
      </c>
      <c r="AJ313" s="31">
        <f>IF(AN313=0,J313,0)</f>
        <v>0</v>
      </c>
      <c r="AK313" s="31">
        <f>IF(AN313=12,J313,0)</f>
        <v>0</v>
      </c>
      <c r="AL313" s="31">
        <f>IF(AN313=21,J313,0)</f>
        <v>0</v>
      </c>
      <c r="AN313" s="31">
        <v>21</v>
      </c>
      <c r="AO313" s="31">
        <f>G313*0.42253687</f>
        <v>0</v>
      </c>
      <c r="AP313" s="31">
        <f>G313*(1-0.42253687)</f>
        <v>0</v>
      </c>
      <c r="AQ313" s="34" t="s">
        <v>101</v>
      </c>
      <c r="AV313" s="31">
        <f>ROUND(AW313+AX313,2)</f>
        <v>0</v>
      </c>
      <c r="AW313" s="31">
        <f>ROUND(F313*AO313,2)</f>
        <v>0</v>
      </c>
      <c r="AX313" s="31">
        <f>ROUND(F313*AP313,2)</f>
        <v>0</v>
      </c>
      <c r="AY313" s="34" t="s">
        <v>536</v>
      </c>
      <c r="AZ313" s="34" t="s">
        <v>537</v>
      </c>
      <c r="BA313" s="11" t="s">
        <v>63</v>
      </c>
      <c r="BC313" s="31">
        <f>AW313+AX313</f>
        <v>0</v>
      </c>
      <c r="BD313" s="31">
        <f>G313/(100-BE313)*100</f>
        <v>0</v>
      </c>
      <c r="BE313" s="31">
        <v>0</v>
      </c>
      <c r="BF313" s="31">
        <f>313</f>
        <v>313</v>
      </c>
      <c r="BH313" s="31">
        <f>F313*AO313</f>
        <v>0</v>
      </c>
      <c r="BI313" s="31">
        <f>F313*AP313</f>
        <v>0</v>
      </c>
      <c r="BJ313" s="31">
        <f>F313*G313</f>
        <v>0</v>
      </c>
      <c r="BK313" s="34" t="s">
        <v>64</v>
      </c>
      <c r="BL313" s="31">
        <v>781</v>
      </c>
      <c r="BW313" s="31">
        <v>21</v>
      </c>
      <c r="BX313" s="5" t="s">
        <v>579</v>
      </c>
    </row>
    <row r="314" spans="1:76" x14ac:dyDescent="0.25">
      <c r="A314" s="35"/>
      <c r="C314" s="36" t="s">
        <v>559</v>
      </c>
      <c r="D314" s="36" t="s">
        <v>462</v>
      </c>
      <c r="F314" s="37">
        <v>1.35</v>
      </c>
      <c r="K314" s="38"/>
    </row>
    <row r="315" spans="1:76" x14ac:dyDescent="0.25">
      <c r="A315" s="35"/>
      <c r="C315" s="36" t="s">
        <v>560</v>
      </c>
      <c r="D315" s="36" t="s">
        <v>464</v>
      </c>
      <c r="F315" s="37">
        <v>1.08</v>
      </c>
      <c r="K315" s="38"/>
    </row>
    <row r="316" spans="1:76" x14ac:dyDescent="0.25">
      <c r="A316" s="35"/>
      <c r="C316" s="36" t="s">
        <v>545</v>
      </c>
      <c r="D316" s="36" t="s">
        <v>546</v>
      </c>
      <c r="F316" s="37">
        <v>4.0949999999999998</v>
      </c>
      <c r="K316" s="38"/>
    </row>
    <row r="317" spans="1:76" x14ac:dyDescent="0.25">
      <c r="A317" s="35"/>
      <c r="C317" s="36" t="s">
        <v>547</v>
      </c>
      <c r="D317" s="36" t="s">
        <v>427</v>
      </c>
      <c r="F317" s="37">
        <v>2.4375</v>
      </c>
      <c r="K317" s="38"/>
    </row>
    <row r="318" spans="1:76" x14ac:dyDescent="0.25">
      <c r="A318" s="35"/>
      <c r="C318" s="36" t="s">
        <v>85</v>
      </c>
      <c r="D318" s="36" t="s">
        <v>541</v>
      </c>
      <c r="F318" s="37">
        <v>5</v>
      </c>
      <c r="K318" s="38"/>
    </row>
    <row r="319" spans="1:76" x14ac:dyDescent="0.25">
      <c r="A319" s="2" t="s">
        <v>580</v>
      </c>
      <c r="B319" s="3" t="s">
        <v>581</v>
      </c>
      <c r="C319" s="112" t="s">
        <v>582</v>
      </c>
      <c r="D319" s="107"/>
      <c r="E319" s="3" t="s">
        <v>215</v>
      </c>
      <c r="F319" s="31">
        <v>15.9</v>
      </c>
      <c r="G319" s="32">
        <v>0</v>
      </c>
      <c r="H319" s="31">
        <f>ROUND(F319*AO319,2)</f>
        <v>0</v>
      </c>
      <c r="I319" s="31">
        <f>ROUND(F319*AP319,2)</f>
        <v>0</v>
      </c>
      <c r="J319" s="31">
        <f>ROUND(F319*G319,2)</f>
        <v>0</v>
      </c>
      <c r="K319" s="33" t="s">
        <v>60</v>
      </c>
      <c r="Z319" s="31">
        <f>ROUND(IF(AQ319="5",BJ319,0),2)</f>
        <v>0</v>
      </c>
      <c r="AB319" s="31">
        <f>ROUND(IF(AQ319="1",BH319,0),2)</f>
        <v>0</v>
      </c>
      <c r="AC319" s="31">
        <f>ROUND(IF(AQ319="1",BI319,0),2)</f>
        <v>0</v>
      </c>
      <c r="AD319" s="31">
        <f>ROUND(IF(AQ319="7",BH319,0),2)</f>
        <v>0</v>
      </c>
      <c r="AE319" s="31">
        <f>ROUND(IF(AQ319="7",BI319,0),2)</f>
        <v>0</v>
      </c>
      <c r="AF319" s="31">
        <f>ROUND(IF(AQ319="2",BH319,0),2)</f>
        <v>0</v>
      </c>
      <c r="AG319" s="31">
        <f>ROUND(IF(AQ319="2",BI319,0),2)</f>
        <v>0</v>
      </c>
      <c r="AH319" s="31">
        <f>ROUND(IF(AQ319="0",BJ319,0),2)</f>
        <v>0</v>
      </c>
      <c r="AI319" s="11" t="s">
        <v>56</v>
      </c>
      <c r="AJ319" s="31">
        <f>IF(AN319=0,J319,0)</f>
        <v>0</v>
      </c>
      <c r="AK319" s="31">
        <f>IF(AN319=12,J319,0)</f>
        <v>0</v>
      </c>
      <c r="AL319" s="31">
        <f>IF(AN319=21,J319,0)</f>
        <v>0</v>
      </c>
      <c r="AN319" s="31">
        <v>21</v>
      </c>
      <c r="AO319" s="31">
        <f>G319*0.044220261</f>
        <v>0</v>
      </c>
      <c r="AP319" s="31">
        <f>G319*(1-0.044220261)</f>
        <v>0</v>
      </c>
      <c r="AQ319" s="34" t="s">
        <v>101</v>
      </c>
      <c r="AV319" s="31">
        <f>ROUND(AW319+AX319,2)</f>
        <v>0</v>
      </c>
      <c r="AW319" s="31">
        <f>ROUND(F319*AO319,2)</f>
        <v>0</v>
      </c>
      <c r="AX319" s="31">
        <f>ROUND(F319*AP319,2)</f>
        <v>0</v>
      </c>
      <c r="AY319" s="34" t="s">
        <v>536</v>
      </c>
      <c r="AZ319" s="34" t="s">
        <v>537</v>
      </c>
      <c r="BA319" s="11" t="s">
        <v>63</v>
      </c>
      <c r="BC319" s="31">
        <f>AW319+AX319</f>
        <v>0</v>
      </c>
      <c r="BD319" s="31">
        <f>G319/(100-BE319)*100</f>
        <v>0</v>
      </c>
      <c r="BE319" s="31">
        <v>0</v>
      </c>
      <c r="BF319" s="31">
        <f>319</f>
        <v>319</v>
      </c>
      <c r="BH319" s="31">
        <f>F319*AO319</f>
        <v>0</v>
      </c>
      <c r="BI319" s="31">
        <f>F319*AP319</f>
        <v>0</v>
      </c>
      <c r="BJ319" s="31">
        <f>F319*G319</f>
        <v>0</v>
      </c>
      <c r="BK319" s="34" t="s">
        <v>64</v>
      </c>
      <c r="BL319" s="31">
        <v>781</v>
      </c>
      <c r="BW319" s="31">
        <v>21</v>
      </c>
      <c r="BX319" s="5" t="s">
        <v>582</v>
      </c>
    </row>
    <row r="320" spans="1:76" x14ac:dyDescent="0.25">
      <c r="A320" s="35"/>
      <c r="C320" s="36" t="s">
        <v>583</v>
      </c>
      <c r="D320" s="36" t="s">
        <v>52</v>
      </c>
      <c r="F320" s="37">
        <v>15.9</v>
      </c>
      <c r="K320" s="38"/>
    </row>
    <row r="321" spans="1:76" x14ac:dyDescent="0.25">
      <c r="A321" s="2" t="s">
        <v>584</v>
      </c>
      <c r="B321" s="3" t="s">
        <v>585</v>
      </c>
      <c r="C321" s="112" t="s">
        <v>586</v>
      </c>
      <c r="D321" s="107"/>
      <c r="E321" s="3" t="s">
        <v>215</v>
      </c>
      <c r="F321" s="31">
        <v>14.55</v>
      </c>
      <c r="G321" s="32">
        <v>0</v>
      </c>
      <c r="H321" s="31">
        <f>ROUND(F321*AO321,2)</f>
        <v>0</v>
      </c>
      <c r="I321" s="31">
        <f>ROUND(F321*AP321,2)</f>
        <v>0</v>
      </c>
      <c r="J321" s="31">
        <f>ROUND(F321*G321,2)</f>
        <v>0</v>
      </c>
      <c r="K321" s="33" t="s">
        <v>60</v>
      </c>
      <c r="Z321" s="31">
        <f>ROUND(IF(AQ321="5",BJ321,0),2)</f>
        <v>0</v>
      </c>
      <c r="AB321" s="31">
        <f>ROUND(IF(AQ321="1",BH321,0),2)</f>
        <v>0</v>
      </c>
      <c r="AC321" s="31">
        <f>ROUND(IF(AQ321="1",BI321,0),2)</f>
        <v>0</v>
      </c>
      <c r="AD321" s="31">
        <f>ROUND(IF(AQ321="7",BH321,0),2)</f>
        <v>0</v>
      </c>
      <c r="AE321" s="31">
        <f>ROUND(IF(AQ321="7",BI321,0),2)</f>
        <v>0</v>
      </c>
      <c r="AF321" s="31">
        <f>ROUND(IF(AQ321="2",BH321,0),2)</f>
        <v>0</v>
      </c>
      <c r="AG321" s="31">
        <f>ROUND(IF(AQ321="2",BI321,0),2)</f>
        <v>0</v>
      </c>
      <c r="AH321" s="31">
        <f>ROUND(IF(AQ321="0",BJ321,0),2)</f>
        <v>0</v>
      </c>
      <c r="AI321" s="11" t="s">
        <v>56</v>
      </c>
      <c r="AJ321" s="31">
        <f>IF(AN321=0,J321,0)</f>
        <v>0</v>
      </c>
      <c r="AK321" s="31">
        <f>IF(AN321=12,J321,0)</f>
        <v>0</v>
      </c>
      <c r="AL321" s="31">
        <f>IF(AN321=21,J321,0)</f>
        <v>0</v>
      </c>
      <c r="AN321" s="31">
        <v>21</v>
      </c>
      <c r="AO321" s="31">
        <f>G321*0</f>
        <v>0</v>
      </c>
      <c r="AP321" s="31">
        <f>G321*(1-0)</f>
        <v>0</v>
      </c>
      <c r="AQ321" s="34" t="s">
        <v>101</v>
      </c>
      <c r="AV321" s="31">
        <f>ROUND(AW321+AX321,2)</f>
        <v>0</v>
      </c>
      <c r="AW321" s="31">
        <f>ROUND(F321*AO321,2)</f>
        <v>0</v>
      </c>
      <c r="AX321" s="31">
        <f>ROUND(F321*AP321,2)</f>
        <v>0</v>
      </c>
      <c r="AY321" s="34" t="s">
        <v>536</v>
      </c>
      <c r="AZ321" s="34" t="s">
        <v>537</v>
      </c>
      <c r="BA321" s="11" t="s">
        <v>63</v>
      </c>
      <c r="BC321" s="31">
        <f>AW321+AX321</f>
        <v>0</v>
      </c>
      <c r="BD321" s="31">
        <f>G321/(100-BE321)*100</f>
        <v>0</v>
      </c>
      <c r="BE321" s="31">
        <v>0</v>
      </c>
      <c r="BF321" s="31">
        <f>321</f>
        <v>321</v>
      </c>
      <c r="BH321" s="31">
        <f>F321*AO321</f>
        <v>0</v>
      </c>
      <c r="BI321" s="31">
        <f>F321*AP321</f>
        <v>0</v>
      </c>
      <c r="BJ321" s="31">
        <f>F321*G321</f>
        <v>0</v>
      </c>
      <c r="BK321" s="34" t="s">
        <v>64</v>
      </c>
      <c r="BL321" s="31">
        <v>781</v>
      </c>
      <c r="BW321" s="31">
        <v>21</v>
      </c>
      <c r="BX321" s="5" t="s">
        <v>586</v>
      </c>
    </row>
    <row r="322" spans="1:76" x14ac:dyDescent="0.25">
      <c r="A322" s="35"/>
      <c r="C322" s="36" t="s">
        <v>587</v>
      </c>
      <c r="D322" s="36" t="s">
        <v>546</v>
      </c>
      <c r="F322" s="37">
        <v>6</v>
      </c>
      <c r="K322" s="38"/>
    </row>
    <row r="323" spans="1:76" x14ac:dyDescent="0.25">
      <c r="A323" s="35"/>
      <c r="C323" s="36" t="s">
        <v>588</v>
      </c>
      <c r="D323" s="36" t="s">
        <v>427</v>
      </c>
      <c r="F323" s="37">
        <v>3.15</v>
      </c>
      <c r="K323" s="38"/>
    </row>
    <row r="324" spans="1:76" x14ac:dyDescent="0.25">
      <c r="A324" s="35"/>
      <c r="C324" s="36" t="s">
        <v>589</v>
      </c>
      <c r="D324" s="36" t="s">
        <v>462</v>
      </c>
      <c r="F324" s="37">
        <v>2.4</v>
      </c>
      <c r="K324" s="38"/>
    </row>
    <row r="325" spans="1:76" x14ac:dyDescent="0.25">
      <c r="A325" s="35"/>
      <c r="C325" s="36" t="s">
        <v>590</v>
      </c>
      <c r="D325" s="36" t="s">
        <v>464</v>
      </c>
      <c r="F325" s="37">
        <v>3</v>
      </c>
      <c r="K325" s="38"/>
    </row>
    <row r="326" spans="1:76" x14ac:dyDescent="0.25">
      <c r="A326" s="39" t="s">
        <v>591</v>
      </c>
      <c r="B326" s="40" t="s">
        <v>592</v>
      </c>
      <c r="C326" s="135" t="s">
        <v>593</v>
      </c>
      <c r="D326" s="136"/>
      <c r="E326" s="40" t="s">
        <v>81</v>
      </c>
      <c r="F326" s="42">
        <v>6.1109999999999998</v>
      </c>
      <c r="G326" s="43">
        <v>0</v>
      </c>
      <c r="H326" s="42">
        <f>ROUND(F326*AO326,2)</f>
        <v>0</v>
      </c>
      <c r="I326" s="42">
        <f>ROUND(F326*AP326,2)</f>
        <v>0</v>
      </c>
      <c r="J326" s="42">
        <f>ROUND(F326*G326,2)</f>
        <v>0</v>
      </c>
      <c r="K326" s="44" t="s">
        <v>60</v>
      </c>
      <c r="Z326" s="31">
        <f>ROUND(IF(AQ326="5",BJ326,0),2)</f>
        <v>0</v>
      </c>
      <c r="AB326" s="31">
        <f>ROUND(IF(AQ326="1",BH326,0),2)</f>
        <v>0</v>
      </c>
      <c r="AC326" s="31">
        <f>ROUND(IF(AQ326="1",BI326,0),2)</f>
        <v>0</v>
      </c>
      <c r="AD326" s="31">
        <f>ROUND(IF(AQ326="7",BH326,0),2)</f>
        <v>0</v>
      </c>
      <c r="AE326" s="31">
        <f>ROUND(IF(AQ326="7",BI326,0),2)</f>
        <v>0</v>
      </c>
      <c r="AF326" s="31">
        <f>ROUND(IF(AQ326="2",BH326,0),2)</f>
        <v>0</v>
      </c>
      <c r="AG326" s="31">
        <f>ROUND(IF(AQ326="2",BI326,0),2)</f>
        <v>0</v>
      </c>
      <c r="AH326" s="31">
        <f>ROUND(IF(AQ326="0",BJ326,0),2)</f>
        <v>0</v>
      </c>
      <c r="AI326" s="11" t="s">
        <v>56</v>
      </c>
      <c r="AJ326" s="42">
        <f>IF(AN326=0,J326,0)</f>
        <v>0</v>
      </c>
      <c r="AK326" s="42">
        <f>IF(AN326=12,J326,0)</f>
        <v>0</v>
      </c>
      <c r="AL326" s="42">
        <f>IF(AN326=21,J326,0)</f>
        <v>0</v>
      </c>
      <c r="AN326" s="31">
        <v>21</v>
      </c>
      <c r="AO326" s="31">
        <f>G326*1</f>
        <v>0</v>
      </c>
      <c r="AP326" s="31">
        <f>G326*(1-1)</f>
        <v>0</v>
      </c>
      <c r="AQ326" s="45" t="s">
        <v>101</v>
      </c>
      <c r="AV326" s="31">
        <f>ROUND(AW326+AX326,2)</f>
        <v>0</v>
      </c>
      <c r="AW326" s="31">
        <f>ROUND(F326*AO326,2)</f>
        <v>0</v>
      </c>
      <c r="AX326" s="31">
        <f>ROUND(F326*AP326,2)</f>
        <v>0</v>
      </c>
      <c r="AY326" s="34" t="s">
        <v>536</v>
      </c>
      <c r="AZ326" s="34" t="s">
        <v>537</v>
      </c>
      <c r="BA326" s="11" t="s">
        <v>63</v>
      </c>
      <c r="BC326" s="31">
        <f>AW326+AX326</f>
        <v>0</v>
      </c>
      <c r="BD326" s="31">
        <f>G326/(100-BE326)*100</f>
        <v>0</v>
      </c>
      <c r="BE326" s="31">
        <v>0</v>
      </c>
      <c r="BF326" s="31">
        <f>326</f>
        <v>326</v>
      </c>
      <c r="BH326" s="42">
        <f>F326*AO326</f>
        <v>0</v>
      </c>
      <c r="BI326" s="42">
        <f>F326*AP326</f>
        <v>0</v>
      </c>
      <c r="BJ326" s="42">
        <f>F326*G326</f>
        <v>0</v>
      </c>
      <c r="BK326" s="45" t="s">
        <v>70</v>
      </c>
      <c r="BL326" s="31">
        <v>781</v>
      </c>
      <c r="BW326" s="31">
        <v>21</v>
      </c>
      <c r="BX326" s="41" t="s">
        <v>593</v>
      </c>
    </row>
    <row r="327" spans="1:76" x14ac:dyDescent="0.25">
      <c r="A327" s="35"/>
      <c r="C327" s="36" t="s">
        <v>594</v>
      </c>
      <c r="D327" s="36" t="s">
        <v>52</v>
      </c>
      <c r="F327" s="37">
        <v>0</v>
      </c>
      <c r="K327" s="38"/>
    </row>
    <row r="328" spans="1:76" x14ac:dyDescent="0.25">
      <c r="A328" s="35"/>
      <c r="C328" s="36" t="s">
        <v>595</v>
      </c>
      <c r="D328" s="36" t="s">
        <v>546</v>
      </c>
      <c r="F328" s="37">
        <v>2.4</v>
      </c>
      <c r="K328" s="38"/>
    </row>
    <row r="329" spans="1:76" x14ac:dyDescent="0.25">
      <c r="A329" s="35"/>
      <c r="C329" s="36" t="s">
        <v>596</v>
      </c>
      <c r="D329" s="36" t="s">
        <v>427</v>
      </c>
      <c r="F329" s="37">
        <v>1.26</v>
      </c>
      <c r="K329" s="38"/>
    </row>
    <row r="330" spans="1:76" x14ac:dyDescent="0.25">
      <c r="A330" s="35"/>
      <c r="C330" s="36" t="s">
        <v>597</v>
      </c>
      <c r="D330" s="36" t="s">
        <v>462</v>
      </c>
      <c r="F330" s="37">
        <v>0.96</v>
      </c>
      <c r="K330" s="38"/>
    </row>
    <row r="331" spans="1:76" x14ac:dyDescent="0.25">
      <c r="A331" s="35"/>
      <c r="C331" s="36" t="s">
        <v>598</v>
      </c>
      <c r="D331" s="36" t="s">
        <v>464</v>
      </c>
      <c r="F331" s="37">
        <v>1.2</v>
      </c>
      <c r="K331" s="38"/>
    </row>
    <row r="332" spans="1:76" x14ac:dyDescent="0.25">
      <c r="A332" s="35"/>
      <c r="C332" s="36" t="s">
        <v>599</v>
      </c>
      <c r="D332" s="36" t="s">
        <v>52</v>
      </c>
      <c r="F332" s="37">
        <v>0.29099999999999998</v>
      </c>
      <c r="K332" s="38"/>
    </row>
    <row r="333" spans="1:76" x14ac:dyDescent="0.25">
      <c r="A333" s="2" t="s">
        <v>600</v>
      </c>
      <c r="B333" s="3" t="s">
        <v>601</v>
      </c>
      <c r="C333" s="112" t="s">
        <v>602</v>
      </c>
      <c r="D333" s="107"/>
      <c r="E333" s="3" t="s">
        <v>276</v>
      </c>
      <c r="F333" s="31">
        <v>1.4734100000000001</v>
      </c>
      <c r="G333" s="32">
        <v>0</v>
      </c>
      <c r="H333" s="31">
        <f>ROUND(F333*AO333,2)</f>
        <v>0</v>
      </c>
      <c r="I333" s="31">
        <f>ROUND(F333*AP333,2)</f>
        <v>0</v>
      </c>
      <c r="J333" s="31">
        <f>ROUND(F333*G333,2)</f>
        <v>0</v>
      </c>
      <c r="K333" s="33" t="s">
        <v>60</v>
      </c>
      <c r="Z333" s="31">
        <f>ROUND(IF(AQ333="5",BJ333,0),2)</f>
        <v>0</v>
      </c>
      <c r="AB333" s="31">
        <f>ROUND(IF(AQ333="1",BH333,0),2)</f>
        <v>0</v>
      </c>
      <c r="AC333" s="31">
        <f>ROUND(IF(AQ333="1",BI333,0),2)</f>
        <v>0</v>
      </c>
      <c r="AD333" s="31">
        <f>ROUND(IF(AQ333="7",BH333,0),2)</f>
        <v>0</v>
      </c>
      <c r="AE333" s="31">
        <f>ROUND(IF(AQ333="7",BI333,0),2)</f>
        <v>0</v>
      </c>
      <c r="AF333" s="31">
        <f>ROUND(IF(AQ333="2",BH333,0),2)</f>
        <v>0</v>
      </c>
      <c r="AG333" s="31">
        <f>ROUND(IF(AQ333="2",BI333,0),2)</f>
        <v>0</v>
      </c>
      <c r="AH333" s="31">
        <f>ROUND(IF(AQ333="0",BJ333,0),2)</f>
        <v>0</v>
      </c>
      <c r="AI333" s="11" t="s">
        <v>56</v>
      </c>
      <c r="AJ333" s="31">
        <f>IF(AN333=0,J333,0)</f>
        <v>0</v>
      </c>
      <c r="AK333" s="31">
        <f>IF(AN333=12,J333,0)</f>
        <v>0</v>
      </c>
      <c r="AL333" s="31">
        <f>IF(AN333=21,J333,0)</f>
        <v>0</v>
      </c>
      <c r="AN333" s="31">
        <v>21</v>
      </c>
      <c r="AO333" s="31">
        <f>G333*0</f>
        <v>0</v>
      </c>
      <c r="AP333" s="31">
        <f>G333*(1-0)</f>
        <v>0</v>
      </c>
      <c r="AQ333" s="34" t="s">
        <v>85</v>
      </c>
      <c r="AV333" s="31">
        <f>ROUND(AW333+AX333,2)</f>
        <v>0</v>
      </c>
      <c r="AW333" s="31">
        <f>ROUND(F333*AO333,2)</f>
        <v>0</v>
      </c>
      <c r="AX333" s="31">
        <f>ROUND(F333*AP333,2)</f>
        <v>0</v>
      </c>
      <c r="AY333" s="34" t="s">
        <v>536</v>
      </c>
      <c r="AZ333" s="34" t="s">
        <v>537</v>
      </c>
      <c r="BA333" s="11" t="s">
        <v>63</v>
      </c>
      <c r="BC333" s="31">
        <f>AW333+AX333</f>
        <v>0</v>
      </c>
      <c r="BD333" s="31">
        <f>G333/(100-BE333)*100</f>
        <v>0</v>
      </c>
      <c r="BE333" s="31">
        <v>0</v>
      </c>
      <c r="BF333" s="31">
        <f>333</f>
        <v>333</v>
      </c>
      <c r="BH333" s="31">
        <f>F333*AO333</f>
        <v>0</v>
      </c>
      <c r="BI333" s="31">
        <f>F333*AP333</f>
        <v>0</v>
      </c>
      <c r="BJ333" s="31">
        <f>F333*G333</f>
        <v>0</v>
      </c>
      <c r="BK333" s="34" t="s">
        <v>64</v>
      </c>
      <c r="BL333" s="31">
        <v>781</v>
      </c>
      <c r="BW333" s="31">
        <v>21</v>
      </c>
      <c r="BX333" s="5" t="s">
        <v>602</v>
      </c>
    </row>
    <row r="334" spans="1:76" x14ac:dyDescent="0.25">
      <c r="A334" s="26" t="s">
        <v>52</v>
      </c>
      <c r="B334" s="27" t="s">
        <v>603</v>
      </c>
      <c r="C334" s="133" t="s">
        <v>604</v>
      </c>
      <c r="D334" s="134"/>
      <c r="E334" s="28" t="s">
        <v>4</v>
      </c>
      <c r="F334" s="28" t="s">
        <v>4</v>
      </c>
      <c r="G334" s="29" t="s">
        <v>4</v>
      </c>
      <c r="H334" s="1">
        <f>SUM(H335:H338)</f>
        <v>0</v>
      </c>
      <c r="I334" s="1">
        <f>SUM(I335:I338)</f>
        <v>0</v>
      </c>
      <c r="J334" s="1">
        <f>SUM(J335:J338)</f>
        <v>0</v>
      </c>
      <c r="K334" s="30" t="s">
        <v>52</v>
      </c>
      <c r="AI334" s="11" t="s">
        <v>56</v>
      </c>
      <c r="AS334" s="1">
        <f>SUM(AJ335:AJ338)</f>
        <v>0</v>
      </c>
      <c r="AT334" s="1">
        <f>SUM(AK335:AK338)</f>
        <v>0</v>
      </c>
      <c r="AU334" s="1">
        <f>SUM(AL335:AL338)</f>
        <v>0</v>
      </c>
    </row>
    <row r="335" spans="1:76" x14ac:dyDescent="0.25">
      <c r="A335" s="2" t="s">
        <v>605</v>
      </c>
      <c r="B335" s="3" t="s">
        <v>606</v>
      </c>
      <c r="C335" s="112" t="s">
        <v>607</v>
      </c>
      <c r="D335" s="107"/>
      <c r="E335" s="3" t="s">
        <v>59</v>
      </c>
      <c r="F335" s="31">
        <v>10.8</v>
      </c>
      <c r="G335" s="32">
        <v>0</v>
      </c>
      <c r="H335" s="31">
        <f>ROUND(F335*AO335,2)</f>
        <v>0</v>
      </c>
      <c r="I335" s="31">
        <f>ROUND(F335*AP335,2)</f>
        <v>0</v>
      </c>
      <c r="J335" s="31">
        <f>ROUND(F335*G335,2)</f>
        <v>0</v>
      </c>
      <c r="K335" s="33" t="s">
        <v>60</v>
      </c>
      <c r="Z335" s="31">
        <f>ROUND(IF(AQ335="5",BJ335,0),2)</f>
        <v>0</v>
      </c>
      <c r="AB335" s="31">
        <f>ROUND(IF(AQ335="1",BH335,0),2)</f>
        <v>0</v>
      </c>
      <c r="AC335" s="31">
        <f>ROUND(IF(AQ335="1",BI335,0),2)</f>
        <v>0</v>
      </c>
      <c r="AD335" s="31">
        <f>ROUND(IF(AQ335="7",BH335,0),2)</f>
        <v>0</v>
      </c>
      <c r="AE335" s="31">
        <f>ROUND(IF(AQ335="7",BI335,0),2)</f>
        <v>0</v>
      </c>
      <c r="AF335" s="31">
        <f>ROUND(IF(AQ335="2",BH335,0),2)</f>
        <v>0</v>
      </c>
      <c r="AG335" s="31">
        <f>ROUND(IF(AQ335="2",BI335,0),2)</f>
        <v>0</v>
      </c>
      <c r="AH335" s="31">
        <f>ROUND(IF(AQ335="0",BJ335,0),2)</f>
        <v>0</v>
      </c>
      <c r="AI335" s="11" t="s">
        <v>56</v>
      </c>
      <c r="AJ335" s="31">
        <f>IF(AN335=0,J335,0)</f>
        <v>0</v>
      </c>
      <c r="AK335" s="31">
        <f>IF(AN335=12,J335,0)</f>
        <v>0</v>
      </c>
      <c r="AL335" s="31">
        <f>IF(AN335=21,J335,0)</f>
        <v>0</v>
      </c>
      <c r="AN335" s="31">
        <v>21</v>
      </c>
      <c r="AO335" s="31">
        <f>G335*0.091917658</f>
        <v>0</v>
      </c>
      <c r="AP335" s="31">
        <f>G335*(1-0.091917658)</f>
        <v>0</v>
      </c>
      <c r="AQ335" s="34" t="s">
        <v>101</v>
      </c>
      <c r="AV335" s="31">
        <f>ROUND(AW335+AX335,2)</f>
        <v>0</v>
      </c>
      <c r="AW335" s="31">
        <f>ROUND(F335*AO335,2)</f>
        <v>0</v>
      </c>
      <c r="AX335" s="31">
        <f>ROUND(F335*AP335,2)</f>
        <v>0</v>
      </c>
      <c r="AY335" s="34" t="s">
        <v>608</v>
      </c>
      <c r="AZ335" s="34" t="s">
        <v>537</v>
      </c>
      <c r="BA335" s="11" t="s">
        <v>63</v>
      </c>
      <c r="BC335" s="31">
        <f>AW335+AX335</f>
        <v>0</v>
      </c>
      <c r="BD335" s="31">
        <f>G335/(100-BE335)*100</f>
        <v>0</v>
      </c>
      <c r="BE335" s="31">
        <v>0</v>
      </c>
      <c r="BF335" s="31">
        <f>335</f>
        <v>335</v>
      </c>
      <c r="BH335" s="31">
        <f>F335*AO335</f>
        <v>0</v>
      </c>
      <c r="BI335" s="31">
        <f>F335*AP335</f>
        <v>0</v>
      </c>
      <c r="BJ335" s="31">
        <f>F335*G335</f>
        <v>0</v>
      </c>
      <c r="BK335" s="34" t="s">
        <v>64</v>
      </c>
      <c r="BL335" s="31">
        <v>783</v>
      </c>
      <c r="BW335" s="31">
        <v>21</v>
      </c>
      <c r="BX335" s="5" t="s">
        <v>607</v>
      </c>
    </row>
    <row r="336" spans="1:76" x14ac:dyDescent="0.25">
      <c r="A336" s="35"/>
      <c r="C336" s="36" t="s">
        <v>609</v>
      </c>
      <c r="D336" s="36" t="s">
        <v>610</v>
      </c>
      <c r="F336" s="37">
        <v>7.83</v>
      </c>
      <c r="K336" s="38"/>
    </row>
    <row r="337" spans="1:76" x14ac:dyDescent="0.25">
      <c r="A337" s="35"/>
      <c r="C337" s="36" t="s">
        <v>611</v>
      </c>
      <c r="D337" s="36" t="s">
        <v>612</v>
      </c>
      <c r="F337" s="37">
        <v>2.97</v>
      </c>
      <c r="K337" s="38"/>
    </row>
    <row r="338" spans="1:76" x14ac:dyDescent="0.25">
      <c r="A338" s="2" t="s">
        <v>613</v>
      </c>
      <c r="B338" s="3" t="s">
        <v>614</v>
      </c>
      <c r="C338" s="112" t="s">
        <v>615</v>
      </c>
      <c r="D338" s="107"/>
      <c r="E338" s="3" t="s">
        <v>59</v>
      </c>
      <c r="F338" s="31">
        <v>10.8</v>
      </c>
      <c r="G338" s="32">
        <v>0</v>
      </c>
      <c r="H338" s="31">
        <f>ROUND(F338*AO338,2)</f>
        <v>0</v>
      </c>
      <c r="I338" s="31">
        <f>ROUND(F338*AP338,2)</f>
        <v>0</v>
      </c>
      <c r="J338" s="31">
        <f>ROUND(F338*G338,2)</f>
        <v>0</v>
      </c>
      <c r="K338" s="33" t="s">
        <v>60</v>
      </c>
      <c r="Z338" s="31">
        <f>ROUND(IF(AQ338="5",BJ338,0),2)</f>
        <v>0</v>
      </c>
      <c r="AB338" s="31">
        <f>ROUND(IF(AQ338="1",BH338,0),2)</f>
        <v>0</v>
      </c>
      <c r="AC338" s="31">
        <f>ROUND(IF(AQ338="1",BI338,0),2)</f>
        <v>0</v>
      </c>
      <c r="AD338" s="31">
        <f>ROUND(IF(AQ338="7",BH338,0),2)</f>
        <v>0</v>
      </c>
      <c r="AE338" s="31">
        <f>ROUND(IF(AQ338="7",BI338,0),2)</f>
        <v>0</v>
      </c>
      <c r="AF338" s="31">
        <f>ROUND(IF(AQ338="2",BH338,0),2)</f>
        <v>0</v>
      </c>
      <c r="AG338" s="31">
        <f>ROUND(IF(AQ338="2",BI338,0),2)</f>
        <v>0</v>
      </c>
      <c r="AH338" s="31">
        <f>ROUND(IF(AQ338="0",BJ338,0),2)</f>
        <v>0</v>
      </c>
      <c r="AI338" s="11" t="s">
        <v>56</v>
      </c>
      <c r="AJ338" s="31">
        <f>IF(AN338=0,J338,0)</f>
        <v>0</v>
      </c>
      <c r="AK338" s="31">
        <f>IF(AN338=12,J338,0)</f>
        <v>0</v>
      </c>
      <c r="AL338" s="31">
        <f>IF(AN338=21,J338,0)</f>
        <v>0</v>
      </c>
      <c r="AN338" s="31">
        <v>21</v>
      </c>
      <c r="AO338" s="31">
        <f>G338*0.359679012</f>
        <v>0</v>
      </c>
      <c r="AP338" s="31">
        <f>G338*(1-0.359679012)</f>
        <v>0</v>
      </c>
      <c r="AQ338" s="34" t="s">
        <v>101</v>
      </c>
      <c r="AV338" s="31">
        <f>ROUND(AW338+AX338,2)</f>
        <v>0</v>
      </c>
      <c r="AW338" s="31">
        <f>ROUND(F338*AO338,2)</f>
        <v>0</v>
      </c>
      <c r="AX338" s="31">
        <f>ROUND(F338*AP338,2)</f>
        <v>0</v>
      </c>
      <c r="AY338" s="34" t="s">
        <v>608</v>
      </c>
      <c r="AZ338" s="34" t="s">
        <v>537</v>
      </c>
      <c r="BA338" s="11" t="s">
        <v>63</v>
      </c>
      <c r="BC338" s="31">
        <f>AW338+AX338</f>
        <v>0</v>
      </c>
      <c r="BD338" s="31">
        <f>G338/(100-BE338)*100</f>
        <v>0</v>
      </c>
      <c r="BE338" s="31">
        <v>0</v>
      </c>
      <c r="BF338" s="31">
        <f>338</f>
        <v>338</v>
      </c>
      <c r="BH338" s="31">
        <f>F338*AO338</f>
        <v>0</v>
      </c>
      <c r="BI338" s="31">
        <f>F338*AP338</f>
        <v>0</v>
      </c>
      <c r="BJ338" s="31">
        <f>F338*G338</f>
        <v>0</v>
      </c>
      <c r="BK338" s="34" t="s">
        <v>64</v>
      </c>
      <c r="BL338" s="31">
        <v>783</v>
      </c>
      <c r="BW338" s="31">
        <v>21</v>
      </c>
      <c r="BX338" s="5" t="s">
        <v>615</v>
      </c>
    </row>
    <row r="339" spans="1:76" x14ac:dyDescent="0.25">
      <c r="A339" s="35"/>
      <c r="C339" s="36" t="s">
        <v>609</v>
      </c>
      <c r="D339" s="36" t="s">
        <v>610</v>
      </c>
      <c r="F339" s="37">
        <v>7.83</v>
      </c>
      <c r="K339" s="38"/>
    </row>
    <row r="340" spans="1:76" x14ac:dyDescent="0.25">
      <c r="A340" s="35"/>
      <c r="C340" s="36" t="s">
        <v>611</v>
      </c>
      <c r="D340" s="36" t="s">
        <v>612</v>
      </c>
      <c r="F340" s="37">
        <v>2.97</v>
      </c>
      <c r="K340" s="38"/>
    </row>
    <row r="341" spans="1:76" x14ac:dyDescent="0.25">
      <c r="A341" s="26" t="s">
        <v>52</v>
      </c>
      <c r="B341" s="27" t="s">
        <v>616</v>
      </c>
      <c r="C341" s="133" t="s">
        <v>617</v>
      </c>
      <c r="D341" s="134"/>
      <c r="E341" s="28" t="s">
        <v>4</v>
      </c>
      <c r="F341" s="28" t="s">
        <v>4</v>
      </c>
      <c r="G341" s="29" t="s">
        <v>4</v>
      </c>
      <c r="H341" s="1">
        <f>SUM(H342:H363)</f>
        <v>0</v>
      </c>
      <c r="I341" s="1">
        <f>SUM(I342:I363)</f>
        <v>0</v>
      </c>
      <c r="J341" s="1">
        <f>SUM(J342:J363)</f>
        <v>0</v>
      </c>
      <c r="K341" s="30" t="s">
        <v>52</v>
      </c>
      <c r="AI341" s="11" t="s">
        <v>56</v>
      </c>
      <c r="AS341" s="1">
        <f>SUM(AJ342:AJ363)</f>
        <v>0</v>
      </c>
      <c r="AT341" s="1">
        <f>SUM(AK342:AK363)</f>
        <v>0</v>
      </c>
      <c r="AU341" s="1">
        <f>SUM(AL342:AL363)</f>
        <v>0</v>
      </c>
    </row>
    <row r="342" spans="1:76" x14ac:dyDescent="0.25">
      <c r="A342" s="2" t="s">
        <v>618</v>
      </c>
      <c r="B342" s="3" t="s">
        <v>619</v>
      </c>
      <c r="C342" s="112" t="s">
        <v>620</v>
      </c>
      <c r="D342" s="107"/>
      <c r="E342" s="3" t="s">
        <v>59</v>
      </c>
      <c r="F342" s="31">
        <v>530.351</v>
      </c>
      <c r="G342" s="32">
        <v>0</v>
      </c>
      <c r="H342" s="31">
        <f>ROUND(F342*AO342,2)</f>
        <v>0</v>
      </c>
      <c r="I342" s="31">
        <f>ROUND(F342*AP342,2)</f>
        <v>0</v>
      </c>
      <c r="J342" s="31">
        <f>ROUND(F342*G342,2)</f>
        <v>0</v>
      </c>
      <c r="K342" s="33" t="s">
        <v>60</v>
      </c>
      <c r="Z342" s="31">
        <f>ROUND(IF(AQ342="5",BJ342,0),2)</f>
        <v>0</v>
      </c>
      <c r="AB342" s="31">
        <f>ROUND(IF(AQ342="1",BH342,0),2)</f>
        <v>0</v>
      </c>
      <c r="AC342" s="31">
        <f>ROUND(IF(AQ342="1",BI342,0),2)</f>
        <v>0</v>
      </c>
      <c r="AD342" s="31">
        <f>ROUND(IF(AQ342="7",BH342,0),2)</f>
        <v>0</v>
      </c>
      <c r="AE342" s="31">
        <f>ROUND(IF(AQ342="7",BI342,0),2)</f>
        <v>0</v>
      </c>
      <c r="AF342" s="31">
        <f>ROUND(IF(AQ342="2",BH342,0),2)</f>
        <v>0</v>
      </c>
      <c r="AG342" s="31">
        <f>ROUND(IF(AQ342="2",BI342,0),2)</f>
        <v>0</v>
      </c>
      <c r="AH342" s="31">
        <f>ROUND(IF(AQ342="0",BJ342,0),2)</f>
        <v>0</v>
      </c>
      <c r="AI342" s="11" t="s">
        <v>56</v>
      </c>
      <c r="AJ342" s="31">
        <f>IF(AN342=0,J342,0)</f>
        <v>0</v>
      </c>
      <c r="AK342" s="31">
        <f>IF(AN342=12,J342,0)</f>
        <v>0</v>
      </c>
      <c r="AL342" s="31">
        <f>IF(AN342=21,J342,0)</f>
        <v>0</v>
      </c>
      <c r="AN342" s="31">
        <v>21</v>
      </c>
      <c r="AO342" s="31">
        <f>G342*0.168508738</f>
        <v>0</v>
      </c>
      <c r="AP342" s="31">
        <f>G342*(1-0.168508738)</f>
        <v>0</v>
      </c>
      <c r="AQ342" s="34" t="s">
        <v>101</v>
      </c>
      <c r="AV342" s="31">
        <f>ROUND(AW342+AX342,2)</f>
        <v>0</v>
      </c>
      <c r="AW342" s="31">
        <f>ROUND(F342*AO342,2)</f>
        <v>0</v>
      </c>
      <c r="AX342" s="31">
        <f>ROUND(F342*AP342,2)</f>
        <v>0</v>
      </c>
      <c r="AY342" s="34" t="s">
        <v>621</v>
      </c>
      <c r="AZ342" s="34" t="s">
        <v>537</v>
      </c>
      <c r="BA342" s="11" t="s">
        <v>63</v>
      </c>
      <c r="BC342" s="31">
        <f>AW342+AX342</f>
        <v>0</v>
      </c>
      <c r="BD342" s="31">
        <f>G342/(100-BE342)*100</f>
        <v>0</v>
      </c>
      <c r="BE342" s="31">
        <v>0</v>
      </c>
      <c r="BF342" s="31">
        <f>342</f>
        <v>342</v>
      </c>
      <c r="BH342" s="31">
        <f>F342*AO342</f>
        <v>0</v>
      </c>
      <c r="BI342" s="31">
        <f>F342*AP342</f>
        <v>0</v>
      </c>
      <c r="BJ342" s="31">
        <f>F342*G342</f>
        <v>0</v>
      </c>
      <c r="BK342" s="34" t="s">
        <v>64</v>
      </c>
      <c r="BL342" s="31">
        <v>784</v>
      </c>
      <c r="BW342" s="31">
        <v>21</v>
      </c>
      <c r="BX342" s="5" t="s">
        <v>620</v>
      </c>
    </row>
    <row r="343" spans="1:76" x14ac:dyDescent="0.25">
      <c r="A343" s="35"/>
      <c r="C343" s="36" t="s">
        <v>622</v>
      </c>
      <c r="D343" s="36" t="s">
        <v>52</v>
      </c>
      <c r="F343" s="37">
        <v>0</v>
      </c>
      <c r="K343" s="38"/>
    </row>
    <row r="344" spans="1:76" x14ac:dyDescent="0.25">
      <c r="A344" s="35"/>
      <c r="C344" s="36" t="s">
        <v>623</v>
      </c>
      <c r="D344" s="36" t="s">
        <v>384</v>
      </c>
      <c r="F344" s="37">
        <v>59.965000000000003</v>
      </c>
      <c r="K344" s="38"/>
    </row>
    <row r="345" spans="1:76" x14ac:dyDescent="0.25">
      <c r="A345" s="35"/>
      <c r="C345" s="36" t="s">
        <v>624</v>
      </c>
      <c r="D345" s="36" t="s">
        <v>397</v>
      </c>
      <c r="F345" s="37">
        <v>29.545000000000002</v>
      </c>
      <c r="K345" s="38"/>
    </row>
    <row r="346" spans="1:76" x14ac:dyDescent="0.25">
      <c r="A346" s="35"/>
      <c r="C346" s="36" t="s">
        <v>625</v>
      </c>
      <c r="D346" s="36" t="s">
        <v>626</v>
      </c>
      <c r="F346" s="37">
        <v>16.670000000000002</v>
      </c>
      <c r="K346" s="38"/>
    </row>
    <row r="347" spans="1:76" x14ac:dyDescent="0.25">
      <c r="A347" s="35"/>
      <c r="C347" s="36" t="s">
        <v>627</v>
      </c>
      <c r="D347" s="36" t="s">
        <v>628</v>
      </c>
      <c r="F347" s="37">
        <v>89.724999999999994</v>
      </c>
      <c r="K347" s="38"/>
    </row>
    <row r="348" spans="1:76" x14ac:dyDescent="0.25">
      <c r="A348" s="35"/>
      <c r="C348" s="36" t="s">
        <v>629</v>
      </c>
      <c r="D348" s="36" t="s">
        <v>510</v>
      </c>
      <c r="F348" s="37">
        <v>48.63</v>
      </c>
      <c r="K348" s="38"/>
    </row>
    <row r="349" spans="1:76" x14ac:dyDescent="0.25">
      <c r="A349" s="35"/>
      <c r="C349" s="36" t="s">
        <v>630</v>
      </c>
      <c r="D349" s="36" t="s">
        <v>631</v>
      </c>
      <c r="F349" s="37">
        <v>51.435000000000002</v>
      </c>
      <c r="K349" s="38"/>
    </row>
    <row r="350" spans="1:76" x14ac:dyDescent="0.25">
      <c r="A350" s="35"/>
      <c r="C350" s="36" t="s">
        <v>632</v>
      </c>
      <c r="D350" s="36" t="s">
        <v>633</v>
      </c>
      <c r="F350" s="37">
        <v>12.35</v>
      </c>
      <c r="K350" s="38"/>
    </row>
    <row r="351" spans="1:76" x14ac:dyDescent="0.25">
      <c r="A351" s="35"/>
      <c r="C351" s="36" t="s">
        <v>634</v>
      </c>
      <c r="D351" s="36" t="s">
        <v>635</v>
      </c>
      <c r="F351" s="37">
        <v>28.774999999999999</v>
      </c>
      <c r="K351" s="38"/>
    </row>
    <row r="352" spans="1:76" x14ac:dyDescent="0.25">
      <c r="A352" s="35"/>
      <c r="C352" s="36" t="s">
        <v>636</v>
      </c>
      <c r="D352" s="36" t="s">
        <v>637</v>
      </c>
      <c r="F352" s="37">
        <v>35.375</v>
      </c>
      <c r="K352" s="38"/>
    </row>
    <row r="353" spans="1:76" x14ac:dyDescent="0.25">
      <c r="A353" s="35"/>
      <c r="C353" s="36" t="s">
        <v>638</v>
      </c>
      <c r="D353" s="36" t="s">
        <v>546</v>
      </c>
      <c r="F353" s="37">
        <v>13.234</v>
      </c>
      <c r="K353" s="38"/>
    </row>
    <row r="354" spans="1:76" x14ac:dyDescent="0.25">
      <c r="A354" s="35"/>
      <c r="C354" s="36" t="s">
        <v>639</v>
      </c>
      <c r="D354" s="36" t="s">
        <v>427</v>
      </c>
      <c r="F354" s="37">
        <v>9.58</v>
      </c>
      <c r="K354" s="38"/>
    </row>
    <row r="355" spans="1:76" x14ac:dyDescent="0.25">
      <c r="A355" s="35"/>
      <c r="C355" s="36" t="s">
        <v>640</v>
      </c>
      <c r="D355" s="36" t="s">
        <v>641</v>
      </c>
      <c r="F355" s="37">
        <v>4.1580000000000004</v>
      </c>
      <c r="K355" s="38"/>
    </row>
    <row r="356" spans="1:76" x14ac:dyDescent="0.25">
      <c r="A356" s="35"/>
      <c r="C356" s="36" t="s">
        <v>642</v>
      </c>
      <c r="D356" s="36" t="s">
        <v>643</v>
      </c>
      <c r="F356" s="37">
        <v>5.7539999999999996</v>
      </c>
      <c r="K356" s="38"/>
    </row>
    <row r="357" spans="1:76" x14ac:dyDescent="0.25">
      <c r="A357" s="35"/>
      <c r="C357" s="36" t="s">
        <v>644</v>
      </c>
      <c r="D357" s="36" t="s">
        <v>645</v>
      </c>
      <c r="F357" s="37">
        <v>8.76</v>
      </c>
      <c r="K357" s="38"/>
    </row>
    <row r="358" spans="1:76" x14ac:dyDescent="0.25">
      <c r="A358" s="35"/>
      <c r="C358" s="36" t="s">
        <v>646</v>
      </c>
      <c r="D358" s="36" t="s">
        <v>462</v>
      </c>
      <c r="F358" s="37">
        <v>58.984999999999999</v>
      </c>
      <c r="K358" s="38"/>
    </row>
    <row r="359" spans="1:76" x14ac:dyDescent="0.25">
      <c r="A359" s="35"/>
      <c r="C359" s="36" t="s">
        <v>647</v>
      </c>
      <c r="D359" s="36" t="s">
        <v>464</v>
      </c>
      <c r="F359" s="37">
        <v>57.41</v>
      </c>
      <c r="K359" s="38"/>
    </row>
    <row r="360" spans="1:76" x14ac:dyDescent="0.25">
      <c r="A360" s="2" t="s">
        <v>648</v>
      </c>
      <c r="B360" s="3" t="s">
        <v>649</v>
      </c>
      <c r="C360" s="112" t="s">
        <v>650</v>
      </c>
      <c r="D360" s="107"/>
      <c r="E360" s="3" t="s">
        <v>59</v>
      </c>
      <c r="F360" s="31">
        <v>125.24</v>
      </c>
      <c r="G360" s="32">
        <v>0</v>
      </c>
      <c r="H360" s="31">
        <f>ROUND(F360*AO360,2)</f>
        <v>0</v>
      </c>
      <c r="I360" s="31">
        <f>ROUND(F360*AP360,2)</f>
        <v>0</v>
      </c>
      <c r="J360" s="31">
        <f>ROUND(F360*G360,2)</f>
        <v>0</v>
      </c>
      <c r="K360" s="33" t="s">
        <v>60</v>
      </c>
      <c r="Z360" s="31">
        <f>ROUND(IF(AQ360="5",BJ360,0),2)</f>
        <v>0</v>
      </c>
      <c r="AB360" s="31">
        <f>ROUND(IF(AQ360="1",BH360,0),2)</f>
        <v>0</v>
      </c>
      <c r="AC360" s="31">
        <f>ROUND(IF(AQ360="1",BI360,0),2)</f>
        <v>0</v>
      </c>
      <c r="AD360" s="31">
        <f>ROUND(IF(AQ360="7",BH360,0),2)</f>
        <v>0</v>
      </c>
      <c r="AE360" s="31">
        <f>ROUND(IF(AQ360="7",BI360,0),2)</f>
        <v>0</v>
      </c>
      <c r="AF360" s="31">
        <f>ROUND(IF(AQ360="2",BH360,0),2)</f>
        <v>0</v>
      </c>
      <c r="AG360" s="31">
        <f>ROUND(IF(AQ360="2",BI360,0),2)</f>
        <v>0</v>
      </c>
      <c r="AH360" s="31">
        <f>ROUND(IF(AQ360="0",BJ360,0),2)</f>
        <v>0</v>
      </c>
      <c r="AI360" s="11" t="s">
        <v>56</v>
      </c>
      <c r="AJ360" s="31">
        <f>IF(AN360=0,J360,0)</f>
        <v>0</v>
      </c>
      <c r="AK360" s="31">
        <f>IF(AN360=12,J360,0)</f>
        <v>0</v>
      </c>
      <c r="AL360" s="31">
        <f>IF(AN360=21,J360,0)</f>
        <v>0</v>
      </c>
      <c r="AN360" s="31">
        <v>21</v>
      </c>
      <c r="AO360" s="31">
        <f>G360*0.577221825</f>
        <v>0</v>
      </c>
      <c r="AP360" s="31">
        <f>G360*(1-0.577221825)</f>
        <v>0</v>
      </c>
      <c r="AQ360" s="34" t="s">
        <v>101</v>
      </c>
      <c r="AV360" s="31">
        <f>ROUND(AW360+AX360,2)</f>
        <v>0</v>
      </c>
      <c r="AW360" s="31">
        <f>ROUND(F360*AO360,2)</f>
        <v>0</v>
      </c>
      <c r="AX360" s="31">
        <f>ROUND(F360*AP360,2)</f>
        <v>0</v>
      </c>
      <c r="AY360" s="34" t="s">
        <v>621</v>
      </c>
      <c r="AZ360" s="34" t="s">
        <v>537</v>
      </c>
      <c r="BA360" s="11" t="s">
        <v>63</v>
      </c>
      <c r="BC360" s="31">
        <f>AW360+AX360</f>
        <v>0</v>
      </c>
      <c r="BD360" s="31">
        <f>G360/(100-BE360)*100</f>
        <v>0</v>
      </c>
      <c r="BE360" s="31">
        <v>0</v>
      </c>
      <c r="BF360" s="31">
        <f>360</f>
        <v>360</v>
      </c>
      <c r="BH360" s="31">
        <f>F360*AO360</f>
        <v>0</v>
      </c>
      <c r="BI360" s="31">
        <f>F360*AP360</f>
        <v>0</v>
      </c>
      <c r="BJ360" s="31">
        <f>F360*G360</f>
        <v>0</v>
      </c>
      <c r="BK360" s="34" t="s">
        <v>64</v>
      </c>
      <c r="BL360" s="31">
        <v>784</v>
      </c>
      <c r="BW360" s="31">
        <v>21</v>
      </c>
      <c r="BX360" s="5" t="s">
        <v>650</v>
      </c>
    </row>
    <row r="361" spans="1:76" ht="13.5" customHeight="1" x14ac:dyDescent="0.25">
      <c r="A361" s="35"/>
      <c r="C361" s="137" t="s">
        <v>651</v>
      </c>
      <c r="D361" s="138"/>
      <c r="E361" s="138"/>
      <c r="F361" s="138"/>
      <c r="G361" s="139"/>
      <c r="H361" s="138"/>
      <c r="I361" s="138"/>
      <c r="J361" s="138"/>
      <c r="K361" s="140"/>
    </row>
    <row r="362" spans="1:76" x14ac:dyDescent="0.25">
      <c r="A362" s="35"/>
      <c r="C362" s="36" t="s">
        <v>652</v>
      </c>
      <c r="D362" s="36" t="s">
        <v>52</v>
      </c>
      <c r="F362" s="37">
        <v>125.24</v>
      </c>
      <c r="K362" s="38"/>
    </row>
    <row r="363" spans="1:76" x14ac:dyDescent="0.25">
      <c r="A363" s="2" t="s">
        <v>653</v>
      </c>
      <c r="B363" s="3" t="s">
        <v>654</v>
      </c>
      <c r="C363" s="112" t="s">
        <v>655</v>
      </c>
      <c r="D363" s="107"/>
      <c r="E363" s="3" t="s">
        <v>59</v>
      </c>
      <c r="F363" s="31">
        <v>86.002499999999998</v>
      </c>
      <c r="G363" s="32">
        <v>0</v>
      </c>
      <c r="H363" s="31">
        <f>ROUND(F363*AO363,2)</f>
        <v>0</v>
      </c>
      <c r="I363" s="31">
        <f>ROUND(F363*AP363,2)</f>
        <v>0</v>
      </c>
      <c r="J363" s="31">
        <f>ROUND(F363*G363,2)</f>
        <v>0</v>
      </c>
      <c r="K363" s="33" t="s">
        <v>60</v>
      </c>
      <c r="Z363" s="31">
        <f>ROUND(IF(AQ363="5",BJ363,0),2)</f>
        <v>0</v>
      </c>
      <c r="AB363" s="31">
        <f>ROUND(IF(AQ363="1",BH363,0),2)</f>
        <v>0</v>
      </c>
      <c r="AC363" s="31">
        <f>ROUND(IF(AQ363="1",BI363,0),2)</f>
        <v>0</v>
      </c>
      <c r="AD363" s="31">
        <f>ROUND(IF(AQ363="7",BH363,0),2)</f>
        <v>0</v>
      </c>
      <c r="AE363" s="31">
        <f>ROUND(IF(AQ363="7",BI363,0),2)</f>
        <v>0</v>
      </c>
      <c r="AF363" s="31">
        <f>ROUND(IF(AQ363="2",BH363,0),2)</f>
        <v>0</v>
      </c>
      <c r="AG363" s="31">
        <f>ROUND(IF(AQ363="2",BI363,0),2)</f>
        <v>0</v>
      </c>
      <c r="AH363" s="31">
        <f>ROUND(IF(AQ363="0",BJ363,0),2)</f>
        <v>0</v>
      </c>
      <c r="AI363" s="11" t="s">
        <v>56</v>
      </c>
      <c r="AJ363" s="31">
        <f>IF(AN363=0,J363,0)</f>
        <v>0</v>
      </c>
      <c r="AK363" s="31">
        <f>IF(AN363=12,J363,0)</f>
        <v>0</v>
      </c>
      <c r="AL363" s="31">
        <f>IF(AN363=21,J363,0)</f>
        <v>0</v>
      </c>
      <c r="AN363" s="31">
        <v>21</v>
      </c>
      <c r="AO363" s="31">
        <f>G363*0.236833517</f>
        <v>0</v>
      </c>
      <c r="AP363" s="31">
        <f>G363*(1-0.236833517)</f>
        <v>0</v>
      </c>
      <c r="AQ363" s="34" t="s">
        <v>101</v>
      </c>
      <c r="AV363" s="31">
        <f>ROUND(AW363+AX363,2)</f>
        <v>0</v>
      </c>
      <c r="AW363" s="31">
        <f>ROUND(F363*AO363,2)</f>
        <v>0</v>
      </c>
      <c r="AX363" s="31">
        <f>ROUND(F363*AP363,2)</f>
        <v>0</v>
      </c>
      <c r="AY363" s="34" t="s">
        <v>621</v>
      </c>
      <c r="AZ363" s="34" t="s">
        <v>537</v>
      </c>
      <c r="BA363" s="11" t="s">
        <v>63</v>
      </c>
      <c r="BC363" s="31">
        <f>AW363+AX363</f>
        <v>0</v>
      </c>
      <c r="BD363" s="31">
        <f>G363/(100-BE363)*100</f>
        <v>0</v>
      </c>
      <c r="BE363" s="31">
        <v>0</v>
      </c>
      <c r="BF363" s="31">
        <f>363</f>
        <v>363</v>
      </c>
      <c r="BH363" s="31">
        <f>F363*AO363</f>
        <v>0</v>
      </c>
      <c r="BI363" s="31">
        <f>F363*AP363</f>
        <v>0</v>
      </c>
      <c r="BJ363" s="31">
        <f>F363*G363</f>
        <v>0</v>
      </c>
      <c r="BK363" s="34" t="s">
        <v>64</v>
      </c>
      <c r="BL363" s="31">
        <v>784</v>
      </c>
      <c r="BW363" s="31">
        <v>21</v>
      </c>
      <c r="BX363" s="5" t="s">
        <v>655</v>
      </c>
    </row>
    <row r="364" spans="1:76" ht="13.5" customHeight="1" x14ac:dyDescent="0.25">
      <c r="A364" s="35"/>
      <c r="C364" s="137" t="s">
        <v>656</v>
      </c>
      <c r="D364" s="138"/>
      <c r="E364" s="138"/>
      <c r="F364" s="138"/>
      <c r="G364" s="139"/>
      <c r="H364" s="138"/>
      <c r="I364" s="138"/>
      <c r="J364" s="138"/>
      <c r="K364" s="140"/>
    </row>
    <row r="365" spans="1:76" x14ac:dyDescent="0.25">
      <c r="A365" s="35"/>
      <c r="C365" s="36" t="s">
        <v>657</v>
      </c>
      <c r="D365" s="36" t="s">
        <v>658</v>
      </c>
      <c r="F365" s="37">
        <v>4.2300000000000004</v>
      </c>
      <c r="K365" s="38"/>
    </row>
    <row r="366" spans="1:76" x14ac:dyDescent="0.25">
      <c r="A366" s="35"/>
      <c r="C366" s="36" t="s">
        <v>659</v>
      </c>
      <c r="D366" s="36" t="s">
        <v>660</v>
      </c>
      <c r="F366" s="37">
        <v>51.772500000000001</v>
      </c>
      <c r="K366" s="38"/>
    </row>
    <row r="367" spans="1:76" x14ac:dyDescent="0.25">
      <c r="A367" s="35"/>
      <c r="C367" s="36" t="s">
        <v>661</v>
      </c>
      <c r="D367" s="36" t="s">
        <v>662</v>
      </c>
      <c r="F367" s="37">
        <v>30</v>
      </c>
      <c r="K367" s="38"/>
    </row>
    <row r="368" spans="1:76" x14ac:dyDescent="0.25">
      <c r="A368" s="26" t="s">
        <v>52</v>
      </c>
      <c r="B368" s="27" t="s">
        <v>663</v>
      </c>
      <c r="C368" s="133" t="s">
        <v>664</v>
      </c>
      <c r="D368" s="134"/>
      <c r="E368" s="28" t="s">
        <v>4</v>
      </c>
      <c r="F368" s="28" t="s">
        <v>4</v>
      </c>
      <c r="G368" s="29" t="s">
        <v>4</v>
      </c>
      <c r="H368" s="1">
        <f>SUM(H369:H369)</f>
        <v>0</v>
      </c>
      <c r="I368" s="1">
        <f>SUM(I369:I369)</f>
        <v>0</v>
      </c>
      <c r="J368" s="1">
        <f>SUM(J369:J369)</f>
        <v>0</v>
      </c>
      <c r="K368" s="30" t="s">
        <v>52</v>
      </c>
      <c r="AI368" s="11" t="s">
        <v>56</v>
      </c>
      <c r="AS368" s="1">
        <f>SUM(AJ369:AJ369)</f>
        <v>0</v>
      </c>
      <c r="AT368" s="1">
        <f>SUM(AK369:AK369)</f>
        <v>0</v>
      </c>
      <c r="AU368" s="1">
        <f>SUM(AL369:AL369)</f>
        <v>0</v>
      </c>
    </row>
    <row r="369" spans="1:76" x14ac:dyDescent="0.25">
      <c r="A369" s="2" t="s">
        <v>665</v>
      </c>
      <c r="B369" s="3" t="s">
        <v>666</v>
      </c>
      <c r="C369" s="112" t="s">
        <v>667</v>
      </c>
      <c r="D369" s="107"/>
      <c r="E369" s="3" t="s">
        <v>59</v>
      </c>
      <c r="F369" s="31">
        <v>12.7</v>
      </c>
      <c r="G369" s="32">
        <v>0</v>
      </c>
      <c r="H369" s="31">
        <f>ROUND(F369*AO369,2)</f>
        <v>0</v>
      </c>
      <c r="I369" s="31">
        <f>ROUND(F369*AP369,2)</f>
        <v>0</v>
      </c>
      <c r="J369" s="31">
        <f>ROUND(F369*G369,2)</f>
        <v>0</v>
      </c>
      <c r="K369" s="33" t="s">
        <v>60</v>
      </c>
      <c r="Z369" s="31">
        <f>ROUND(IF(AQ369="5",BJ369,0),2)</f>
        <v>0</v>
      </c>
      <c r="AB369" s="31">
        <f>ROUND(IF(AQ369="1",BH369,0),2)</f>
        <v>0</v>
      </c>
      <c r="AC369" s="31">
        <f>ROUND(IF(AQ369="1",BI369,0),2)</f>
        <v>0</v>
      </c>
      <c r="AD369" s="31">
        <f>ROUND(IF(AQ369="7",BH369,0),2)</f>
        <v>0</v>
      </c>
      <c r="AE369" s="31">
        <f>ROUND(IF(AQ369="7",BI369,0),2)</f>
        <v>0</v>
      </c>
      <c r="AF369" s="31">
        <f>ROUND(IF(AQ369="2",BH369,0),2)</f>
        <v>0</v>
      </c>
      <c r="AG369" s="31">
        <f>ROUND(IF(AQ369="2",BI369,0),2)</f>
        <v>0</v>
      </c>
      <c r="AH369" s="31">
        <f>ROUND(IF(AQ369="0",BJ369,0),2)</f>
        <v>0</v>
      </c>
      <c r="AI369" s="11" t="s">
        <v>56</v>
      </c>
      <c r="AJ369" s="31">
        <f>IF(AN369=0,J369,0)</f>
        <v>0</v>
      </c>
      <c r="AK369" s="31">
        <f>IF(AN369=12,J369,0)</f>
        <v>0</v>
      </c>
      <c r="AL369" s="31">
        <f>IF(AN369=21,J369,0)</f>
        <v>0</v>
      </c>
      <c r="AN369" s="31">
        <v>21</v>
      </c>
      <c r="AO369" s="31">
        <f>G369*0</f>
        <v>0</v>
      </c>
      <c r="AP369" s="31">
        <f>G369*(1-0)</f>
        <v>0</v>
      </c>
      <c r="AQ369" s="34" t="s">
        <v>101</v>
      </c>
      <c r="AV369" s="31">
        <f>ROUND(AW369+AX369,2)</f>
        <v>0</v>
      </c>
      <c r="AW369" s="31">
        <f>ROUND(F369*AO369,2)</f>
        <v>0</v>
      </c>
      <c r="AX369" s="31">
        <f>ROUND(F369*AP369,2)</f>
        <v>0</v>
      </c>
      <c r="AY369" s="34" t="s">
        <v>668</v>
      </c>
      <c r="AZ369" s="34" t="s">
        <v>537</v>
      </c>
      <c r="BA369" s="11" t="s">
        <v>63</v>
      </c>
      <c r="BC369" s="31">
        <f>AW369+AX369</f>
        <v>0</v>
      </c>
      <c r="BD369" s="31">
        <f>G369/(100-BE369)*100</f>
        <v>0</v>
      </c>
      <c r="BE369" s="31">
        <v>0</v>
      </c>
      <c r="BF369" s="31">
        <f>369</f>
        <v>369</v>
      </c>
      <c r="BH369" s="31">
        <f>F369*AO369</f>
        <v>0</v>
      </c>
      <c r="BI369" s="31">
        <f>F369*AP369</f>
        <v>0</v>
      </c>
      <c r="BJ369" s="31">
        <f>F369*G369</f>
        <v>0</v>
      </c>
      <c r="BK369" s="34" t="s">
        <v>64</v>
      </c>
      <c r="BL369" s="31">
        <v>787</v>
      </c>
      <c r="BW369" s="31">
        <v>21</v>
      </c>
      <c r="BX369" s="5" t="s">
        <v>667</v>
      </c>
    </row>
    <row r="370" spans="1:76" x14ac:dyDescent="0.25">
      <c r="A370" s="35"/>
      <c r="C370" s="36" t="s">
        <v>669</v>
      </c>
      <c r="D370" s="36" t="s">
        <v>52</v>
      </c>
      <c r="F370" s="37">
        <v>12.7</v>
      </c>
      <c r="K370" s="38"/>
    </row>
    <row r="371" spans="1:76" x14ac:dyDescent="0.25">
      <c r="A371" s="26" t="s">
        <v>52</v>
      </c>
      <c r="B371" s="27" t="s">
        <v>580</v>
      </c>
      <c r="C371" s="133" t="s">
        <v>670</v>
      </c>
      <c r="D371" s="134"/>
      <c r="E371" s="28" t="s">
        <v>4</v>
      </c>
      <c r="F371" s="28" t="s">
        <v>4</v>
      </c>
      <c r="G371" s="29" t="s">
        <v>4</v>
      </c>
      <c r="H371" s="1">
        <f>SUM(H372:H379)</f>
        <v>0</v>
      </c>
      <c r="I371" s="1">
        <f>SUM(I372:I379)</f>
        <v>0</v>
      </c>
      <c r="J371" s="1">
        <f>SUM(J372:J379)</f>
        <v>0</v>
      </c>
      <c r="K371" s="30" t="s">
        <v>52</v>
      </c>
      <c r="AI371" s="11" t="s">
        <v>56</v>
      </c>
      <c r="AS371" s="1">
        <f>SUM(AJ372:AJ379)</f>
        <v>0</v>
      </c>
      <c r="AT371" s="1">
        <f>SUM(AK372:AK379)</f>
        <v>0</v>
      </c>
      <c r="AU371" s="1">
        <f>SUM(AL372:AL379)</f>
        <v>0</v>
      </c>
    </row>
    <row r="372" spans="1:76" x14ac:dyDescent="0.25">
      <c r="A372" s="2" t="s">
        <v>671</v>
      </c>
      <c r="B372" s="3" t="s">
        <v>672</v>
      </c>
      <c r="C372" s="112" t="s">
        <v>673</v>
      </c>
      <c r="D372" s="107"/>
      <c r="E372" s="3" t="s">
        <v>674</v>
      </c>
      <c r="F372" s="31">
        <v>16</v>
      </c>
      <c r="G372" s="32">
        <v>0</v>
      </c>
      <c r="H372" s="31">
        <f>ROUND(F372*AO372,2)</f>
        <v>0</v>
      </c>
      <c r="I372" s="31">
        <f>ROUND(F372*AP372,2)</f>
        <v>0</v>
      </c>
      <c r="J372" s="31">
        <f>ROUND(F372*G372,2)</f>
        <v>0</v>
      </c>
      <c r="K372" s="33" t="s">
        <v>60</v>
      </c>
      <c r="Z372" s="31">
        <f>ROUND(IF(AQ372="5",BJ372,0),2)</f>
        <v>0</v>
      </c>
      <c r="AB372" s="31">
        <f>ROUND(IF(AQ372="1",BH372,0),2)</f>
        <v>0</v>
      </c>
      <c r="AC372" s="31">
        <f>ROUND(IF(AQ372="1",BI372,0),2)</f>
        <v>0</v>
      </c>
      <c r="AD372" s="31">
        <f>ROUND(IF(AQ372="7",BH372,0),2)</f>
        <v>0</v>
      </c>
      <c r="AE372" s="31">
        <f>ROUND(IF(AQ372="7",BI372,0),2)</f>
        <v>0</v>
      </c>
      <c r="AF372" s="31">
        <f>ROUND(IF(AQ372="2",BH372,0),2)</f>
        <v>0</v>
      </c>
      <c r="AG372" s="31">
        <f>ROUND(IF(AQ372="2",BI372,0),2)</f>
        <v>0</v>
      </c>
      <c r="AH372" s="31">
        <f>ROUND(IF(AQ372="0",BJ372,0),2)</f>
        <v>0</v>
      </c>
      <c r="AI372" s="11" t="s">
        <v>56</v>
      </c>
      <c r="AJ372" s="31">
        <f>IF(AN372=0,J372,0)</f>
        <v>0</v>
      </c>
      <c r="AK372" s="31">
        <f>IF(AN372=12,J372,0)</f>
        <v>0</v>
      </c>
      <c r="AL372" s="31">
        <f>IF(AN372=21,J372,0)</f>
        <v>0</v>
      </c>
      <c r="AN372" s="31">
        <v>21</v>
      </c>
      <c r="AO372" s="31">
        <f>G372*0</f>
        <v>0</v>
      </c>
      <c r="AP372" s="31">
        <f>G372*(1-0)</f>
        <v>0</v>
      </c>
      <c r="AQ372" s="34" t="s">
        <v>56</v>
      </c>
      <c r="AV372" s="31">
        <f>ROUND(AW372+AX372,2)</f>
        <v>0</v>
      </c>
      <c r="AW372" s="31">
        <f>ROUND(F372*AO372,2)</f>
        <v>0</v>
      </c>
      <c r="AX372" s="31">
        <f>ROUND(F372*AP372,2)</f>
        <v>0</v>
      </c>
      <c r="AY372" s="34" t="s">
        <v>675</v>
      </c>
      <c r="AZ372" s="34" t="s">
        <v>676</v>
      </c>
      <c r="BA372" s="11" t="s">
        <v>63</v>
      </c>
      <c r="BC372" s="31">
        <f>AW372+AX372</f>
        <v>0</v>
      </c>
      <c r="BD372" s="31">
        <f>G372/(100-BE372)*100</f>
        <v>0</v>
      </c>
      <c r="BE372" s="31">
        <v>0</v>
      </c>
      <c r="BF372" s="31">
        <f>372</f>
        <v>372</v>
      </c>
      <c r="BH372" s="31">
        <f>F372*AO372</f>
        <v>0</v>
      </c>
      <c r="BI372" s="31">
        <f>F372*AP372</f>
        <v>0</v>
      </c>
      <c r="BJ372" s="31">
        <f>F372*G372</f>
        <v>0</v>
      </c>
      <c r="BK372" s="34" t="s">
        <v>64</v>
      </c>
      <c r="BL372" s="31">
        <v>90</v>
      </c>
      <c r="BW372" s="31">
        <v>21</v>
      </c>
      <c r="BX372" s="5" t="s">
        <v>673</v>
      </c>
    </row>
    <row r="373" spans="1:76" x14ac:dyDescent="0.25">
      <c r="A373" s="35"/>
      <c r="C373" s="36" t="s">
        <v>677</v>
      </c>
      <c r="D373" s="36" t="s">
        <v>52</v>
      </c>
      <c r="F373" s="37">
        <v>0</v>
      </c>
      <c r="K373" s="38"/>
    </row>
    <row r="374" spans="1:76" x14ac:dyDescent="0.25">
      <c r="A374" s="35"/>
      <c r="C374" s="36" t="s">
        <v>678</v>
      </c>
      <c r="D374" s="36" t="s">
        <v>52</v>
      </c>
      <c r="F374" s="37">
        <v>16</v>
      </c>
      <c r="K374" s="38"/>
    </row>
    <row r="375" spans="1:76" x14ac:dyDescent="0.25">
      <c r="A375" s="2" t="s">
        <v>679</v>
      </c>
      <c r="B375" s="3" t="s">
        <v>672</v>
      </c>
      <c r="C375" s="112" t="s">
        <v>680</v>
      </c>
      <c r="D375" s="107"/>
      <c r="E375" s="3" t="s">
        <v>674</v>
      </c>
      <c r="F375" s="31">
        <v>4</v>
      </c>
      <c r="G375" s="32">
        <v>0</v>
      </c>
      <c r="H375" s="31">
        <f>ROUND(F375*AO375,2)</f>
        <v>0</v>
      </c>
      <c r="I375" s="31">
        <f>ROUND(F375*AP375,2)</f>
        <v>0</v>
      </c>
      <c r="J375" s="31">
        <f>ROUND(F375*G375,2)</f>
        <v>0</v>
      </c>
      <c r="K375" s="33" t="s">
        <v>60</v>
      </c>
      <c r="Z375" s="31">
        <f>ROUND(IF(AQ375="5",BJ375,0),2)</f>
        <v>0</v>
      </c>
      <c r="AB375" s="31">
        <f>ROUND(IF(AQ375="1",BH375,0),2)</f>
        <v>0</v>
      </c>
      <c r="AC375" s="31">
        <f>ROUND(IF(AQ375="1",BI375,0),2)</f>
        <v>0</v>
      </c>
      <c r="AD375" s="31">
        <f>ROUND(IF(AQ375="7",BH375,0),2)</f>
        <v>0</v>
      </c>
      <c r="AE375" s="31">
        <f>ROUND(IF(AQ375="7",BI375,0),2)</f>
        <v>0</v>
      </c>
      <c r="AF375" s="31">
        <f>ROUND(IF(AQ375="2",BH375,0),2)</f>
        <v>0</v>
      </c>
      <c r="AG375" s="31">
        <f>ROUND(IF(AQ375="2",BI375,0),2)</f>
        <v>0</v>
      </c>
      <c r="AH375" s="31">
        <f>ROUND(IF(AQ375="0",BJ375,0),2)</f>
        <v>0</v>
      </c>
      <c r="AI375" s="11" t="s">
        <v>56</v>
      </c>
      <c r="AJ375" s="31">
        <f>IF(AN375=0,J375,0)</f>
        <v>0</v>
      </c>
      <c r="AK375" s="31">
        <f>IF(AN375=12,J375,0)</f>
        <v>0</v>
      </c>
      <c r="AL375" s="31">
        <f>IF(AN375=21,J375,0)</f>
        <v>0</v>
      </c>
      <c r="AN375" s="31">
        <v>21</v>
      </c>
      <c r="AO375" s="31">
        <f>G375*0</f>
        <v>0</v>
      </c>
      <c r="AP375" s="31">
        <f>G375*(1-0)</f>
        <v>0</v>
      </c>
      <c r="AQ375" s="34" t="s">
        <v>56</v>
      </c>
      <c r="AV375" s="31">
        <f>ROUND(AW375+AX375,2)</f>
        <v>0</v>
      </c>
      <c r="AW375" s="31">
        <f>ROUND(F375*AO375,2)</f>
        <v>0</v>
      </c>
      <c r="AX375" s="31">
        <f>ROUND(F375*AP375,2)</f>
        <v>0</v>
      </c>
      <c r="AY375" s="34" t="s">
        <v>675</v>
      </c>
      <c r="AZ375" s="34" t="s">
        <v>676</v>
      </c>
      <c r="BA375" s="11" t="s">
        <v>63</v>
      </c>
      <c r="BC375" s="31">
        <f>AW375+AX375</f>
        <v>0</v>
      </c>
      <c r="BD375" s="31">
        <f>G375/(100-BE375)*100</f>
        <v>0</v>
      </c>
      <c r="BE375" s="31">
        <v>0</v>
      </c>
      <c r="BF375" s="31">
        <f>375</f>
        <v>375</v>
      </c>
      <c r="BH375" s="31">
        <f>F375*AO375</f>
        <v>0</v>
      </c>
      <c r="BI375" s="31">
        <f>F375*AP375</f>
        <v>0</v>
      </c>
      <c r="BJ375" s="31">
        <f>F375*G375</f>
        <v>0</v>
      </c>
      <c r="BK375" s="34" t="s">
        <v>64</v>
      </c>
      <c r="BL375" s="31">
        <v>90</v>
      </c>
      <c r="BW375" s="31">
        <v>21</v>
      </c>
      <c r="BX375" s="5" t="s">
        <v>680</v>
      </c>
    </row>
    <row r="376" spans="1:76" ht="13.5" customHeight="1" x14ac:dyDescent="0.25">
      <c r="A376" s="35"/>
      <c r="C376" s="137" t="s">
        <v>681</v>
      </c>
      <c r="D376" s="138"/>
      <c r="E376" s="138"/>
      <c r="F376" s="138"/>
      <c r="G376" s="139"/>
      <c r="H376" s="138"/>
      <c r="I376" s="138"/>
      <c r="J376" s="138"/>
      <c r="K376" s="140"/>
    </row>
    <row r="377" spans="1:76" x14ac:dyDescent="0.25">
      <c r="A377" s="35"/>
      <c r="C377" s="36" t="s">
        <v>682</v>
      </c>
      <c r="D377" s="36" t="s">
        <v>52</v>
      </c>
      <c r="F377" s="37">
        <v>0</v>
      </c>
      <c r="K377" s="38"/>
    </row>
    <row r="378" spans="1:76" x14ac:dyDescent="0.25">
      <c r="A378" s="35"/>
      <c r="C378" s="36" t="s">
        <v>683</v>
      </c>
      <c r="D378" s="36" t="s">
        <v>52</v>
      </c>
      <c r="F378" s="37">
        <v>4</v>
      </c>
      <c r="K378" s="38"/>
    </row>
    <row r="379" spans="1:76" x14ac:dyDescent="0.25">
      <c r="A379" s="2" t="s">
        <v>684</v>
      </c>
      <c r="B379" s="3" t="s">
        <v>672</v>
      </c>
      <c r="C379" s="112" t="s">
        <v>685</v>
      </c>
      <c r="D379" s="107"/>
      <c r="E379" s="3" t="s">
        <v>674</v>
      </c>
      <c r="F379" s="31">
        <v>2</v>
      </c>
      <c r="G379" s="32">
        <v>0</v>
      </c>
      <c r="H379" s="31">
        <f>ROUND(F379*AO379,2)</f>
        <v>0</v>
      </c>
      <c r="I379" s="31">
        <f>ROUND(F379*AP379,2)</f>
        <v>0</v>
      </c>
      <c r="J379" s="31">
        <f>ROUND(F379*G379,2)</f>
        <v>0</v>
      </c>
      <c r="K379" s="33" t="s">
        <v>60</v>
      </c>
      <c r="Z379" s="31">
        <f>ROUND(IF(AQ379="5",BJ379,0),2)</f>
        <v>0</v>
      </c>
      <c r="AB379" s="31">
        <f>ROUND(IF(AQ379="1",BH379,0),2)</f>
        <v>0</v>
      </c>
      <c r="AC379" s="31">
        <f>ROUND(IF(AQ379="1",BI379,0),2)</f>
        <v>0</v>
      </c>
      <c r="AD379" s="31">
        <f>ROUND(IF(AQ379="7",BH379,0),2)</f>
        <v>0</v>
      </c>
      <c r="AE379" s="31">
        <f>ROUND(IF(AQ379="7",BI379,0),2)</f>
        <v>0</v>
      </c>
      <c r="AF379" s="31">
        <f>ROUND(IF(AQ379="2",BH379,0),2)</f>
        <v>0</v>
      </c>
      <c r="AG379" s="31">
        <f>ROUND(IF(AQ379="2",BI379,0),2)</f>
        <v>0</v>
      </c>
      <c r="AH379" s="31">
        <f>ROUND(IF(AQ379="0",BJ379,0),2)</f>
        <v>0</v>
      </c>
      <c r="AI379" s="11" t="s">
        <v>56</v>
      </c>
      <c r="AJ379" s="31">
        <f>IF(AN379=0,J379,0)</f>
        <v>0</v>
      </c>
      <c r="AK379" s="31">
        <f>IF(AN379=12,J379,0)</f>
        <v>0</v>
      </c>
      <c r="AL379" s="31">
        <f>IF(AN379=21,J379,0)</f>
        <v>0</v>
      </c>
      <c r="AN379" s="31">
        <v>21</v>
      </c>
      <c r="AO379" s="31">
        <f>G379*0</f>
        <v>0</v>
      </c>
      <c r="AP379" s="31">
        <f>G379*(1-0)</f>
        <v>0</v>
      </c>
      <c r="AQ379" s="34" t="s">
        <v>56</v>
      </c>
      <c r="AV379" s="31">
        <f>ROUND(AW379+AX379,2)</f>
        <v>0</v>
      </c>
      <c r="AW379" s="31">
        <f>ROUND(F379*AO379,2)</f>
        <v>0</v>
      </c>
      <c r="AX379" s="31">
        <f>ROUND(F379*AP379,2)</f>
        <v>0</v>
      </c>
      <c r="AY379" s="34" t="s">
        <v>675</v>
      </c>
      <c r="AZ379" s="34" t="s">
        <v>676</v>
      </c>
      <c r="BA379" s="11" t="s">
        <v>63</v>
      </c>
      <c r="BC379" s="31">
        <f>AW379+AX379</f>
        <v>0</v>
      </c>
      <c r="BD379" s="31">
        <f>G379/(100-BE379)*100</f>
        <v>0</v>
      </c>
      <c r="BE379" s="31">
        <v>0</v>
      </c>
      <c r="BF379" s="31">
        <f>379</f>
        <v>379</v>
      </c>
      <c r="BH379" s="31">
        <f>F379*AO379</f>
        <v>0</v>
      </c>
      <c r="BI379" s="31">
        <f>F379*AP379</f>
        <v>0</v>
      </c>
      <c r="BJ379" s="31">
        <f>F379*G379</f>
        <v>0</v>
      </c>
      <c r="BK379" s="34" t="s">
        <v>64</v>
      </c>
      <c r="BL379" s="31">
        <v>90</v>
      </c>
      <c r="BW379" s="31">
        <v>21</v>
      </c>
      <c r="BX379" s="5" t="s">
        <v>685</v>
      </c>
    </row>
    <row r="380" spans="1:76" x14ac:dyDescent="0.25">
      <c r="A380" s="35"/>
      <c r="C380" s="36" t="s">
        <v>686</v>
      </c>
      <c r="D380" s="36" t="s">
        <v>52</v>
      </c>
      <c r="F380" s="37">
        <v>0</v>
      </c>
      <c r="K380" s="38"/>
    </row>
    <row r="381" spans="1:76" x14ac:dyDescent="0.25">
      <c r="A381" s="35"/>
      <c r="C381" s="36" t="s">
        <v>687</v>
      </c>
      <c r="D381" s="36" t="s">
        <v>52</v>
      </c>
      <c r="F381" s="37">
        <v>2</v>
      </c>
      <c r="K381" s="38"/>
    </row>
    <row r="382" spans="1:76" x14ac:dyDescent="0.25">
      <c r="A382" s="26" t="s">
        <v>52</v>
      </c>
      <c r="B382" s="27" t="s">
        <v>605</v>
      </c>
      <c r="C382" s="133" t="s">
        <v>688</v>
      </c>
      <c r="D382" s="134"/>
      <c r="E382" s="28" t="s">
        <v>4</v>
      </c>
      <c r="F382" s="28" t="s">
        <v>4</v>
      </c>
      <c r="G382" s="29" t="s">
        <v>4</v>
      </c>
      <c r="H382" s="1">
        <f>SUM(H383:H383)</f>
        <v>0</v>
      </c>
      <c r="I382" s="1">
        <f>SUM(I383:I383)</f>
        <v>0</v>
      </c>
      <c r="J382" s="1">
        <f>SUM(J383:J383)</f>
        <v>0</v>
      </c>
      <c r="K382" s="30" t="s">
        <v>52</v>
      </c>
      <c r="AI382" s="11" t="s">
        <v>56</v>
      </c>
      <c r="AS382" s="1">
        <f>SUM(AJ383:AJ383)</f>
        <v>0</v>
      </c>
      <c r="AT382" s="1">
        <f>SUM(AK383:AK383)</f>
        <v>0</v>
      </c>
      <c r="AU382" s="1">
        <f>SUM(AL383:AL383)</f>
        <v>0</v>
      </c>
    </row>
    <row r="383" spans="1:76" x14ac:dyDescent="0.25">
      <c r="A383" s="2" t="s">
        <v>689</v>
      </c>
      <c r="B383" s="3" t="s">
        <v>690</v>
      </c>
      <c r="C383" s="112" t="s">
        <v>691</v>
      </c>
      <c r="D383" s="107"/>
      <c r="E383" s="3" t="s">
        <v>59</v>
      </c>
      <c r="F383" s="31">
        <v>16.66</v>
      </c>
      <c r="G383" s="32">
        <v>0</v>
      </c>
      <c r="H383" s="31">
        <f>ROUND(F383*AO383,2)</f>
        <v>0</v>
      </c>
      <c r="I383" s="31">
        <f>ROUND(F383*AP383,2)</f>
        <v>0</v>
      </c>
      <c r="J383" s="31">
        <f>ROUND(F383*G383,2)</f>
        <v>0</v>
      </c>
      <c r="K383" s="33" t="s">
        <v>60</v>
      </c>
      <c r="Z383" s="31">
        <f>ROUND(IF(AQ383="5",BJ383,0),2)</f>
        <v>0</v>
      </c>
      <c r="AB383" s="31">
        <f>ROUND(IF(AQ383="1",BH383,0),2)</f>
        <v>0</v>
      </c>
      <c r="AC383" s="31">
        <f>ROUND(IF(AQ383="1",BI383,0),2)</f>
        <v>0</v>
      </c>
      <c r="AD383" s="31">
        <f>ROUND(IF(AQ383="7",BH383,0),2)</f>
        <v>0</v>
      </c>
      <c r="AE383" s="31">
        <f>ROUND(IF(AQ383="7",BI383,0),2)</f>
        <v>0</v>
      </c>
      <c r="AF383" s="31">
        <f>ROUND(IF(AQ383="2",BH383,0),2)</f>
        <v>0</v>
      </c>
      <c r="AG383" s="31">
        <f>ROUND(IF(AQ383="2",BI383,0),2)</f>
        <v>0</v>
      </c>
      <c r="AH383" s="31">
        <f>ROUND(IF(AQ383="0",BJ383,0),2)</f>
        <v>0</v>
      </c>
      <c r="AI383" s="11" t="s">
        <v>56</v>
      </c>
      <c r="AJ383" s="31">
        <f>IF(AN383=0,J383,0)</f>
        <v>0</v>
      </c>
      <c r="AK383" s="31">
        <f>IF(AN383=12,J383,0)</f>
        <v>0</v>
      </c>
      <c r="AL383" s="31">
        <f>IF(AN383=21,J383,0)</f>
        <v>0</v>
      </c>
      <c r="AN383" s="31">
        <v>21</v>
      </c>
      <c r="AO383" s="31">
        <f>G383*0.334581428</f>
        <v>0</v>
      </c>
      <c r="AP383" s="31">
        <f>G383*(1-0.334581428)</f>
        <v>0</v>
      </c>
      <c r="AQ383" s="34" t="s">
        <v>56</v>
      </c>
      <c r="AV383" s="31">
        <f>ROUND(AW383+AX383,2)</f>
        <v>0</v>
      </c>
      <c r="AW383" s="31">
        <f>ROUND(F383*AO383,2)</f>
        <v>0</v>
      </c>
      <c r="AX383" s="31">
        <f>ROUND(F383*AP383,2)</f>
        <v>0</v>
      </c>
      <c r="AY383" s="34" t="s">
        <v>692</v>
      </c>
      <c r="AZ383" s="34" t="s">
        <v>676</v>
      </c>
      <c r="BA383" s="11" t="s">
        <v>63</v>
      </c>
      <c r="BC383" s="31">
        <f>AW383+AX383</f>
        <v>0</v>
      </c>
      <c r="BD383" s="31">
        <f>G383/(100-BE383)*100</f>
        <v>0</v>
      </c>
      <c r="BE383" s="31">
        <v>0</v>
      </c>
      <c r="BF383" s="31">
        <f>383</f>
        <v>383</v>
      </c>
      <c r="BH383" s="31">
        <f>F383*AO383</f>
        <v>0</v>
      </c>
      <c r="BI383" s="31">
        <f>F383*AP383</f>
        <v>0</v>
      </c>
      <c r="BJ383" s="31">
        <f>F383*G383</f>
        <v>0</v>
      </c>
      <c r="BK383" s="34" t="s">
        <v>64</v>
      </c>
      <c r="BL383" s="31">
        <v>94</v>
      </c>
      <c r="BW383" s="31">
        <v>21</v>
      </c>
      <c r="BX383" s="5" t="s">
        <v>691</v>
      </c>
    </row>
    <row r="384" spans="1:76" x14ac:dyDescent="0.25">
      <c r="A384" s="35"/>
      <c r="C384" s="36" t="s">
        <v>693</v>
      </c>
      <c r="D384" s="36" t="s">
        <v>694</v>
      </c>
      <c r="F384" s="37">
        <v>16.66</v>
      </c>
      <c r="K384" s="38"/>
    </row>
    <row r="385" spans="1:76" x14ac:dyDescent="0.25">
      <c r="A385" s="26" t="s">
        <v>52</v>
      </c>
      <c r="B385" s="27" t="s">
        <v>613</v>
      </c>
      <c r="C385" s="133" t="s">
        <v>695</v>
      </c>
      <c r="D385" s="134"/>
      <c r="E385" s="28" t="s">
        <v>4</v>
      </c>
      <c r="F385" s="28" t="s">
        <v>4</v>
      </c>
      <c r="G385" s="29" t="s">
        <v>4</v>
      </c>
      <c r="H385" s="1">
        <f>SUM(H386:H386)</f>
        <v>0</v>
      </c>
      <c r="I385" s="1">
        <f>SUM(I386:I386)</f>
        <v>0</v>
      </c>
      <c r="J385" s="1">
        <f>SUM(J386:J386)</f>
        <v>0</v>
      </c>
      <c r="K385" s="30" t="s">
        <v>52</v>
      </c>
      <c r="AI385" s="11" t="s">
        <v>56</v>
      </c>
      <c r="AS385" s="1">
        <f>SUM(AJ386:AJ386)</f>
        <v>0</v>
      </c>
      <c r="AT385" s="1">
        <f>SUM(AK386:AK386)</f>
        <v>0</v>
      </c>
      <c r="AU385" s="1">
        <f>SUM(AL386:AL386)</f>
        <v>0</v>
      </c>
    </row>
    <row r="386" spans="1:76" x14ac:dyDescent="0.25">
      <c r="A386" s="2" t="s">
        <v>696</v>
      </c>
      <c r="B386" s="3" t="s">
        <v>697</v>
      </c>
      <c r="C386" s="112" t="s">
        <v>698</v>
      </c>
      <c r="D386" s="107"/>
      <c r="E386" s="3" t="s">
        <v>59</v>
      </c>
      <c r="F386" s="31">
        <v>125.24</v>
      </c>
      <c r="G386" s="32">
        <v>0</v>
      </c>
      <c r="H386" s="31">
        <f>ROUND(F386*AO386,2)</f>
        <v>0</v>
      </c>
      <c r="I386" s="31">
        <f>ROUND(F386*AP386,2)</f>
        <v>0</v>
      </c>
      <c r="J386" s="31">
        <f>ROUND(F386*G386,2)</f>
        <v>0</v>
      </c>
      <c r="K386" s="33" t="s">
        <v>60</v>
      </c>
      <c r="Z386" s="31">
        <f>ROUND(IF(AQ386="5",BJ386,0),2)</f>
        <v>0</v>
      </c>
      <c r="AB386" s="31">
        <f>ROUND(IF(AQ386="1",BH386,0),2)</f>
        <v>0</v>
      </c>
      <c r="AC386" s="31">
        <f>ROUND(IF(AQ386="1",BI386,0),2)</f>
        <v>0</v>
      </c>
      <c r="AD386" s="31">
        <f>ROUND(IF(AQ386="7",BH386,0),2)</f>
        <v>0</v>
      </c>
      <c r="AE386" s="31">
        <f>ROUND(IF(AQ386="7",BI386,0),2)</f>
        <v>0</v>
      </c>
      <c r="AF386" s="31">
        <f>ROUND(IF(AQ386="2",BH386,0),2)</f>
        <v>0</v>
      </c>
      <c r="AG386" s="31">
        <f>ROUND(IF(AQ386="2",BI386,0),2)</f>
        <v>0</v>
      </c>
      <c r="AH386" s="31">
        <f>ROUND(IF(AQ386="0",BJ386,0),2)</f>
        <v>0</v>
      </c>
      <c r="AI386" s="11" t="s">
        <v>56</v>
      </c>
      <c r="AJ386" s="31">
        <f>IF(AN386=0,J386,0)</f>
        <v>0</v>
      </c>
      <c r="AK386" s="31">
        <f>IF(AN386=12,J386,0)</f>
        <v>0</v>
      </c>
      <c r="AL386" s="31">
        <f>IF(AN386=21,J386,0)</f>
        <v>0</v>
      </c>
      <c r="AN386" s="31">
        <v>21</v>
      </c>
      <c r="AO386" s="31">
        <f>G386*0</f>
        <v>0</v>
      </c>
      <c r="AP386" s="31">
        <f>G386*(1-0)</f>
        <v>0</v>
      </c>
      <c r="AQ386" s="34" t="s">
        <v>56</v>
      </c>
      <c r="AV386" s="31">
        <f>ROUND(AW386+AX386,2)</f>
        <v>0</v>
      </c>
      <c r="AW386" s="31">
        <f>ROUND(F386*AO386,2)</f>
        <v>0</v>
      </c>
      <c r="AX386" s="31">
        <f>ROUND(F386*AP386,2)</f>
        <v>0</v>
      </c>
      <c r="AY386" s="34" t="s">
        <v>699</v>
      </c>
      <c r="AZ386" s="34" t="s">
        <v>676</v>
      </c>
      <c r="BA386" s="11" t="s">
        <v>63</v>
      </c>
      <c r="BC386" s="31">
        <f>AW386+AX386</f>
        <v>0</v>
      </c>
      <c r="BD386" s="31">
        <f>G386/(100-BE386)*100</f>
        <v>0</v>
      </c>
      <c r="BE386" s="31">
        <v>0</v>
      </c>
      <c r="BF386" s="31">
        <f>386</f>
        <v>386</v>
      </c>
      <c r="BH386" s="31">
        <f>F386*AO386</f>
        <v>0</v>
      </c>
      <c r="BI386" s="31">
        <f>F386*AP386</f>
        <v>0</v>
      </c>
      <c r="BJ386" s="31">
        <f>F386*G386</f>
        <v>0</v>
      </c>
      <c r="BK386" s="34" t="s">
        <v>64</v>
      </c>
      <c r="BL386" s="31">
        <v>95</v>
      </c>
      <c r="BW386" s="31">
        <v>21</v>
      </c>
      <c r="BX386" s="5" t="s">
        <v>698</v>
      </c>
    </row>
    <row r="387" spans="1:76" x14ac:dyDescent="0.25">
      <c r="A387" s="35"/>
      <c r="C387" s="36" t="s">
        <v>652</v>
      </c>
      <c r="D387" s="36" t="s">
        <v>52</v>
      </c>
      <c r="F387" s="37">
        <v>125.24</v>
      </c>
      <c r="K387" s="38"/>
    </row>
    <row r="388" spans="1:76" x14ac:dyDescent="0.25">
      <c r="A388" s="26" t="s">
        <v>52</v>
      </c>
      <c r="B388" s="27" t="s">
        <v>618</v>
      </c>
      <c r="C388" s="133" t="s">
        <v>700</v>
      </c>
      <c r="D388" s="134"/>
      <c r="E388" s="28" t="s">
        <v>4</v>
      </c>
      <c r="F388" s="28" t="s">
        <v>4</v>
      </c>
      <c r="G388" s="29" t="s">
        <v>4</v>
      </c>
      <c r="H388" s="1">
        <f>SUM(H389:H410)</f>
        <v>0</v>
      </c>
      <c r="I388" s="1">
        <f>SUM(I389:I410)</f>
        <v>0</v>
      </c>
      <c r="J388" s="1">
        <f>SUM(J389:J410)</f>
        <v>0</v>
      </c>
      <c r="K388" s="30" t="s">
        <v>52</v>
      </c>
      <c r="AI388" s="11" t="s">
        <v>56</v>
      </c>
      <c r="AS388" s="1">
        <f>SUM(AJ389:AJ410)</f>
        <v>0</v>
      </c>
      <c r="AT388" s="1">
        <f>SUM(AK389:AK410)</f>
        <v>0</v>
      </c>
      <c r="AU388" s="1">
        <f>SUM(AL389:AL410)</f>
        <v>0</v>
      </c>
    </row>
    <row r="389" spans="1:76" x14ac:dyDescent="0.25">
      <c r="A389" s="2" t="s">
        <v>701</v>
      </c>
      <c r="B389" s="3" t="s">
        <v>702</v>
      </c>
      <c r="C389" s="112" t="s">
        <v>703</v>
      </c>
      <c r="D389" s="107"/>
      <c r="E389" s="3" t="s">
        <v>59</v>
      </c>
      <c r="F389" s="31">
        <v>10.24</v>
      </c>
      <c r="G389" s="32">
        <v>0</v>
      </c>
      <c r="H389" s="31">
        <f>ROUND(F389*AO389,2)</f>
        <v>0</v>
      </c>
      <c r="I389" s="31">
        <f>ROUND(F389*AP389,2)</f>
        <v>0</v>
      </c>
      <c r="J389" s="31">
        <f>ROUND(F389*G389,2)</f>
        <v>0</v>
      </c>
      <c r="K389" s="33" t="s">
        <v>60</v>
      </c>
      <c r="Z389" s="31">
        <f>ROUND(IF(AQ389="5",BJ389,0),2)</f>
        <v>0</v>
      </c>
      <c r="AB389" s="31">
        <f>ROUND(IF(AQ389="1",BH389,0),2)</f>
        <v>0</v>
      </c>
      <c r="AC389" s="31">
        <f>ROUND(IF(AQ389="1",BI389,0),2)</f>
        <v>0</v>
      </c>
      <c r="AD389" s="31">
        <f>ROUND(IF(AQ389="7",BH389,0),2)</f>
        <v>0</v>
      </c>
      <c r="AE389" s="31">
        <f>ROUND(IF(AQ389="7",BI389,0),2)</f>
        <v>0</v>
      </c>
      <c r="AF389" s="31">
        <f>ROUND(IF(AQ389="2",BH389,0),2)</f>
        <v>0</v>
      </c>
      <c r="AG389" s="31">
        <f>ROUND(IF(AQ389="2",BI389,0),2)</f>
        <v>0</v>
      </c>
      <c r="AH389" s="31">
        <f>ROUND(IF(AQ389="0",BJ389,0),2)</f>
        <v>0</v>
      </c>
      <c r="AI389" s="11" t="s">
        <v>56</v>
      </c>
      <c r="AJ389" s="31">
        <f>IF(AN389=0,J389,0)</f>
        <v>0</v>
      </c>
      <c r="AK389" s="31">
        <f>IF(AN389=12,J389,0)</f>
        <v>0</v>
      </c>
      <c r="AL389" s="31">
        <f>IF(AN389=21,J389,0)</f>
        <v>0</v>
      </c>
      <c r="AN389" s="31">
        <v>21</v>
      </c>
      <c r="AO389" s="31">
        <f>G389*0.133537371</f>
        <v>0</v>
      </c>
      <c r="AP389" s="31">
        <f>G389*(1-0.133537371)</f>
        <v>0</v>
      </c>
      <c r="AQ389" s="34" t="s">
        <v>56</v>
      </c>
      <c r="AV389" s="31">
        <f>ROUND(AW389+AX389,2)</f>
        <v>0</v>
      </c>
      <c r="AW389" s="31">
        <f>ROUND(F389*AO389,2)</f>
        <v>0</v>
      </c>
      <c r="AX389" s="31">
        <f>ROUND(F389*AP389,2)</f>
        <v>0</v>
      </c>
      <c r="AY389" s="34" t="s">
        <v>704</v>
      </c>
      <c r="AZ389" s="34" t="s">
        <v>676</v>
      </c>
      <c r="BA389" s="11" t="s">
        <v>63</v>
      </c>
      <c r="BC389" s="31">
        <f>AW389+AX389</f>
        <v>0</v>
      </c>
      <c r="BD389" s="31">
        <f>G389/(100-BE389)*100</f>
        <v>0</v>
      </c>
      <c r="BE389" s="31">
        <v>0</v>
      </c>
      <c r="BF389" s="31">
        <f>389</f>
        <v>389</v>
      </c>
      <c r="BH389" s="31">
        <f>F389*AO389</f>
        <v>0</v>
      </c>
      <c r="BI389" s="31">
        <f>F389*AP389</f>
        <v>0</v>
      </c>
      <c r="BJ389" s="31">
        <f>F389*G389</f>
        <v>0</v>
      </c>
      <c r="BK389" s="34" t="s">
        <v>64</v>
      </c>
      <c r="BL389" s="31">
        <v>96</v>
      </c>
      <c r="BW389" s="31">
        <v>21</v>
      </c>
      <c r="BX389" s="5" t="s">
        <v>703</v>
      </c>
    </row>
    <row r="390" spans="1:76" x14ac:dyDescent="0.25">
      <c r="A390" s="35"/>
      <c r="C390" s="36" t="s">
        <v>705</v>
      </c>
      <c r="D390" s="36" t="s">
        <v>706</v>
      </c>
      <c r="F390" s="37">
        <v>0.1</v>
      </c>
      <c r="K390" s="38"/>
    </row>
    <row r="391" spans="1:76" x14ac:dyDescent="0.25">
      <c r="A391" s="35"/>
      <c r="C391" s="36" t="s">
        <v>707</v>
      </c>
      <c r="D391" s="36" t="s">
        <v>708</v>
      </c>
      <c r="F391" s="37">
        <v>9.6</v>
      </c>
      <c r="K391" s="38"/>
    </row>
    <row r="392" spans="1:76" x14ac:dyDescent="0.25">
      <c r="A392" s="35"/>
      <c r="C392" s="36" t="s">
        <v>709</v>
      </c>
      <c r="D392" s="36" t="s">
        <v>710</v>
      </c>
      <c r="F392" s="37">
        <v>0.54</v>
      </c>
      <c r="K392" s="38"/>
    </row>
    <row r="393" spans="1:76" x14ac:dyDescent="0.25">
      <c r="A393" s="2" t="s">
        <v>711</v>
      </c>
      <c r="B393" s="3" t="s">
        <v>712</v>
      </c>
      <c r="C393" s="112" t="s">
        <v>713</v>
      </c>
      <c r="D393" s="107"/>
      <c r="E393" s="3" t="s">
        <v>59</v>
      </c>
      <c r="F393" s="31">
        <v>13.145</v>
      </c>
      <c r="G393" s="32">
        <v>0</v>
      </c>
      <c r="H393" s="31">
        <f>ROUND(F393*AO393,2)</f>
        <v>0</v>
      </c>
      <c r="I393" s="31">
        <f>ROUND(F393*AP393,2)</f>
        <v>0</v>
      </c>
      <c r="J393" s="31">
        <f>ROUND(F393*G393,2)</f>
        <v>0</v>
      </c>
      <c r="K393" s="33" t="s">
        <v>60</v>
      </c>
      <c r="Z393" s="31">
        <f>ROUND(IF(AQ393="5",BJ393,0),2)</f>
        <v>0</v>
      </c>
      <c r="AB393" s="31">
        <f>ROUND(IF(AQ393="1",BH393,0),2)</f>
        <v>0</v>
      </c>
      <c r="AC393" s="31">
        <f>ROUND(IF(AQ393="1",BI393,0),2)</f>
        <v>0</v>
      </c>
      <c r="AD393" s="31">
        <f>ROUND(IF(AQ393="7",BH393,0),2)</f>
        <v>0</v>
      </c>
      <c r="AE393" s="31">
        <f>ROUND(IF(AQ393="7",BI393,0),2)</f>
        <v>0</v>
      </c>
      <c r="AF393" s="31">
        <f>ROUND(IF(AQ393="2",BH393,0),2)</f>
        <v>0</v>
      </c>
      <c r="AG393" s="31">
        <f>ROUND(IF(AQ393="2",BI393,0),2)</f>
        <v>0</v>
      </c>
      <c r="AH393" s="31">
        <f>ROUND(IF(AQ393="0",BJ393,0),2)</f>
        <v>0</v>
      </c>
      <c r="AI393" s="11" t="s">
        <v>56</v>
      </c>
      <c r="AJ393" s="31">
        <f>IF(AN393=0,J393,0)</f>
        <v>0</v>
      </c>
      <c r="AK393" s="31">
        <f>IF(AN393=12,J393,0)</f>
        <v>0</v>
      </c>
      <c r="AL393" s="31">
        <f>IF(AN393=21,J393,0)</f>
        <v>0</v>
      </c>
      <c r="AN393" s="31">
        <v>21</v>
      </c>
      <c r="AO393" s="31">
        <f>G393*0.111989512</f>
        <v>0</v>
      </c>
      <c r="AP393" s="31">
        <f>G393*(1-0.111989512)</f>
        <v>0</v>
      </c>
      <c r="AQ393" s="34" t="s">
        <v>56</v>
      </c>
      <c r="AV393" s="31">
        <f>ROUND(AW393+AX393,2)</f>
        <v>0</v>
      </c>
      <c r="AW393" s="31">
        <f>ROUND(F393*AO393,2)</f>
        <v>0</v>
      </c>
      <c r="AX393" s="31">
        <f>ROUND(F393*AP393,2)</f>
        <v>0</v>
      </c>
      <c r="AY393" s="34" t="s">
        <v>704</v>
      </c>
      <c r="AZ393" s="34" t="s">
        <v>676</v>
      </c>
      <c r="BA393" s="11" t="s">
        <v>63</v>
      </c>
      <c r="BC393" s="31">
        <f>AW393+AX393</f>
        <v>0</v>
      </c>
      <c r="BD393" s="31">
        <f>G393/(100-BE393)*100</f>
        <v>0</v>
      </c>
      <c r="BE393" s="31">
        <v>0</v>
      </c>
      <c r="BF393" s="31">
        <f>393</f>
        <v>393</v>
      </c>
      <c r="BH393" s="31">
        <f>F393*AO393</f>
        <v>0</v>
      </c>
      <c r="BI393" s="31">
        <f>F393*AP393</f>
        <v>0</v>
      </c>
      <c r="BJ393" s="31">
        <f>F393*G393</f>
        <v>0</v>
      </c>
      <c r="BK393" s="34" t="s">
        <v>64</v>
      </c>
      <c r="BL393" s="31">
        <v>96</v>
      </c>
      <c r="BW393" s="31">
        <v>21</v>
      </c>
      <c r="BX393" s="5" t="s">
        <v>713</v>
      </c>
    </row>
    <row r="394" spans="1:76" x14ac:dyDescent="0.25">
      <c r="A394" s="35"/>
      <c r="C394" s="36" t="s">
        <v>714</v>
      </c>
      <c r="D394" s="36" t="s">
        <v>715</v>
      </c>
      <c r="F394" s="37">
        <v>10.5</v>
      </c>
      <c r="K394" s="38"/>
    </row>
    <row r="395" spans="1:76" x14ac:dyDescent="0.25">
      <c r="A395" s="35"/>
      <c r="C395" s="36" t="s">
        <v>716</v>
      </c>
      <c r="D395" s="36" t="s">
        <v>717</v>
      </c>
      <c r="F395" s="37">
        <v>2.645</v>
      </c>
      <c r="K395" s="38"/>
    </row>
    <row r="396" spans="1:76" x14ac:dyDescent="0.25">
      <c r="A396" s="2" t="s">
        <v>718</v>
      </c>
      <c r="B396" s="3" t="s">
        <v>719</v>
      </c>
      <c r="C396" s="112" t="s">
        <v>720</v>
      </c>
      <c r="D396" s="107"/>
      <c r="E396" s="3" t="s">
        <v>59</v>
      </c>
      <c r="F396" s="31">
        <v>6.0650000000000004</v>
      </c>
      <c r="G396" s="32">
        <v>0</v>
      </c>
      <c r="H396" s="31">
        <f>ROUND(F396*AO396,2)</f>
        <v>0</v>
      </c>
      <c r="I396" s="31">
        <f>ROUND(F396*AP396,2)</f>
        <v>0</v>
      </c>
      <c r="J396" s="31">
        <f>ROUND(F396*G396,2)</f>
        <v>0</v>
      </c>
      <c r="K396" s="33" t="s">
        <v>60</v>
      </c>
      <c r="Z396" s="31">
        <f>ROUND(IF(AQ396="5",BJ396,0),2)</f>
        <v>0</v>
      </c>
      <c r="AB396" s="31">
        <f>ROUND(IF(AQ396="1",BH396,0),2)</f>
        <v>0</v>
      </c>
      <c r="AC396" s="31">
        <f>ROUND(IF(AQ396="1",BI396,0),2)</f>
        <v>0</v>
      </c>
      <c r="AD396" s="31">
        <f>ROUND(IF(AQ396="7",BH396,0),2)</f>
        <v>0</v>
      </c>
      <c r="AE396" s="31">
        <f>ROUND(IF(AQ396="7",BI396,0),2)</f>
        <v>0</v>
      </c>
      <c r="AF396" s="31">
        <f>ROUND(IF(AQ396="2",BH396,0),2)</f>
        <v>0</v>
      </c>
      <c r="AG396" s="31">
        <f>ROUND(IF(AQ396="2",BI396,0),2)</f>
        <v>0</v>
      </c>
      <c r="AH396" s="31">
        <f>ROUND(IF(AQ396="0",BJ396,0),2)</f>
        <v>0</v>
      </c>
      <c r="AI396" s="11" t="s">
        <v>56</v>
      </c>
      <c r="AJ396" s="31">
        <f>IF(AN396=0,J396,0)</f>
        <v>0</v>
      </c>
      <c r="AK396" s="31">
        <f>IF(AN396=12,J396,0)</f>
        <v>0</v>
      </c>
      <c r="AL396" s="31">
        <f>IF(AN396=21,J396,0)</f>
        <v>0</v>
      </c>
      <c r="AN396" s="31">
        <v>21</v>
      </c>
      <c r="AO396" s="31">
        <f>G396*0.060907619</f>
        <v>0</v>
      </c>
      <c r="AP396" s="31">
        <f>G396*(1-0.060907619)</f>
        <v>0</v>
      </c>
      <c r="AQ396" s="34" t="s">
        <v>56</v>
      </c>
      <c r="AV396" s="31">
        <f>ROUND(AW396+AX396,2)</f>
        <v>0</v>
      </c>
      <c r="AW396" s="31">
        <f>ROUND(F396*AO396,2)</f>
        <v>0</v>
      </c>
      <c r="AX396" s="31">
        <f>ROUND(F396*AP396,2)</f>
        <v>0</v>
      </c>
      <c r="AY396" s="34" t="s">
        <v>704</v>
      </c>
      <c r="AZ396" s="34" t="s">
        <v>676</v>
      </c>
      <c r="BA396" s="11" t="s">
        <v>63</v>
      </c>
      <c r="BC396" s="31">
        <f>AW396+AX396</f>
        <v>0</v>
      </c>
      <c r="BD396" s="31">
        <f>G396/(100-BE396)*100</f>
        <v>0</v>
      </c>
      <c r="BE396" s="31">
        <v>0</v>
      </c>
      <c r="BF396" s="31">
        <f>396</f>
        <v>396</v>
      </c>
      <c r="BH396" s="31">
        <f>F396*AO396</f>
        <v>0</v>
      </c>
      <c r="BI396" s="31">
        <f>F396*AP396</f>
        <v>0</v>
      </c>
      <c r="BJ396" s="31">
        <f>F396*G396</f>
        <v>0</v>
      </c>
      <c r="BK396" s="34" t="s">
        <v>64</v>
      </c>
      <c r="BL396" s="31">
        <v>96</v>
      </c>
      <c r="BW396" s="31">
        <v>21</v>
      </c>
      <c r="BX396" s="5" t="s">
        <v>720</v>
      </c>
    </row>
    <row r="397" spans="1:76" x14ac:dyDescent="0.25">
      <c r="A397" s="35"/>
      <c r="C397" s="36" t="s">
        <v>721</v>
      </c>
      <c r="D397" s="36" t="s">
        <v>52</v>
      </c>
      <c r="F397" s="37">
        <v>1.76</v>
      </c>
      <c r="K397" s="38"/>
    </row>
    <row r="398" spans="1:76" x14ac:dyDescent="0.25">
      <c r="A398" s="35"/>
      <c r="C398" s="36" t="s">
        <v>722</v>
      </c>
      <c r="D398" s="36" t="s">
        <v>52</v>
      </c>
      <c r="F398" s="37">
        <v>4.3049999999999997</v>
      </c>
      <c r="K398" s="38"/>
    </row>
    <row r="399" spans="1:76" x14ac:dyDescent="0.25">
      <c r="A399" s="2" t="s">
        <v>723</v>
      </c>
      <c r="B399" s="3" t="s">
        <v>724</v>
      </c>
      <c r="C399" s="112" t="s">
        <v>725</v>
      </c>
      <c r="D399" s="107"/>
      <c r="E399" s="3" t="s">
        <v>81</v>
      </c>
      <c r="F399" s="31">
        <v>5</v>
      </c>
      <c r="G399" s="32">
        <v>0</v>
      </c>
      <c r="H399" s="31">
        <f>ROUND(F399*AO399,2)</f>
        <v>0</v>
      </c>
      <c r="I399" s="31">
        <f>ROUND(F399*AP399,2)</f>
        <v>0</v>
      </c>
      <c r="J399" s="31">
        <f>ROUND(F399*G399,2)</f>
        <v>0</v>
      </c>
      <c r="K399" s="33" t="s">
        <v>60</v>
      </c>
      <c r="Z399" s="31">
        <f>ROUND(IF(AQ399="5",BJ399,0),2)</f>
        <v>0</v>
      </c>
      <c r="AB399" s="31">
        <f>ROUND(IF(AQ399="1",BH399,0),2)</f>
        <v>0</v>
      </c>
      <c r="AC399" s="31">
        <f>ROUND(IF(AQ399="1",BI399,0),2)</f>
        <v>0</v>
      </c>
      <c r="AD399" s="31">
        <f>ROUND(IF(AQ399="7",BH399,0),2)</f>
        <v>0</v>
      </c>
      <c r="AE399" s="31">
        <f>ROUND(IF(AQ399="7",BI399,0),2)</f>
        <v>0</v>
      </c>
      <c r="AF399" s="31">
        <f>ROUND(IF(AQ399="2",BH399,0),2)</f>
        <v>0</v>
      </c>
      <c r="AG399" s="31">
        <f>ROUND(IF(AQ399="2",BI399,0),2)</f>
        <v>0</v>
      </c>
      <c r="AH399" s="31">
        <f>ROUND(IF(AQ399="0",BJ399,0),2)</f>
        <v>0</v>
      </c>
      <c r="AI399" s="11" t="s">
        <v>56</v>
      </c>
      <c r="AJ399" s="31">
        <f>IF(AN399=0,J399,0)</f>
        <v>0</v>
      </c>
      <c r="AK399" s="31">
        <f>IF(AN399=12,J399,0)</f>
        <v>0</v>
      </c>
      <c r="AL399" s="31">
        <f>IF(AN399=21,J399,0)</f>
        <v>0</v>
      </c>
      <c r="AN399" s="31">
        <v>21</v>
      </c>
      <c r="AO399" s="31">
        <f>G399*0</f>
        <v>0</v>
      </c>
      <c r="AP399" s="31">
        <f>G399*(1-0)</f>
        <v>0</v>
      </c>
      <c r="AQ399" s="34" t="s">
        <v>56</v>
      </c>
      <c r="AV399" s="31">
        <f>ROUND(AW399+AX399,2)</f>
        <v>0</v>
      </c>
      <c r="AW399" s="31">
        <f>ROUND(F399*AO399,2)</f>
        <v>0</v>
      </c>
      <c r="AX399" s="31">
        <f>ROUND(F399*AP399,2)</f>
        <v>0</v>
      </c>
      <c r="AY399" s="34" t="s">
        <v>704</v>
      </c>
      <c r="AZ399" s="34" t="s">
        <v>676</v>
      </c>
      <c r="BA399" s="11" t="s">
        <v>63</v>
      </c>
      <c r="BC399" s="31">
        <f>AW399+AX399</f>
        <v>0</v>
      </c>
      <c r="BD399" s="31">
        <f>G399/(100-BE399)*100</f>
        <v>0</v>
      </c>
      <c r="BE399" s="31">
        <v>0</v>
      </c>
      <c r="BF399" s="31">
        <f>399</f>
        <v>399</v>
      </c>
      <c r="BH399" s="31">
        <f>F399*AO399</f>
        <v>0</v>
      </c>
      <c r="BI399" s="31">
        <f>F399*AP399</f>
        <v>0</v>
      </c>
      <c r="BJ399" s="31">
        <f>F399*G399</f>
        <v>0</v>
      </c>
      <c r="BK399" s="34" t="s">
        <v>64</v>
      </c>
      <c r="BL399" s="31">
        <v>96</v>
      </c>
      <c r="BW399" s="31">
        <v>21</v>
      </c>
      <c r="BX399" s="5" t="s">
        <v>725</v>
      </c>
    </row>
    <row r="400" spans="1:76" x14ac:dyDescent="0.25">
      <c r="A400" s="35"/>
      <c r="C400" s="36" t="s">
        <v>78</v>
      </c>
      <c r="D400" s="36" t="s">
        <v>726</v>
      </c>
      <c r="F400" s="37">
        <v>4</v>
      </c>
      <c r="K400" s="38"/>
    </row>
    <row r="401" spans="1:76" x14ac:dyDescent="0.25">
      <c r="A401" s="35"/>
      <c r="C401" s="36" t="s">
        <v>56</v>
      </c>
      <c r="D401" s="36" t="s">
        <v>727</v>
      </c>
      <c r="F401" s="37">
        <v>1</v>
      </c>
      <c r="K401" s="38"/>
    </row>
    <row r="402" spans="1:76" x14ac:dyDescent="0.25">
      <c r="A402" s="2" t="s">
        <v>728</v>
      </c>
      <c r="B402" s="3" t="s">
        <v>729</v>
      </c>
      <c r="C402" s="112" t="s">
        <v>730</v>
      </c>
      <c r="D402" s="107"/>
      <c r="E402" s="3" t="s">
        <v>59</v>
      </c>
      <c r="F402" s="31">
        <v>2.0874999999999999</v>
      </c>
      <c r="G402" s="32">
        <v>0</v>
      </c>
      <c r="H402" s="31">
        <f>ROUND(F402*AO402,2)</f>
        <v>0</v>
      </c>
      <c r="I402" s="31">
        <f>ROUND(F402*AP402,2)</f>
        <v>0</v>
      </c>
      <c r="J402" s="31">
        <f>ROUND(F402*G402,2)</f>
        <v>0</v>
      </c>
      <c r="K402" s="33" t="s">
        <v>60</v>
      </c>
      <c r="Z402" s="31">
        <f>ROUND(IF(AQ402="5",BJ402,0),2)</f>
        <v>0</v>
      </c>
      <c r="AB402" s="31">
        <f>ROUND(IF(AQ402="1",BH402,0),2)</f>
        <v>0</v>
      </c>
      <c r="AC402" s="31">
        <f>ROUND(IF(AQ402="1",BI402,0),2)</f>
        <v>0</v>
      </c>
      <c r="AD402" s="31">
        <f>ROUND(IF(AQ402="7",BH402,0),2)</f>
        <v>0</v>
      </c>
      <c r="AE402" s="31">
        <f>ROUND(IF(AQ402="7",BI402,0),2)</f>
        <v>0</v>
      </c>
      <c r="AF402" s="31">
        <f>ROUND(IF(AQ402="2",BH402,0),2)</f>
        <v>0</v>
      </c>
      <c r="AG402" s="31">
        <f>ROUND(IF(AQ402="2",BI402,0),2)</f>
        <v>0</v>
      </c>
      <c r="AH402" s="31">
        <f>ROUND(IF(AQ402="0",BJ402,0),2)</f>
        <v>0</v>
      </c>
      <c r="AI402" s="11" t="s">
        <v>56</v>
      </c>
      <c r="AJ402" s="31">
        <f>IF(AN402=0,J402,0)</f>
        <v>0</v>
      </c>
      <c r="AK402" s="31">
        <f>IF(AN402=12,J402,0)</f>
        <v>0</v>
      </c>
      <c r="AL402" s="31">
        <f>IF(AN402=21,J402,0)</f>
        <v>0</v>
      </c>
      <c r="AN402" s="31">
        <v>21</v>
      </c>
      <c r="AO402" s="31">
        <f>G402*0.047062672</f>
        <v>0</v>
      </c>
      <c r="AP402" s="31">
        <f>G402*(1-0.047062672)</f>
        <v>0</v>
      </c>
      <c r="AQ402" s="34" t="s">
        <v>56</v>
      </c>
      <c r="AV402" s="31">
        <f>ROUND(AW402+AX402,2)</f>
        <v>0</v>
      </c>
      <c r="AW402" s="31">
        <f>ROUND(F402*AO402,2)</f>
        <v>0</v>
      </c>
      <c r="AX402" s="31">
        <f>ROUND(F402*AP402,2)</f>
        <v>0</v>
      </c>
      <c r="AY402" s="34" t="s">
        <v>704</v>
      </c>
      <c r="AZ402" s="34" t="s">
        <v>676</v>
      </c>
      <c r="BA402" s="11" t="s">
        <v>63</v>
      </c>
      <c r="BC402" s="31">
        <f>AW402+AX402</f>
        <v>0</v>
      </c>
      <c r="BD402" s="31">
        <f>G402/(100-BE402)*100</f>
        <v>0</v>
      </c>
      <c r="BE402" s="31">
        <v>0</v>
      </c>
      <c r="BF402" s="31">
        <f>402</f>
        <v>402</v>
      </c>
      <c r="BH402" s="31">
        <f>F402*AO402</f>
        <v>0</v>
      </c>
      <c r="BI402" s="31">
        <f>F402*AP402</f>
        <v>0</v>
      </c>
      <c r="BJ402" s="31">
        <f>F402*G402</f>
        <v>0</v>
      </c>
      <c r="BK402" s="34" t="s">
        <v>64</v>
      </c>
      <c r="BL402" s="31">
        <v>96</v>
      </c>
      <c r="BW402" s="31">
        <v>21</v>
      </c>
      <c r="BX402" s="5" t="s">
        <v>730</v>
      </c>
    </row>
    <row r="403" spans="1:76" x14ac:dyDescent="0.25">
      <c r="A403" s="35"/>
      <c r="C403" s="36" t="s">
        <v>731</v>
      </c>
      <c r="D403" s="36" t="s">
        <v>52</v>
      </c>
      <c r="F403" s="37">
        <v>2.0874999999999999</v>
      </c>
      <c r="K403" s="38"/>
    </row>
    <row r="404" spans="1:76" x14ac:dyDescent="0.25">
      <c r="A404" s="2" t="s">
        <v>732</v>
      </c>
      <c r="B404" s="3" t="s">
        <v>733</v>
      </c>
      <c r="C404" s="112" t="s">
        <v>734</v>
      </c>
      <c r="D404" s="107"/>
      <c r="E404" s="3" t="s">
        <v>138</v>
      </c>
      <c r="F404" s="31">
        <v>3.3243499999999999</v>
      </c>
      <c r="G404" s="32">
        <v>0</v>
      </c>
      <c r="H404" s="31">
        <f>ROUND(F404*AO404,2)</f>
        <v>0</v>
      </c>
      <c r="I404" s="31">
        <f>ROUND(F404*AP404,2)</f>
        <v>0</v>
      </c>
      <c r="J404" s="31">
        <f>ROUND(F404*G404,2)</f>
        <v>0</v>
      </c>
      <c r="K404" s="33" t="s">
        <v>60</v>
      </c>
      <c r="Z404" s="31">
        <f>ROUND(IF(AQ404="5",BJ404,0),2)</f>
        <v>0</v>
      </c>
      <c r="AB404" s="31">
        <f>ROUND(IF(AQ404="1",BH404,0),2)</f>
        <v>0</v>
      </c>
      <c r="AC404" s="31">
        <f>ROUND(IF(AQ404="1",BI404,0),2)</f>
        <v>0</v>
      </c>
      <c r="AD404" s="31">
        <f>ROUND(IF(AQ404="7",BH404,0),2)</f>
        <v>0</v>
      </c>
      <c r="AE404" s="31">
        <f>ROUND(IF(AQ404="7",BI404,0),2)</f>
        <v>0</v>
      </c>
      <c r="AF404" s="31">
        <f>ROUND(IF(AQ404="2",BH404,0),2)</f>
        <v>0</v>
      </c>
      <c r="AG404" s="31">
        <f>ROUND(IF(AQ404="2",BI404,0),2)</f>
        <v>0</v>
      </c>
      <c r="AH404" s="31">
        <f>ROUND(IF(AQ404="0",BJ404,0),2)</f>
        <v>0</v>
      </c>
      <c r="AI404" s="11" t="s">
        <v>56</v>
      </c>
      <c r="AJ404" s="31">
        <f>IF(AN404=0,J404,0)</f>
        <v>0</v>
      </c>
      <c r="AK404" s="31">
        <f>IF(AN404=12,J404,0)</f>
        <v>0</v>
      </c>
      <c r="AL404" s="31">
        <f>IF(AN404=21,J404,0)</f>
        <v>0</v>
      </c>
      <c r="AN404" s="31">
        <v>21</v>
      </c>
      <c r="AO404" s="31">
        <f>G404*0</f>
        <v>0</v>
      </c>
      <c r="AP404" s="31">
        <f>G404*(1-0)</f>
        <v>0</v>
      </c>
      <c r="AQ404" s="34" t="s">
        <v>56</v>
      </c>
      <c r="AV404" s="31">
        <f>ROUND(AW404+AX404,2)</f>
        <v>0</v>
      </c>
      <c r="AW404" s="31">
        <f>ROUND(F404*AO404,2)</f>
        <v>0</v>
      </c>
      <c r="AX404" s="31">
        <f>ROUND(F404*AP404,2)</f>
        <v>0</v>
      </c>
      <c r="AY404" s="34" t="s">
        <v>704</v>
      </c>
      <c r="AZ404" s="34" t="s">
        <v>676</v>
      </c>
      <c r="BA404" s="11" t="s">
        <v>63</v>
      </c>
      <c r="BC404" s="31">
        <f>AW404+AX404</f>
        <v>0</v>
      </c>
      <c r="BD404" s="31">
        <f>G404/(100-BE404)*100</f>
        <v>0</v>
      </c>
      <c r="BE404" s="31">
        <v>0</v>
      </c>
      <c r="BF404" s="31">
        <f>404</f>
        <v>404</v>
      </c>
      <c r="BH404" s="31">
        <f>F404*AO404</f>
        <v>0</v>
      </c>
      <c r="BI404" s="31">
        <f>F404*AP404</f>
        <v>0</v>
      </c>
      <c r="BJ404" s="31">
        <f>F404*G404</f>
        <v>0</v>
      </c>
      <c r="BK404" s="34" t="s">
        <v>64</v>
      </c>
      <c r="BL404" s="31">
        <v>96</v>
      </c>
      <c r="BW404" s="31">
        <v>21</v>
      </c>
      <c r="BX404" s="5" t="s">
        <v>734</v>
      </c>
    </row>
    <row r="405" spans="1:76" x14ac:dyDescent="0.25">
      <c r="A405" s="35"/>
      <c r="C405" s="36" t="s">
        <v>735</v>
      </c>
      <c r="D405" s="36" t="s">
        <v>736</v>
      </c>
      <c r="F405" s="37">
        <v>3.3243499999999999</v>
      </c>
      <c r="K405" s="38"/>
    </row>
    <row r="406" spans="1:76" x14ac:dyDescent="0.25">
      <c r="A406" s="2" t="s">
        <v>737</v>
      </c>
      <c r="B406" s="3" t="s">
        <v>738</v>
      </c>
      <c r="C406" s="112" t="s">
        <v>739</v>
      </c>
      <c r="D406" s="107"/>
      <c r="E406" s="3" t="s">
        <v>215</v>
      </c>
      <c r="F406" s="31">
        <v>0.78</v>
      </c>
      <c r="G406" s="32">
        <v>0</v>
      </c>
      <c r="H406" s="31">
        <f>ROUND(F406*AO406,2)</f>
        <v>0</v>
      </c>
      <c r="I406" s="31">
        <f>ROUND(F406*AP406,2)</f>
        <v>0</v>
      </c>
      <c r="J406" s="31">
        <f>ROUND(F406*G406,2)</f>
        <v>0</v>
      </c>
      <c r="K406" s="33" t="s">
        <v>60</v>
      </c>
      <c r="Z406" s="31">
        <f>ROUND(IF(AQ406="5",BJ406,0),2)</f>
        <v>0</v>
      </c>
      <c r="AB406" s="31">
        <f>ROUND(IF(AQ406="1",BH406,0),2)</f>
        <v>0</v>
      </c>
      <c r="AC406" s="31">
        <f>ROUND(IF(AQ406="1",BI406,0),2)</f>
        <v>0</v>
      </c>
      <c r="AD406" s="31">
        <f>ROUND(IF(AQ406="7",BH406,0),2)</f>
        <v>0</v>
      </c>
      <c r="AE406" s="31">
        <f>ROUND(IF(AQ406="7",BI406,0),2)</f>
        <v>0</v>
      </c>
      <c r="AF406" s="31">
        <f>ROUND(IF(AQ406="2",BH406,0),2)</f>
        <v>0</v>
      </c>
      <c r="AG406" s="31">
        <f>ROUND(IF(AQ406="2",BI406,0),2)</f>
        <v>0</v>
      </c>
      <c r="AH406" s="31">
        <f>ROUND(IF(AQ406="0",BJ406,0),2)</f>
        <v>0</v>
      </c>
      <c r="AI406" s="11" t="s">
        <v>56</v>
      </c>
      <c r="AJ406" s="31">
        <f>IF(AN406=0,J406,0)</f>
        <v>0</v>
      </c>
      <c r="AK406" s="31">
        <f>IF(AN406=12,J406,0)</f>
        <v>0</v>
      </c>
      <c r="AL406" s="31">
        <f>IF(AN406=21,J406,0)</f>
        <v>0</v>
      </c>
      <c r="AN406" s="31">
        <v>21</v>
      </c>
      <c r="AO406" s="31">
        <f>G406*0</f>
        <v>0</v>
      </c>
      <c r="AP406" s="31">
        <f>G406*(1-0)</f>
        <v>0</v>
      </c>
      <c r="AQ406" s="34" t="s">
        <v>56</v>
      </c>
      <c r="AV406" s="31">
        <f>ROUND(AW406+AX406,2)</f>
        <v>0</v>
      </c>
      <c r="AW406" s="31">
        <f>ROUND(F406*AO406,2)</f>
        <v>0</v>
      </c>
      <c r="AX406" s="31">
        <f>ROUND(F406*AP406,2)</f>
        <v>0</v>
      </c>
      <c r="AY406" s="34" t="s">
        <v>704</v>
      </c>
      <c r="AZ406" s="34" t="s">
        <v>676</v>
      </c>
      <c r="BA406" s="11" t="s">
        <v>63</v>
      </c>
      <c r="BC406" s="31">
        <f>AW406+AX406</f>
        <v>0</v>
      </c>
      <c r="BD406" s="31">
        <f>G406/(100-BE406)*100</f>
        <v>0</v>
      </c>
      <c r="BE406" s="31">
        <v>0</v>
      </c>
      <c r="BF406" s="31">
        <f>406</f>
        <v>406</v>
      </c>
      <c r="BH406" s="31">
        <f>F406*AO406</f>
        <v>0</v>
      </c>
      <c r="BI406" s="31">
        <f>F406*AP406</f>
        <v>0</v>
      </c>
      <c r="BJ406" s="31">
        <f>F406*G406</f>
        <v>0</v>
      </c>
      <c r="BK406" s="34" t="s">
        <v>64</v>
      </c>
      <c r="BL406" s="31">
        <v>96</v>
      </c>
      <c r="BW406" s="31">
        <v>21</v>
      </c>
      <c r="BX406" s="5" t="s">
        <v>739</v>
      </c>
    </row>
    <row r="407" spans="1:76" x14ac:dyDescent="0.25">
      <c r="A407" s="35"/>
      <c r="C407" s="36" t="s">
        <v>740</v>
      </c>
      <c r="D407" s="36" t="s">
        <v>425</v>
      </c>
      <c r="F407" s="37">
        <v>0.45</v>
      </c>
      <c r="K407" s="38"/>
    </row>
    <row r="408" spans="1:76" x14ac:dyDescent="0.25">
      <c r="A408" s="35"/>
      <c r="C408" s="36" t="s">
        <v>741</v>
      </c>
      <c r="D408" s="36" t="s">
        <v>367</v>
      </c>
      <c r="F408" s="37">
        <v>0.215</v>
      </c>
      <c r="K408" s="38"/>
    </row>
    <row r="409" spans="1:76" x14ac:dyDescent="0.25">
      <c r="A409" s="35"/>
      <c r="C409" s="36" t="s">
        <v>742</v>
      </c>
      <c r="D409" s="36" t="s">
        <v>743</v>
      </c>
      <c r="F409" s="37">
        <v>0.115</v>
      </c>
      <c r="K409" s="38"/>
    </row>
    <row r="410" spans="1:76" x14ac:dyDescent="0.25">
      <c r="A410" s="2" t="s">
        <v>744</v>
      </c>
      <c r="B410" s="3" t="s">
        <v>745</v>
      </c>
      <c r="C410" s="112" t="s">
        <v>746</v>
      </c>
      <c r="D410" s="107"/>
      <c r="E410" s="3" t="s">
        <v>138</v>
      </c>
      <c r="F410" s="31">
        <v>6.2469999999999998E-2</v>
      </c>
      <c r="G410" s="32">
        <v>0</v>
      </c>
      <c r="H410" s="31">
        <f>ROUND(F410*AO410,2)</f>
        <v>0</v>
      </c>
      <c r="I410" s="31">
        <f>ROUND(F410*AP410,2)</f>
        <v>0</v>
      </c>
      <c r="J410" s="31">
        <f>ROUND(F410*G410,2)</f>
        <v>0</v>
      </c>
      <c r="K410" s="33" t="s">
        <v>60</v>
      </c>
      <c r="Z410" s="31">
        <f>ROUND(IF(AQ410="5",BJ410,0),2)</f>
        <v>0</v>
      </c>
      <c r="AB410" s="31">
        <f>ROUND(IF(AQ410="1",BH410,0),2)</f>
        <v>0</v>
      </c>
      <c r="AC410" s="31">
        <f>ROUND(IF(AQ410="1",BI410,0),2)</f>
        <v>0</v>
      </c>
      <c r="AD410" s="31">
        <f>ROUND(IF(AQ410="7",BH410,0),2)</f>
        <v>0</v>
      </c>
      <c r="AE410" s="31">
        <f>ROUND(IF(AQ410="7",BI410,0),2)</f>
        <v>0</v>
      </c>
      <c r="AF410" s="31">
        <f>ROUND(IF(AQ410="2",BH410,0),2)</f>
        <v>0</v>
      </c>
      <c r="AG410" s="31">
        <f>ROUND(IF(AQ410="2",BI410,0),2)</f>
        <v>0</v>
      </c>
      <c r="AH410" s="31">
        <f>ROUND(IF(AQ410="0",BJ410,0),2)</f>
        <v>0</v>
      </c>
      <c r="AI410" s="11" t="s">
        <v>56</v>
      </c>
      <c r="AJ410" s="31">
        <f>IF(AN410=0,J410,0)</f>
        <v>0</v>
      </c>
      <c r="AK410" s="31">
        <f>IF(AN410=12,J410,0)</f>
        <v>0</v>
      </c>
      <c r="AL410" s="31">
        <f>IF(AN410=21,J410,0)</f>
        <v>0</v>
      </c>
      <c r="AN410" s="31">
        <v>21</v>
      </c>
      <c r="AO410" s="31">
        <f>G410*0.062542929</f>
        <v>0</v>
      </c>
      <c r="AP410" s="31">
        <f>G410*(1-0.062542929)</f>
        <v>0</v>
      </c>
      <c r="AQ410" s="34" t="s">
        <v>56</v>
      </c>
      <c r="AV410" s="31">
        <f>ROUND(AW410+AX410,2)</f>
        <v>0</v>
      </c>
      <c r="AW410" s="31">
        <f>ROUND(F410*AO410,2)</f>
        <v>0</v>
      </c>
      <c r="AX410" s="31">
        <f>ROUND(F410*AP410,2)</f>
        <v>0</v>
      </c>
      <c r="AY410" s="34" t="s">
        <v>704</v>
      </c>
      <c r="AZ410" s="34" t="s">
        <v>676</v>
      </c>
      <c r="BA410" s="11" t="s">
        <v>63</v>
      </c>
      <c r="BC410" s="31">
        <f>AW410+AX410</f>
        <v>0</v>
      </c>
      <c r="BD410" s="31">
        <f>G410/(100-BE410)*100</f>
        <v>0</v>
      </c>
      <c r="BE410" s="31">
        <v>0</v>
      </c>
      <c r="BF410" s="31">
        <f>410</f>
        <v>410</v>
      </c>
      <c r="BH410" s="31">
        <f>F410*AO410</f>
        <v>0</v>
      </c>
      <c r="BI410" s="31">
        <f>F410*AP410</f>
        <v>0</v>
      </c>
      <c r="BJ410" s="31">
        <f>F410*G410</f>
        <v>0</v>
      </c>
      <c r="BK410" s="34" t="s">
        <v>64</v>
      </c>
      <c r="BL410" s="31">
        <v>96</v>
      </c>
      <c r="BW410" s="31">
        <v>21</v>
      </c>
      <c r="BX410" s="5" t="s">
        <v>746</v>
      </c>
    </row>
    <row r="411" spans="1:76" x14ac:dyDescent="0.25">
      <c r="A411" s="35"/>
      <c r="C411" s="36" t="s">
        <v>747</v>
      </c>
      <c r="D411" s="36" t="s">
        <v>748</v>
      </c>
      <c r="F411" s="37">
        <v>1.2489999999999999E-2</v>
      </c>
      <c r="K411" s="38"/>
    </row>
    <row r="412" spans="1:76" x14ac:dyDescent="0.25">
      <c r="A412" s="35"/>
      <c r="C412" s="36" t="s">
        <v>749</v>
      </c>
      <c r="D412" s="36" t="s">
        <v>750</v>
      </c>
      <c r="F412" s="37">
        <v>4.9979999999999997E-2</v>
      </c>
      <c r="K412" s="38"/>
    </row>
    <row r="413" spans="1:76" x14ac:dyDescent="0.25">
      <c r="A413" s="26" t="s">
        <v>52</v>
      </c>
      <c r="B413" s="27" t="s">
        <v>648</v>
      </c>
      <c r="C413" s="133" t="s">
        <v>751</v>
      </c>
      <c r="D413" s="134"/>
      <c r="E413" s="28" t="s">
        <v>4</v>
      </c>
      <c r="F413" s="28" t="s">
        <v>4</v>
      </c>
      <c r="G413" s="29" t="s">
        <v>4</v>
      </c>
      <c r="H413" s="1">
        <f>SUM(H414:H424)</f>
        <v>0</v>
      </c>
      <c r="I413" s="1">
        <f>SUM(I414:I424)</f>
        <v>0</v>
      </c>
      <c r="J413" s="1">
        <f>SUM(J414:J424)</f>
        <v>0</v>
      </c>
      <c r="K413" s="30" t="s">
        <v>52</v>
      </c>
      <c r="AI413" s="11" t="s">
        <v>56</v>
      </c>
      <c r="AS413" s="1">
        <f>SUM(AJ414:AJ424)</f>
        <v>0</v>
      </c>
      <c r="AT413" s="1">
        <f>SUM(AK414:AK424)</f>
        <v>0</v>
      </c>
      <c r="AU413" s="1">
        <f>SUM(AL414:AL424)</f>
        <v>0</v>
      </c>
    </row>
    <row r="414" spans="1:76" x14ac:dyDescent="0.25">
      <c r="A414" s="2" t="s">
        <v>752</v>
      </c>
      <c r="B414" s="3" t="s">
        <v>753</v>
      </c>
      <c r="C414" s="112" t="s">
        <v>754</v>
      </c>
      <c r="D414" s="107"/>
      <c r="E414" s="3" t="s">
        <v>215</v>
      </c>
      <c r="F414" s="31">
        <v>15.7</v>
      </c>
      <c r="G414" s="32">
        <v>0</v>
      </c>
      <c r="H414" s="31">
        <f>ROUND(F414*AO414,2)</f>
        <v>0</v>
      </c>
      <c r="I414" s="31">
        <f>ROUND(F414*AP414,2)</f>
        <v>0</v>
      </c>
      <c r="J414" s="31">
        <f>ROUND(F414*G414,2)</f>
        <v>0</v>
      </c>
      <c r="K414" s="33" t="s">
        <v>60</v>
      </c>
      <c r="Z414" s="31">
        <f>ROUND(IF(AQ414="5",BJ414,0),2)</f>
        <v>0</v>
      </c>
      <c r="AB414" s="31">
        <f>ROUND(IF(AQ414="1",BH414,0),2)</f>
        <v>0</v>
      </c>
      <c r="AC414" s="31">
        <f>ROUND(IF(AQ414="1",BI414,0),2)</f>
        <v>0</v>
      </c>
      <c r="AD414" s="31">
        <f>ROUND(IF(AQ414="7",BH414,0),2)</f>
        <v>0</v>
      </c>
      <c r="AE414" s="31">
        <f>ROUND(IF(AQ414="7",BI414,0),2)</f>
        <v>0</v>
      </c>
      <c r="AF414" s="31">
        <f>ROUND(IF(AQ414="2",BH414,0),2)</f>
        <v>0</v>
      </c>
      <c r="AG414" s="31">
        <f>ROUND(IF(AQ414="2",BI414,0),2)</f>
        <v>0</v>
      </c>
      <c r="AH414" s="31">
        <f>ROUND(IF(AQ414="0",BJ414,0),2)</f>
        <v>0</v>
      </c>
      <c r="AI414" s="11" t="s">
        <v>56</v>
      </c>
      <c r="AJ414" s="31">
        <f>IF(AN414=0,J414,0)</f>
        <v>0</v>
      </c>
      <c r="AK414" s="31">
        <f>IF(AN414=12,J414,0)</f>
        <v>0</v>
      </c>
      <c r="AL414" s="31">
        <f>IF(AN414=21,J414,0)</f>
        <v>0</v>
      </c>
      <c r="AN414" s="31">
        <v>21</v>
      </c>
      <c r="AO414" s="31">
        <f>G414*0.035301251</f>
        <v>0</v>
      </c>
      <c r="AP414" s="31">
        <f>G414*(1-0.035301251)</f>
        <v>0</v>
      </c>
      <c r="AQ414" s="34" t="s">
        <v>56</v>
      </c>
      <c r="AV414" s="31">
        <f>ROUND(AW414+AX414,2)</f>
        <v>0</v>
      </c>
      <c r="AW414" s="31">
        <f>ROUND(F414*AO414,2)</f>
        <v>0</v>
      </c>
      <c r="AX414" s="31">
        <f>ROUND(F414*AP414,2)</f>
        <v>0</v>
      </c>
      <c r="AY414" s="34" t="s">
        <v>755</v>
      </c>
      <c r="AZ414" s="34" t="s">
        <v>676</v>
      </c>
      <c r="BA414" s="11" t="s">
        <v>63</v>
      </c>
      <c r="BC414" s="31">
        <f>AW414+AX414</f>
        <v>0</v>
      </c>
      <c r="BD414" s="31">
        <f>G414/(100-BE414)*100</f>
        <v>0</v>
      </c>
      <c r="BE414" s="31">
        <v>0</v>
      </c>
      <c r="BF414" s="31">
        <f>414</f>
        <v>414</v>
      </c>
      <c r="BH414" s="31">
        <f>F414*AO414</f>
        <v>0</v>
      </c>
      <c r="BI414" s="31">
        <f>F414*AP414</f>
        <v>0</v>
      </c>
      <c r="BJ414" s="31">
        <f>F414*G414</f>
        <v>0</v>
      </c>
      <c r="BK414" s="34" t="s">
        <v>64</v>
      </c>
      <c r="BL414" s="31">
        <v>97</v>
      </c>
      <c r="BW414" s="31">
        <v>21</v>
      </c>
      <c r="BX414" s="5" t="s">
        <v>754</v>
      </c>
    </row>
    <row r="415" spans="1:76" x14ac:dyDescent="0.25">
      <c r="A415" s="35"/>
      <c r="C415" s="36" t="s">
        <v>95</v>
      </c>
      <c r="D415" s="36" t="s">
        <v>96</v>
      </c>
      <c r="F415" s="37">
        <v>2.9</v>
      </c>
      <c r="K415" s="38"/>
    </row>
    <row r="416" spans="1:76" x14ac:dyDescent="0.25">
      <c r="A416" s="35"/>
      <c r="C416" s="36" t="s">
        <v>97</v>
      </c>
      <c r="D416" s="36" t="s">
        <v>98</v>
      </c>
      <c r="F416" s="37">
        <v>12.3</v>
      </c>
      <c r="K416" s="38"/>
    </row>
    <row r="417" spans="1:76" x14ac:dyDescent="0.25">
      <c r="A417" s="35"/>
      <c r="C417" s="36" t="s">
        <v>99</v>
      </c>
      <c r="D417" s="36" t="s">
        <v>100</v>
      </c>
      <c r="F417" s="37">
        <v>0.5</v>
      </c>
      <c r="K417" s="38"/>
    </row>
    <row r="418" spans="1:76" x14ac:dyDescent="0.25">
      <c r="A418" s="2" t="s">
        <v>756</v>
      </c>
      <c r="B418" s="3" t="s">
        <v>757</v>
      </c>
      <c r="C418" s="112" t="s">
        <v>758</v>
      </c>
      <c r="D418" s="107"/>
      <c r="E418" s="3" t="s">
        <v>81</v>
      </c>
      <c r="F418" s="31">
        <v>1</v>
      </c>
      <c r="G418" s="32">
        <v>0</v>
      </c>
      <c r="H418" s="31">
        <f>ROUND(F418*AO418,2)</f>
        <v>0</v>
      </c>
      <c r="I418" s="31">
        <f>ROUND(F418*AP418,2)</f>
        <v>0</v>
      </c>
      <c r="J418" s="31">
        <f>ROUND(F418*G418,2)</f>
        <v>0</v>
      </c>
      <c r="K418" s="33" t="s">
        <v>60</v>
      </c>
      <c r="Z418" s="31">
        <f>ROUND(IF(AQ418="5",BJ418,0),2)</f>
        <v>0</v>
      </c>
      <c r="AB418" s="31">
        <f>ROUND(IF(AQ418="1",BH418,0),2)</f>
        <v>0</v>
      </c>
      <c r="AC418" s="31">
        <f>ROUND(IF(AQ418="1",BI418,0),2)</f>
        <v>0</v>
      </c>
      <c r="AD418" s="31">
        <f>ROUND(IF(AQ418="7",BH418,0),2)</f>
        <v>0</v>
      </c>
      <c r="AE418" s="31">
        <f>ROUND(IF(AQ418="7",BI418,0),2)</f>
        <v>0</v>
      </c>
      <c r="AF418" s="31">
        <f>ROUND(IF(AQ418="2",BH418,0),2)</f>
        <v>0</v>
      </c>
      <c r="AG418" s="31">
        <f>ROUND(IF(AQ418="2",BI418,0),2)</f>
        <v>0</v>
      </c>
      <c r="AH418" s="31">
        <f>ROUND(IF(AQ418="0",BJ418,0),2)</f>
        <v>0</v>
      </c>
      <c r="AI418" s="11" t="s">
        <v>56</v>
      </c>
      <c r="AJ418" s="31">
        <f>IF(AN418=0,J418,0)</f>
        <v>0</v>
      </c>
      <c r="AK418" s="31">
        <f>IF(AN418=12,J418,0)</f>
        <v>0</v>
      </c>
      <c r="AL418" s="31">
        <f>IF(AN418=21,J418,0)</f>
        <v>0</v>
      </c>
      <c r="AN418" s="31">
        <v>21</v>
      </c>
      <c r="AO418" s="31">
        <f>G418*0.025483871</f>
        <v>0</v>
      </c>
      <c r="AP418" s="31">
        <f>G418*(1-0.025483871)</f>
        <v>0</v>
      </c>
      <c r="AQ418" s="34" t="s">
        <v>56</v>
      </c>
      <c r="AV418" s="31">
        <f>ROUND(AW418+AX418,2)</f>
        <v>0</v>
      </c>
      <c r="AW418" s="31">
        <f>ROUND(F418*AO418,2)</f>
        <v>0</v>
      </c>
      <c r="AX418" s="31">
        <f>ROUND(F418*AP418,2)</f>
        <v>0</v>
      </c>
      <c r="AY418" s="34" t="s">
        <v>755</v>
      </c>
      <c r="AZ418" s="34" t="s">
        <v>676</v>
      </c>
      <c r="BA418" s="11" t="s">
        <v>63</v>
      </c>
      <c r="BC418" s="31">
        <f>AW418+AX418</f>
        <v>0</v>
      </c>
      <c r="BD418" s="31">
        <f>G418/(100-BE418)*100</f>
        <v>0</v>
      </c>
      <c r="BE418" s="31">
        <v>0</v>
      </c>
      <c r="BF418" s="31">
        <f>418</f>
        <v>418</v>
      </c>
      <c r="BH418" s="31">
        <f>F418*AO418</f>
        <v>0</v>
      </c>
      <c r="BI418" s="31">
        <f>F418*AP418</f>
        <v>0</v>
      </c>
      <c r="BJ418" s="31">
        <f>F418*G418</f>
        <v>0</v>
      </c>
      <c r="BK418" s="34" t="s">
        <v>64</v>
      </c>
      <c r="BL418" s="31">
        <v>97</v>
      </c>
      <c r="BW418" s="31">
        <v>21</v>
      </c>
      <c r="BX418" s="5" t="s">
        <v>758</v>
      </c>
    </row>
    <row r="419" spans="1:76" x14ac:dyDescent="0.25">
      <c r="A419" s="35"/>
      <c r="C419" s="36" t="s">
        <v>56</v>
      </c>
      <c r="D419" s="36" t="s">
        <v>759</v>
      </c>
      <c r="F419" s="37">
        <v>1</v>
      </c>
      <c r="K419" s="38"/>
    </row>
    <row r="420" spans="1:76" x14ac:dyDescent="0.25">
      <c r="A420" s="2" t="s">
        <v>760</v>
      </c>
      <c r="B420" s="3" t="s">
        <v>761</v>
      </c>
      <c r="C420" s="112" t="s">
        <v>762</v>
      </c>
      <c r="D420" s="107"/>
      <c r="E420" s="3" t="s">
        <v>81</v>
      </c>
      <c r="F420" s="31">
        <v>8</v>
      </c>
      <c r="G420" s="32">
        <v>0</v>
      </c>
      <c r="H420" s="31">
        <f>ROUND(F420*AO420,2)</f>
        <v>0</v>
      </c>
      <c r="I420" s="31">
        <f>ROUND(F420*AP420,2)</f>
        <v>0</v>
      </c>
      <c r="J420" s="31">
        <f>ROUND(F420*G420,2)</f>
        <v>0</v>
      </c>
      <c r="K420" s="33" t="s">
        <v>60</v>
      </c>
      <c r="Z420" s="31">
        <f>ROUND(IF(AQ420="5",BJ420,0),2)</f>
        <v>0</v>
      </c>
      <c r="AB420" s="31">
        <f>ROUND(IF(AQ420="1",BH420,0),2)</f>
        <v>0</v>
      </c>
      <c r="AC420" s="31">
        <f>ROUND(IF(AQ420="1",BI420,0),2)</f>
        <v>0</v>
      </c>
      <c r="AD420" s="31">
        <f>ROUND(IF(AQ420="7",BH420,0),2)</f>
        <v>0</v>
      </c>
      <c r="AE420" s="31">
        <f>ROUND(IF(AQ420="7",BI420,0),2)</f>
        <v>0</v>
      </c>
      <c r="AF420" s="31">
        <f>ROUND(IF(AQ420="2",BH420,0),2)</f>
        <v>0</v>
      </c>
      <c r="AG420" s="31">
        <f>ROUND(IF(AQ420="2",BI420,0),2)</f>
        <v>0</v>
      </c>
      <c r="AH420" s="31">
        <f>ROUND(IF(AQ420="0",BJ420,0),2)</f>
        <v>0</v>
      </c>
      <c r="AI420" s="11" t="s">
        <v>56</v>
      </c>
      <c r="AJ420" s="31">
        <f>IF(AN420=0,J420,0)</f>
        <v>0</v>
      </c>
      <c r="AK420" s="31">
        <f>IF(AN420=12,J420,0)</f>
        <v>0</v>
      </c>
      <c r="AL420" s="31">
        <f>IF(AN420=21,J420,0)</f>
        <v>0</v>
      </c>
      <c r="AN420" s="31">
        <v>21</v>
      </c>
      <c r="AO420" s="31">
        <f>G420*0</f>
        <v>0</v>
      </c>
      <c r="AP420" s="31">
        <f>G420*(1-0)</f>
        <v>0</v>
      </c>
      <c r="AQ420" s="34" t="s">
        <v>56</v>
      </c>
      <c r="AV420" s="31">
        <f>ROUND(AW420+AX420,2)</f>
        <v>0</v>
      </c>
      <c r="AW420" s="31">
        <f>ROUND(F420*AO420,2)</f>
        <v>0</v>
      </c>
      <c r="AX420" s="31">
        <f>ROUND(F420*AP420,2)</f>
        <v>0</v>
      </c>
      <c r="AY420" s="34" t="s">
        <v>755</v>
      </c>
      <c r="AZ420" s="34" t="s">
        <v>676</v>
      </c>
      <c r="BA420" s="11" t="s">
        <v>63</v>
      </c>
      <c r="BC420" s="31">
        <f>AW420+AX420</f>
        <v>0</v>
      </c>
      <c r="BD420" s="31">
        <f>G420/(100-BE420)*100</f>
        <v>0</v>
      </c>
      <c r="BE420" s="31">
        <v>0</v>
      </c>
      <c r="BF420" s="31">
        <f>420</f>
        <v>420</v>
      </c>
      <c r="BH420" s="31">
        <f>F420*AO420</f>
        <v>0</v>
      </c>
      <c r="BI420" s="31">
        <f>F420*AP420</f>
        <v>0</v>
      </c>
      <c r="BJ420" s="31">
        <f>F420*G420</f>
        <v>0</v>
      </c>
      <c r="BK420" s="34" t="s">
        <v>64</v>
      </c>
      <c r="BL420" s="31">
        <v>97</v>
      </c>
      <c r="BW420" s="31">
        <v>21</v>
      </c>
      <c r="BX420" s="5" t="s">
        <v>762</v>
      </c>
    </row>
    <row r="421" spans="1:76" x14ac:dyDescent="0.25">
      <c r="A421" s="35"/>
      <c r="C421" s="36" t="s">
        <v>763</v>
      </c>
      <c r="D421" s="36" t="s">
        <v>764</v>
      </c>
      <c r="F421" s="37">
        <v>6</v>
      </c>
      <c r="K421" s="38"/>
    </row>
    <row r="422" spans="1:76" x14ac:dyDescent="0.25">
      <c r="A422" s="35"/>
      <c r="C422" s="36" t="s">
        <v>56</v>
      </c>
      <c r="D422" s="36" t="s">
        <v>765</v>
      </c>
      <c r="F422" s="37">
        <v>1</v>
      </c>
      <c r="K422" s="38"/>
    </row>
    <row r="423" spans="1:76" x14ac:dyDescent="0.25">
      <c r="A423" s="35"/>
      <c r="C423" s="36" t="s">
        <v>56</v>
      </c>
      <c r="D423" s="36" t="s">
        <v>766</v>
      </c>
      <c r="F423" s="37">
        <v>1</v>
      </c>
      <c r="K423" s="38"/>
    </row>
    <row r="424" spans="1:76" x14ac:dyDescent="0.25">
      <c r="A424" s="2" t="s">
        <v>767</v>
      </c>
      <c r="B424" s="3" t="s">
        <v>768</v>
      </c>
      <c r="C424" s="112" t="s">
        <v>769</v>
      </c>
      <c r="D424" s="107"/>
      <c r="E424" s="3" t="s">
        <v>81</v>
      </c>
      <c r="F424" s="31">
        <v>1</v>
      </c>
      <c r="G424" s="32">
        <v>0</v>
      </c>
      <c r="H424" s="31">
        <f>ROUND(F424*AO424,2)</f>
        <v>0</v>
      </c>
      <c r="I424" s="31">
        <f>ROUND(F424*AP424,2)</f>
        <v>0</v>
      </c>
      <c r="J424" s="31">
        <f>ROUND(F424*G424,2)</f>
        <v>0</v>
      </c>
      <c r="K424" s="33" t="s">
        <v>60</v>
      </c>
      <c r="Z424" s="31">
        <f>ROUND(IF(AQ424="5",BJ424,0),2)</f>
        <v>0</v>
      </c>
      <c r="AB424" s="31">
        <f>ROUND(IF(AQ424="1",BH424,0),2)</f>
        <v>0</v>
      </c>
      <c r="AC424" s="31">
        <f>ROUND(IF(AQ424="1",BI424,0),2)</f>
        <v>0</v>
      </c>
      <c r="AD424" s="31">
        <f>ROUND(IF(AQ424="7",BH424,0),2)</f>
        <v>0</v>
      </c>
      <c r="AE424" s="31">
        <f>ROUND(IF(AQ424="7",BI424,0),2)</f>
        <v>0</v>
      </c>
      <c r="AF424" s="31">
        <f>ROUND(IF(AQ424="2",BH424,0),2)</f>
        <v>0</v>
      </c>
      <c r="AG424" s="31">
        <f>ROUND(IF(AQ424="2",BI424,0),2)</f>
        <v>0</v>
      </c>
      <c r="AH424" s="31">
        <f>ROUND(IF(AQ424="0",BJ424,0),2)</f>
        <v>0</v>
      </c>
      <c r="AI424" s="11" t="s">
        <v>56</v>
      </c>
      <c r="AJ424" s="31">
        <f>IF(AN424=0,J424,0)</f>
        <v>0</v>
      </c>
      <c r="AK424" s="31">
        <f>IF(AN424=12,J424,0)</f>
        <v>0</v>
      </c>
      <c r="AL424" s="31">
        <f>IF(AN424=21,J424,0)</f>
        <v>0</v>
      </c>
      <c r="AN424" s="31">
        <v>21</v>
      </c>
      <c r="AO424" s="31">
        <f>G424*0</f>
        <v>0</v>
      </c>
      <c r="AP424" s="31">
        <f>G424*(1-0)</f>
        <v>0</v>
      </c>
      <c r="AQ424" s="34" t="s">
        <v>56</v>
      </c>
      <c r="AV424" s="31">
        <f>ROUND(AW424+AX424,2)</f>
        <v>0</v>
      </c>
      <c r="AW424" s="31">
        <f>ROUND(F424*AO424,2)</f>
        <v>0</v>
      </c>
      <c r="AX424" s="31">
        <f>ROUND(F424*AP424,2)</f>
        <v>0</v>
      </c>
      <c r="AY424" s="34" t="s">
        <v>755</v>
      </c>
      <c r="AZ424" s="34" t="s">
        <v>676</v>
      </c>
      <c r="BA424" s="11" t="s">
        <v>63</v>
      </c>
      <c r="BC424" s="31">
        <f>AW424+AX424</f>
        <v>0</v>
      </c>
      <c r="BD424" s="31">
        <f>G424/(100-BE424)*100</f>
        <v>0</v>
      </c>
      <c r="BE424" s="31">
        <v>0</v>
      </c>
      <c r="BF424" s="31">
        <f>424</f>
        <v>424</v>
      </c>
      <c r="BH424" s="31">
        <f>F424*AO424</f>
        <v>0</v>
      </c>
      <c r="BI424" s="31">
        <f>F424*AP424</f>
        <v>0</v>
      </c>
      <c r="BJ424" s="31">
        <f>F424*G424</f>
        <v>0</v>
      </c>
      <c r="BK424" s="34" t="s">
        <v>64</v>
      </c>
      <c r="BL424" s="31">
        <v>97</v>
      </c>
      <c r="BW424" s="31">
        <v>21</v>
      </c>
      <c r="BX424" s="5" t="s">
        <v>769</v>
      </c>
    </row>
    <row r="425" spans="1:76" x14ac:dyDescent="0.25">
      <c r="A425" s="35"/>
      <c r="C425" s="36" t="s">
        <v>56</v>
      </c>
      <c r="D425" s="36" t="s">
        <v>770</v>
      </c>
      <c r="F425" s="37">
        <v>1</v>
      </c>
      <c r="K425" s="38"/>
    </row>
    <row r="426" spans="1:76" x14ac:dyDescent="0.25">
      <c r="A426" s="26" t="s">
        <v>52</v>
      </c>
      <c r="B426" s="27" t="s">
        <v>771</v>
      </c>
      <c r="C426" s="133" t="s">
        <v>772</v>
      </c>
      <c r="D426" s="134"/>
      <c r="E426" s="28" t="s">
        <v>4</v>
      </c>
      <c r="F426" s="28" t="s">
        <v>4</v>
      </c>
      <c r="G426" s="29" t="s">
        <v>4</v>
      </c>
      <c r="H426" s="1">
        <f>SUM(H427:H427)</f>
        <v>0</v>
      </c>
      <c r="I426" s="1">
        <f>SUM(I427:I427)</f>
        <v>0</v>
      </c>
      <c r="J426" s="1">
        <f>SUM(J427:J427)</f>
        <v>0</v>
      </c>
      <c r="K426" s="30" t="s">
        <v>52</v>
      </c>
      <c r="AI426" s="11" t="s">
        <v>56</v>
      </c>
      <c r="AS426" s="1">
        <f>SUM(AJ427:AJ427)</f>
        <v>0</v>
      </c>
      <c r="AT426" s="1">
        <f>SUM(AK427:AK427)</f>
        <v>0</v>
      </c>
      <c r="AU426" s="1">
        <f>SUM(AL427:AL427)</f>
        <v>0</v>
      </c>
    </row>
    <row r="427" spans="1:76" x14ac:dyDescent="0.25">
      <c r="A427" s="2" t="s">
        <v>773</v>
      </c>
      <c r="B427" s="3" t="s">
        <v>774</v>
      </c>
      <c r="C427" s="112" t="s">
        <v>775</v>
      </c>
      <c r="D427" s="107"/>
      <c r="E427" s="3" t="s">
        <v>276</v>
      </c>
      <c r="F427" s="31">
        <v>12.072620000000001</v>
      </c>
      <c r="G427" s="32">
        <v>0</v>
      </c>
      <c r="H427" s="31">
        <f>ROUND(F427*AO427,2)</f>
        <v>0</v>
      </c>
      <c r="I427" s="31">
        <f>ROUND(F427*AP427,2)</f>
        <v>0</v>
      </c>
      <c r="J427" s="31">
        <f>ROUND(F427*G427,2)</f>
        <v>0</v>
      </c>
      <c r="K427" s="33" t="s">
        <v>60</v>
      </c>
      <c r="Z427" s="31">
        <f>ROUND(IF(AQ427="5",BJ427,0),2)</f>
        <v>0</v>
      </c>
      <c r="AB427" s="31">
        <f>ROUND(IF(AQ427="1",BH427,0),2)</f>
        <v>0</v>
      </c>
      <c r="AC427" s="31">
        <f>ROUND(IF(AQ427="1",BI427,0),2)</f>
        <v>0</v>
      </c>
      <c r="AD427" s="31">
        <f>ROUND(IF(AQ427="7",BH427,0),2)</f>
        <v>0</v>
      </c>
      <c r="AE427" s="31">
        <f>ROUND(IF(AQ427="7",BI427,0),2)</f>
        <v>0</v>
      </c>
      <c r="AF427" s="31">
        <f>ROUND(IF(AQ427="2",BH427,0),2)</f>
        <v>0</v>
      </c>
      <c r="AG427" s="31">
        <f>ROUND(IF(AQ427="2",BI427,0),2)</f>
        <v>0</v>
      </c>
      <c r="AH427" s="31">
        <f>ROUND(IF(AQ427="0",BJ427,0),2)</f>
        <v>0</v>
      </c>
      <c r="AI427" s="11" t="s">
        <v>56</v>
      </c>
      <c r="AJ427" s="31">
        <f>IF(AN427=0,J427,0)</f>
        <v>0</v>
      </c>
      <c r="AK427" s="31">
        <f>IF(AN427=12,J427,0)</f>
        <v>0</v>
      </c>
      <c r="AL427" s="31">
        <f>IF(AN427=21,J427,0)</f>
        <v>0</v>
      </c>
      <c r="AN427" s="31">
        <v>21</v>
      </c>
      <c r="AO427" s="31">
        <f>G427*0</f>
        <v>0</v>
      </c>
      <c r="AP427" s="31">
        <f>G427*(1-0)</f>
        <v>0</v>
      </c>
      <c r="AQ427" s="34" t="s">
        <v>85</v>
      </c>
      <c r="AV427" s="31">
        <f>ROUND(AW427+AX427,2)</f>
        <v>0</v>
      </c>
      <c r="AW427" s="31">
        <f>ROUND(F427*AO427,2)</f>
        <v>0</v>
      </c>
      <c r="AX427" s="31">
        <f>ROUND(F427*AP427,2)</f>
        <v>0</v>
      </c>
      <c r="AY427" s="34" t="s">
        <v>776</v>
      </c>
      <c r="AZ427" s="34" t="s">
        <v>676</v>
      </c>
      <c r="BA427" s="11" t="s">
        <v>63</v>
      </c>
      <c r="BC427" s="31">
        <f>AW427+AX427</f>
        <v>0</v>
      </c>
      <c r="BD427" s="31">
        <f>G427/(100-BE427)*100</f>
        <v>0</v>
      </c>
      <c r="BE427" s="31">
        <v>0</v>
      </c>
      <c r="BF427" s="31">
        <f>427</f>
        <v>427</v>
      </c>
      <c r="BH427" s="31">
        <f>F427*AO427</f>
        <v>0</v>
      </c>
      <c r="BI427" s="31">
        <f>F427*AP427</f>
        <v>0</v>
      </c>
      <c r="BJ427" s="31">
        <f>F427*G427</f>
        <v>0</v>
      </c>
      <c r="BK427" s="34" t="s">
        <v>64</v>
      </c>
      <c r="BL427" s="31"/>
      <c r="BW427" s="31">
        <v>21</v>
      </c>
      <c r="BX427" s="5" t="s">
        <v>775</v>
      </c>
    </row>
    <row r="428" spans="1:76" x14ac:dyDescent="0.25">
      <c r="A428" s="26" t="s">
        <v>52</v>
      </c>
      <c r="B428" s="27" t="s">
        <v>777</v>
      </c>
      <c r="C428" s="133" t="s">
        <v>778</v>
      </c>
      <c r="D428" s="134"/>
      <c r="E428" s="28" t="s">
        <v>4</v>
      </c>
      <c r="F428" s="28" t="s">
        <v>4</v>
      </c>
      <c r="G428" s="29" t="s">
        <v>4</v>
      </c>
      <c r="H428" s="1">
        <f>SUM(H429:H435)</f>
        <v>0</v>
      </c>
      <c r="I428" s="1">
        <f>SUM(I429:I435)</f>
        <v>0</v>
      </c>
      <c r="J428" s="1">
        <f>SUM(J429:J435)</f>
        <v>0</v>
      </c>
      <c r="K428" s="30" t="s">
        <v>52</v>
      </c>
      <c r="AI428" s="11" t="s">
        <v>56</v>
      </c>
      <c r="AS428" s="1">
        <f>SUM(AJ429:AJ435)</f>
        <v>0</v>
      </c>
      <c r="AT428" s="1">
        <f>SUM(AK429:AK435)</f>
        <v>0</v>
      </c>
      <c r="AU428" s="1">
        <f>SUM(AL429:AL435)</f>
        <v>0</v>
      </c>
    </row>
    <row r="429" spans="1:76" x14ac:dyDescent="0.25">
      <c r="A429" s="2" t="s">
        <v>779</v>
      </c>
      <c r="B429" s="3" t="s">
        <v>780</v>
      </c>
      <c r="C429" s="112" t="s">
        <v>781</v>
      </c>
      <c r="D429" s="107"/>
      <c r="E429" s="3" t="s">
        <v>276</v>
      </c>
      <c r="F429" s="31">
        <v>9.8572100000000002</v>
      </c>
      <c r="G429" s="32">
        <v>0</v>
      </c>
      <c r="H429" s="31">
        <f>ROUND(F429*AO429,2)</f>
        <v>0</v>
      </c>
      <c r="I429" s="31">
        <f>ROUND(F429*AP429,2)</f>
        <v>0</v>
      </c>
      <c r="J429" s="31">
        <f>ROUND(F429*G429,2)</f>
        <v>0</v>
      </c>
      <c r="K429" s="33" t="s">
        <v>60</v>
      </c>
      <c r="Z429" s="31">
        <f>ROUND(IF(AQ429="5",BJ429,0),2)</f>
        <v>0</v>
      </c>
      <c r="AB429" s="31">
        <f>ROUND(IF(AQ429="1",BH429,0),2)</f>
        <v>0</v>
      </c>
      <c r="AC429" s="31">
        <f>ROUND(IF(AQ429="1",BI429,0),2)</f>
        <v>0</v>
      </c>
      <c r="AD429" s="31">
        <f>ROUND(IF(AQ429="7",BH429,0),2)</f>
        <v>0</v>
      </c>
      <c r="AE429" s="31">
        <f>ROUND(IF(AQ429="7",BI429,0),2)</f>
        <v>0</v>
      </c>
      <c r="AF429" s="31">
        <f>ROUND(IF(AQ429="2",BH429,0),2)</f>
        <v>0</v>
      </c>
      <c r="AG429" s="31">
        <f>ROUND(IF(AQ429="2",BI429,0),2)</f>
        <v>0</v>
      </c>
      <c r="AH429" s="31">
        <f>ROUND(IF(AQ429="0",BJ429,0),2)</f>
        <v>0</v>
      </c>
      <c r="AI429" s="11" t="s">
        <v>56</v>
      </c>
      <c r="AJ429" s="31">
        <f>IF(AN429=0,J429,0)</f>
        <v>0</v>
      </c>
      <c r="AK429" s="31">
        <f>IF(AN429=12,J429,0)</f>
        <v>0</v>
      </c>
      <c r="AL429" s="31">
        <f>IF(AN429=21,J429,0)</f>
        <v>0</v>
      </c>
      <c r="AN429" s="31">
        <v>21</v>
      </c>
      <c r="AO429" s="31">
        <f>G429*0</f>
        <v>0</v>
      </c>
      <c r="AP429" s="31">
        <f>G429*(1-0)</f>
        <v>0</v>
      </c>
      <c r="AQ429" s="34" t="s">
        <v>85</v>
      </c>
      <c r="AV429" s="31">
        <f>ROUND(AW429+AX429,2)</f>
        <v>0</v>
      </c>
      <c r="AW429" s="31">
        <f>ROUND(F429*AO429,2)</f>
        <v>0</v>
      </c>
      <c r="AX429" s="31">
        <f>ROUND(F429*AP429,2)</f>
        <v>0</v>
      </c>
      <c r="AY429" s="34" t="s">
        <v>782</v>
      </c>
      <c r="AZ429" s="34" t="s">
        <v>676</v>
      </c>
      <c r="BA429" s="11" t="s">
        <v>63</v>
      </c>
      <c r="BC429" s="31">
        <f>AW429+AX429</f>
        <v>0</v>
      </c>
      <c r="BD429" s="31">
        <f>G429/(100-BE429)*100</f>
        <v>0</v>
      </c>
      <c r="BE429" s="31">
        <v>0</v>
      </c>
      <c r="BF429" s="31">
        <f>429</f>
        <v>429</v>
      </c>
      <c r="BH429" s="31">
        <f>F429*AO429</f>
        <v>0</v>
      </c>
      <c r="BI429" s="31">
        <f>F429*AP429</f>
        <v>0</v>
      </c>
      <c r="BJ429" s="31">
        <f>F429*G429</f>
        <v>0</v>
      </c>
      <c r="BK429" s="34" t="s">
        <v>64</v>
      </c>
      <c r="BL429" s="31"/>
      <c r="BW429" s="31">
        <v>21</v>
      </c>
      <c r="BX429" s="5" t="s">
        <v>781</v>
      </c>
    </row>
    <row r="430" spans="1:76" x14ac:dyDescent="0.25">
      <c r="A430" s="2" t="s">
        <v>783</v>
      </c>
      <c r="B430" s="3" t="s">
        <v>784</v>
      </c>
      <c r="C430" s="112" t="s">
        <v>785</v>
      </c>
      <c r="D430" s="107"/>
      <c r="E430" s="3" t="s">
        <v>276</v>
      </c>
      <c r="F430" s="31">
        <v>147.85814999999999</v>
      </c>
      <c r="G430" s="32">
        <v>0</v>
      </c>
      <c r="H430" s="31">
        <f>ROUND(F430*AO430,2)</f>
        <v>0</v>
      </c>
      <c r="I430" s="31">
        <f>ROUND(F430*AP430,2)</f>
        <v>0</v>
      </c>
      <c r="J430" s="31">
        <f>ROUND(F430*G430,2)</f>
        <v>0</v>
      </c>
      <c r="K430" s="33" t="s">
        <v>60</v>
      </c>
      <c r="Z430" s="31">
        <f>ROUND(IF(AQ430="5",BJ430,0),2)</f>
        <v>0</v>
      </c>
      <c r="AB430" s="31">
        <f>ROUND(IF(AQ430="1",BH430,0),2)</f>
        <v>0</v>
      </c>
      <c r="AC430" s="31">
        <f>ROUND(IF(AQ430="1",BI430,0),2)</f>
        <v>0</v>
      </c>
      <c r="AD430" s="31">
        <f>ROUND(IF(AQ430="7",BH430,0),2)</f>
        <v>0</v>
      </c>
      <c r="AE430" s="31">
        <f>ROUND(IF(AQ430="7",BI430,0),2)</f>
        <v>0</v>
      </c>
      <c r="AF430" s="31">
        <f>ROUND(IF(AQ430="2",BH430,0),2)</f>
        <v>0</v>
      </c>
      <c r="AG430" s="31">
        <f>ROUND(IF(AQ430="2",BI430,0),2)</f>
        <v>0</v>
      </c>
      <c r="AH430" s="31">
        <f>ROUND(IF(AQ430="0",BJ430,0),2)</f>
        <v>0</v>
      </c>
      <c r="AI430" s="11" t="s">
        <v>56</v>
      </c>
      <c r="AJ430" s="31">
        <f>IF(AN430=0,J430,0)</f>
        <v>0</v>
      </c>
      <c r="AK430" s="31">
        <f>IF(AN430=12,J430,0)</f>
        <v>0</v>
      </c>
      <c r="AL430" s="31">
        <f>IF(AN430=21,J430,0)</f>
        <v>0</v>
      </c>
      <c r="AN430" s="31">
        <v>21</v>
      </c>
      <c r="AO430" s="31">
        <f>G430*0</f>
        <v>0</v>
      </c>
      <c r="AP430" s="31">
        <f>G430*(1-0)</f>
        <v>0</v>
      </c>
      <c r="AQ430" s="34" t="s">
        <v>85</v>
      </c>
      <c r="AV430" s="31">
        <f>ROUND(AW430+AX430,2)</f>
        <v>0</v>
      </c>
      <c r="AW430" s="31">
        <f>ROUND(F430*AO430,2)</f>
        <v>0</v>
      </c>
      <c r="AX430" s="31">
        <f>ROUND(F430*AP430,2)</f>
        <v>0</v>
      </c>
      <c r="AY430" s="34" t="s">
        <v>782</v>
      </c>
      <c r="AZ430" s="34" t="s">
        <v>676</v>
      </c>
      <c r="BA430" s="11" t="s">
        <v>63</v>
      </c>
      <c r="BC430" s="31">
        <f>AW430+AX430</f>
        <v>0</v>
      </c>
      <c r="BD430" s="31">
        <f>G430/(100-BE430)*100</f>
        <v>0</v>
      </c>
      <c r="BE430" s="31">
        <v>0</v>
      </c>
      <c r="BF430" s="31">
        <f>430</f>
        <v>430</v>
      </c>
      <c r="BH430" s="31">
        <f>F430*AO430</f>
        <v>0</v>
      </c>
      <c r="BI430" s="31">
        <f>F430*AP430</f>
        <v>0</v>
      </c>
      <c r="BJ430" s="31">
        <f>F430*G430</f>
        <v>0</v>
      </c>
      <c r="BK430" s="34" t="s">
        <v>64</v>
      </c>
      <c r="BL430" s="31"/>
      <c r="BW430" s="31">
        <v>21</v>
      </c>
      <c r="BX430" s="5" t="s">
        <v>785</v>
      </c>
    </row>
    <row r="431" spans="1:76" x14ac:dyDescent="0.25">
      <c r="A431" s="35"/>
      <c r="C431" s="36" t="s">
        <v>786</v>
      </c>
      <c r="D431" s="36" t="s">
        <v>52</v>
      </c>
      <c r="F431" s="37">
        <v>147.85814999999999</v>
      </c>
      <c r="K431" s="38"/>
    </row>
    <row r="432" spans="1:76" x14ac:dyDescent="0.25">
      <c r="A432" s="2" t="s">
        <v>787</v>
      </c>
      <c r="B432" s="3" t="s">
        <v>788</v>
      </c>
      <c r="C432" s="112" t="s">
        <v>789</v>
      </c>
      <c r="D432" s="107"/>
      <c r="E432" s="3" t="s">
        <v>276</v>
      </c>
      <c r="F432" s="31">
        <v>9.8572100000000002</v>
      </c>
      <c r="G432" s="32">
        <v>0</v>
      </c>
      <c r="H432" s="31">
        <f>ROUND(F432*AO432,2)</f>
        <v>0</v>
      </c>
      <c r="I432" s="31">
        <f>ROUND(F432*AP432,2)</f>
        <v>0</v>
      </c>
      <c r="J432" s="31">
        <f>ROUND(F432*G432,2)</f>
        <v>0</v>
      </c>
      <c r="K432" s="33" t="s">
        <v>60</v>
      </c>
      <c r="Z432" s="31">
        <f>ROUND(IF(AQ432="5",BJ432,0),2)</f>
        <v>0</v>
      </c>
      <c r="AB432" s="31">
        <f>ROUND(IF(AQ432="1",BH432,0),2)</f>
        <v>0</v>
      </c>
      <c r="AC432" s="31">
        <f>ROUND(IF(AQ432="1",BI432,0),2)</f>
        <v>0</v>
      </c>
      <c r="AD432" s="31">
        <f>ROUND(IF(AQ432="7",BH432,0),2)</f>
        <v>0</v>
      </c>
      <c r="AE432" s="31">
        <f>ROUND(IF(AQ432="7",BI432,0),2)</f>
        <v>0</v>
      </c>
      <c r="AF432" s="31">
        <f>ROUND(IF(AQ432="2",BH432,0),2)</f>
        <v>0</v>
      </c>
      <c r="AG432" s="31">
        <f>ROUND(IF(AQ432="2",BI432,0),2)</f>
        <v>0</v>
      </c>
      <c r="AH432" s="31">
        <f>ROUND(IF(AQ432="0",BJ432,0),2)</f>
        <v>0</v>
      </c>
      <c r="AI432" s="11" t="s">
        <v>56</v>
      </c>
      <c r="AJ432" s="31">
        <f>IF(AN432=0,J432,0)</f>
        <v>0</v>
      </c>
      <c r="AK432" s="31">
        <f>IF(AN432=12,J432,0)</f>
        <v>0</v>
      </c>
      <c r="AL432" s="31">
        <f>IF(AN432=21,J432,0)</f>
        <v>0</v>
      </c>
      <c r="AN432" s="31">
        <v>21</v>
      </c>
      <c r="AO432" s="31">
        <f>G432*0</f>
        <v>0</v>
      </c>
      <c r="AP432" s="31">
        <f>G432*(1-0)</f>
        <v>0</v>
      </c>
      <c r="AQ432" s="34" t="s">
        <v>85</v>
      </c>
      <c r="AV432" s="31">
        <f>ROUND(AW432+AX432,2)</f>
        <v>0</v>
      </c>
      <c r="AW432" s="31">
        <f>ROUND(F432*AO432,2)</f>
        <v>0</v>
      </c>
      <c r="AX432" s="31">
        <f>ROUND(F432*AP432,2)</f>
        <v>0</v>
      </c>
      <c r="AY432" s="34" t="s">
        <v>782</v>
      </c>
      <c r="AZ432" s="34" t="s">
        <v>676</v>
      </c>
      <c r="BA432" s="11" t="s">
        <v>63</v>
      </c>
      <c r="BC432" s="31">
        <f>AW432+AX432</f>
        <v>0</v>
      </c>
      <c r="BD432" s="31">
        <f>G432/(100-BE432)*100</f>
        <v>0</v>
      </c>
      <c r="BE432" s="31">
        <v>0</v>
      </c>
      <c r="BF432" s="31">
        <f>432</f>
        <v>432</v>
      </c>
      <c r="BH432" s="31">
        <f>F432*AO432</f>
        <v>0</v>
      </c>
      <c r="BI432" s="31">
        <f>F432*AP432</f>
        <v>0</v>
      </c>
      <c r="BJ432" s="31">
        <f>F432*G432</f>
        <v>0</v>
      </c>
      <c r="BK432" s="34" t="s">
        <v>64</v>
      </c>
      <c r="BL432" s="31"/>
      <c r="BW432" s="31">
        <v>21</v>
      </c>
      <c r="BX432" s="5" t="s">
        <v>789</v>
      </c>
    </row>
    <row r="433" spans="1:76" x14ac:dyDescent="0.25">
      <c r="A433" s="2" t="s">
        <v>790</v>
      </c>
      <c r="B433" s="3" t="s">
        <v>791</v>
      </c>
      <c r="C433" s="112" t="s">
        <v>792</v>
      </c>
      <c r="D433" s="107"/>
      <c r="E433" s="3" t="s">
        <v>276</v>
      </c>
      <c r="F433" s="31">
        <v>9.8572100000000002</v>
      </c>
      <c r="G433" s="32">
        <v>0</v>
      </c>
      <c r="H433" s="31">
        <f>ROUND(F433*AO433,2)</f>
        <v>0</v>
      </c>
      <c r="I433" s="31">
        <f>ROUND(F433*AP433,2)</f>
        <v>0</v>
      </c>
      <c r="J433" s="31">
        <f>ROUND(F433*G433,2)</f>
        <v>0</v>
      </c>
      <c r="K433" s="33" t="s">
        <v>60</v>
      </c>
      <c r="Z433" s="31">
        <f>ROUND(IF(AQ433="5",BJ433,0),2)</f>
        <v>0</v>
      </c>
      <c r="AB433" s="31">
        <f>ROUND(IF(AQ433="1",BH433,0),2)</f>
        <v>0</v>
      </c>
      <c r="AC433" s="31">
        <f>ROUND(IF(AQ433="1",BI433,0),2)</f>
        <v>0</v>
      </c>
      <c r="AD433" s="31">
        <f>ROUND(IF(AQ433="7",BH433,0),2)</f>
        <v>0</v>
      </c>
      <c r="AE433" s="31">
        <f>ROUND(IF(AQ433="7",BI433,0),2)</f>
        <v>0</v>
      </c>
      <c r="AF433" s="31">
        <f>ROUND(IF(AQ433="2",BH433,0),2)</f>
        <v>0</v>
      </c>
      <c r="AG433" s="31">
        <f>ROUND(IF(AQ433="2",BI433,0),2)</f>
        <v>0</v>
      </c>
      <c r="AH433" s="31">
        <f>ROUND(IF(AQ433="0",BJ433,0),2)</f>
        <v>0</v>
      </c>
      <c r="AI433" s="11" t="s">
        <v>56</v>
      </c>
      <c r="AJ433" s="31">
        <f>IF(AN433=0,J433,0)</f>
        <v>0</v>
      </c>
      <c r="AK433" s="31">
        <f>IF(AN433=12,J433,0)</f>
        <v>0</v>
      </c>
      <c r="AL433" s="31">
        <f>IF(AN433=21,J433,0)</f>
        <v>0</v>
      </c>
      <c r="AN433" s="31">
        <v>21</v>
      </c>
      <c r="AO433" s="31">
        <f>G433*0</f>
        <v>0</v>
      </c>
      <c r="AP433" s="31">
        <f>G433*(1-0)</f>
        <v>0</v>
      </c>
      <c r="AQ433" s="34" t="s">
        <v>85</v>
      </c>
      <c r="AV433" s="31">
        <f>ROUND(AW433+AX433,2)</f>
        <v>0</v>
      </c>
      <c r="AW433" s="31">
        <f>ROUND(F433*AO433,2)</f>
        <v>0</v>
      </c>
      <c r="AX433" s="31">
        <f>ROUND(F433*AP433,2)</f>
        <v>0</v>
      </c>
      <c r="AY433" s="34" t="s">
        <v>782</v>
      </c>
      <c r="AZ433" s="34" t="s">
        <v>676</v>
      </c>
      <c r="BA433" s="11" t="s">
        <v>63</v>
      </c>
      <c r="BC433" s="31">
        <f>AW433+AX433</f>
        <v>0</v>
      </c>
      <c r="BD433" s="31">
        <f>G433/(100-BE433)*100</f>
        <v>0</v>
      </c>
      <c r="BE433" s="31">
        <v>0</v>
      </c>
      <c r="BF433" s="31">
        <f>433</f>
        <v>433</v>
      </c>
      <c r="BH433" s="31">
        <f>F433*AO433</f>
        <v>0</v>
      </c>
      <c r="BI433" s="31">
        <f>F433*AP433</f>
        <v>0</v>
      </c>
      <c r="BJ433" s="31">
        <f>F433*G433</f>
        <v>0</v>
      </c>
      <c r="BK433" s="34" t="s">
        <v>64</v>
      </c>
      <c r="BL433" s="31"/>
      <c r="BW433" s="31">
        <v>21</v>
      </c>
      <c r="BX433" s="5" t="s">
        <v>792</v>
      </c>
    </row>
    <row r="434" spans="1:76" x14ac:dyDescent="0.25">
      <c r="A434" s="2" t="s">
        <v>793</v>
      </c>
      <c r="B434" s="3" t="s">
        <v>794</v>
      </c>
      <c r="C434" s="112" t="s">
        <v>795</v>
      </c>
      <c r="D434" s="107"/>
      <c r="E434" s="3" t="s">
        <v>276</v>
      </c>
      <c r="F434" s="31">
        <v>9.8572100000000002</v>
      </c>
      <c r="G434" s="32">
        <v>0</v>
      </c>
      <c r="H434" s="31">
        <f>ROUND(F434*AO434,2)</f>
        <v>0</v>
      </c>
      <c r="I434" s="31">
        <f>ROUND(F434*AP434,2)</f>
        <v>0</v>
      </c>
      <c r="J434" s="31">
        <f>ROUND(F434*G434,2)</f>
        <v>0</v>
      </c>
      <c r="K434" s="33" t="s">
        <v>60</v>
      </c>
      <c r="Z434" s="31">
        <f>ROUND(IF(AQ434="5",BJ434,0),2)</f>
        <v>0</v>
      </c>
      <c r="AB434" s="31">
        <f>ROUND(IF(AQ434="1",BH434,0),2)</f>
        <v>0</v>
      </c>
      <c r="AC434" s="31">
        <f>ROUND(IF(AQ434="1",BI434,0),2)</f>
        <v>0</v>
      </c>
      <c r="AD434" s="31">
        <f>ROUND(IF(AQ434="7",BH434,0),2)</f>
        <v>0</v>
      </c>
      <c r="AE434" s="31">
        <f>ROUND(IF(AQ434="7",BI434,0),2)</f>
        <v>0</v>
      </c>
      <c r="AF434" s="31">
        <f>ROUND(IF(AQ434="2",BH434,0),2)</f>
        <v>0</v>
      </c>
      <c r="AG434" s="31">
        <f>ROUND(IF(AQ434="2",BI434,0),2)</f>
        <v>0</v>
      </c>
      <c r="AH434" s="31">
        <f>ROUND(IF(AQ434="0",BJ434,0),2)</f>
        <v>0</v>
      </c>
      <c r="AI434" s="11" t="s">
        <v>56</v>
      </c>
      <c r="AJ434" s="31">
        <f>IF(AN434=0,J434,0)</f>
        <v>0</v>
      </c>
      <c r="AK434" s="31">
        <f>IF(AN434=12,J434,0)</f>
        <v>0</v>
      </c>
      <c r="AL434" s="31">
        <f>IF(AN434=21,J434,0)</f>
        <v>0</v>
      </c>
      <c r="AN434" s="31">
        <v>21</v>
      </c>
      <c r="AO434" s="31">
        <f>G434*0</f>
        <v>0</v>
      </c>
      <c r="AP434" s="31">
        <f>G434*(1-0)</f>
        <v>0</v>
      </c>
      <c r="AQ434" s="34" t="s">
        <v>85</v>
      </c>
      <c r="AV434" s="31">
        <f>ROUND(AW434+AX434,2)</f>
        <v>0</v>
      </c>
      <c r="AW434" s="31">
        <f>ROUND(F434*AO434,2)</f>
        <v>0</v>
      </c>
      <c r="AX434" s="31">
        <f>ROUND(F434*AP434,2)</f>
        <v>0</v>
      </c>
      <c r="AY434" s="34" t="s">
        <v>782</v>
      </c>
      <c r="AZ434" s="34" t="s">
        <v>676</v>
      </c>
      <c r="BA434" s="11" t="s">
        <v>63</v>
      </c>
      <c r="BC434" s="31">
        <f>AW434+AX434</f>
        <v>0</v>
      </c>
      <c r="BD434" s="31">
        <f>G434/(100-BE434)*100</f>
        <v>0</v>
      </c>
      <c r="BE434" s="31">
        <v>0</v>
      </c>
      <c r="BF434" s="31">
        <f>434</f>
        <v>434</v>
      </c>
      <c r="BH434" s="31">
        <f>F434*AO434</f>
        <v>0</v>
      </c>
      <c r="BI434" s="31">
        <f>F434*AP434</f>
        <v>0</v>
      </c>
      <c r="BJ434" s="31">
        <f>F434*G434</f>
        <v>0</v>
      </c>
      <c r="BK434" s="34" t="s">
        <v>64</v>
      </c>
      <c r="BL434" s="31"/>
      <c r="BW434" s="31">
        <v>21</v>
      </c>
      <c r="BX434" s="5" t="s">
        <v>795</v>
      </c>
    </row>
    <row r="435" spans="1:76" x14ac:dyDescent="0.25">
      <c r="A435" s="2" t="s">
        <v>796</v>
      </c>
      <c r="B435" s="3" t="s">
        <v>797</v>
      </c>
      <c r="C435" s="112" t="s">
        <v>798</v>
      </c>
      <c r="D435" s="107"/>
      <c r="E435" s="3" t="s">
        <v>276</v>
      </c>
      <c r="F435" s="31">
        <v>9.8572100000000002</v>
      </c>
      <c r="G435" s="32">
        <v>0</v>
      </c>
      <c r="H435" s="31">
        <f>ROUND(F435*AO435,2)</f>
        <v>0</v>
      </c>
      <c r="I435" s="31">
        <f>ROUND(F435*AP435,2)</f>
        <v>0</v>
      </c>
      <c r="J435" s="31">
        <f>ROUND(F435*G435,2)</f>
        <v>0</v>
      </c>
      <c r="K435" s="33" t="s">
        <v>60</v>
      </c>
      <c r="Z435" s="31">
        <f>ROUND(IF(AQ435="5",BJ435,0),2)</f>
        <v>0</v>
      </c>
      <c r="AB435" s="31">
        <f>ROUND(IF(AQ435="1",BH435,0),2)</f>
        <v>0</v>
      </c>
      <c r="AC435" s="31">
        <f>ROUND(IF(AQ435="1",BI435,0),2)</f>
        <v>0</v>
      </c>
      <c r="AD435" s="31">
        <f>ROUND(IF(AQ435="7",BH435,0),2)</f>
        <v>0</v>
      </c>
      <c r="AE435" s="31">
        <f>ROUND(IF(AQ435="7",BI435,0),2)</f>
        <v>0</v>
      </c>
      <c r="AF435" s="31">
        <f>ROUND(IF(AQ435="2",BH435,0),2)</f>
        <v>0</v>
      </c>
      <c r="AG435" s="31">
        <f>ROUND(IF(AQ435="2",BI435,0),2)</f>
        <v>0</v>
      </c>
      <c r="AH435" s="31">
        <f>ROUND(IF(AQ435="0",BJ435,0),2)</f>
        <v>0</v>
      </c>
      <c r="AI435" s="11" t="s">
        <v>56</v>
      </c>
      <c r="AJ435" s="31">
        <f>IF(AN435=0,J435,0)</f>
        <v>0</v>
      </c>
      <c r="AK435" s="31">
        <f>IF(AN435=12,J435,0)</f>
        <v>0</v>
      </c>
      <c r="AL435" s="31">
        <f>IF(AN435=21,J435,0)</f>
        <v>0</v>
      </c>
      <c r="AN435" s="31">
        <v>21</v>
      </c>
      <c r="AO435" s="31">
        <f>G435*0</f>
        <v>0</v>
      </c>
      <c r="AP435" s="31">
        <f>G435*(1-0)</f>
        <v>0</v>
      </c>
      <c r="AQ435" s="34" t="s">
        <v>85</v>
      </c>
      <c r="AV435" s="31">
        <f>ROUND(AW435+AX435,2)</f>
        <v>0</v>
      </c>
      <c r="AW435" s="31">
        <f>ROUND(F435*AO435,2)</f>
        <v>0</v>
      </c>
      <c r="AX435" s="31">
        <f>ROUND(F435*AP435,2)</f>
        <v>0</v>
      </c>
      <c r="AY435" s="34" t="s">
        <v>782</v>
      </c>
      <c r="AZ435" s="34" t="s">
        <v>676</v>
      </c>
      <c r="BA435" s="11" t="s">
        <v>63</v>
      </c>
      <c r="BC435" s="31">
        <f>AW435+AX435</f>
        <v>0</v>
      </c>
      <c r="BD435" s="31">
        <f>G435/(100-BE435)*100</f>
        <v>0</v>
      </c>
      <c r="BE435" s="31">
        <v>0</v>
      </c>
      <c r="BF435" s="31">
        <f>435</f>
        <v>435</v>
      </c>
      <c r="BH435" s="31">
        <f>F435*AO435</f>
        <v>0</v>
      </c>
      <c r="BI435" s="31">
        <f>F435*AP435</f>
        <v>0</v>
      </c>
      <c r="BJ435" s="31">
        <f>F435*G435</f>
        <v>0</v>
      </c>
      <c r="BK435" s="34" t="s">
        <v>64</v>
      </c>
      <c r="BL435" s="31"/>
      <c r="BW435" s="31">
        <v>21</v>
      </c>
      <c r="BX435" s="5" t="s">
        <v>798</v>
      </c>
    </row>
    <row r="436" spans="1:76" x14ac:dyDescent="0.25">
      <c r="A436" s="46" t="s">
        <v>52</v>
      </c>
      <c r="B436" s="47" t="s">
        <v>52</v>
      </c>
      <c r="C436" s="141" t="s">
        <v>799</v>
      </c>
      <c r="D436" s="142"/>
      <c r="E436" s="48" t="s">
        <v>4</v>
      </c>
      <c r="F436" s="48" t="s">
        <v>4</v>
      </c>
      <c r="G436" s="29" t="s">
        <v>4</v>
      </c>
      <c r="H436" s="49">
        <f>H437+H453+H466+H518+H523+H531+H534+H536+H538</f>
        <v>0</v>
      </c>
      <c r="I436" s="49">
        <f>I437+I453+I466+I518+I523+I531+I534+I536+I538</f>
        <v>0</v>
      </c>
      <c r="J436" s="49">
        <f>J437+J453+J466+J518+J523+J531+J534+J536+J538</f>
        <v>0</v>
      </c>
      <c r="K436" s="50" t="s">
        <v>52</v>
      </c>
    </row>
    <row r="437" spans="1:76" x14ac:dyDescent="0.25">
      <c r="A437" s="26" t="s">
        <v>52</v>
      </c>
      <c r="B437" s="27" t="s">
        <v>800</v>
      </c>
      <c r="C437" s="133" t="s">
        <v>801</v>
      </c>
      <c r="D437" s="134"/>
      <c r="E437" s="28" t="s">
        <v>4</v>
      </c>
      <c r="F437" s="28" t="s">
        <v>4</v>
      </c>
      <c r="G437" s="29" t="s">
        <v>4</v>
      </c>
      <c r="H437" s="1">
        <f>SUM(H438:H452)</f>
        <v>0</v>
      </c>
      <c r="I437" s="1">
        <f>SUM(I438:I452)</f>
        <v>0</v>
      </c>
      <c r="J437" s="1">
        <f>SUM(J438:J452)</f>
        <v>0</v>
      </c>
      <c r="K437" s="30" t="s">
        <v>52</v>
      </c>
      <c r="AI437" s="11" t="s">
        <v>66</v>
      </c>
      <c r="AS437" s="1">
        <f>SUM(AJ438:AJ452)</f>
        <v>0</v>
      </c>
      <c r="AT437" s="1">
        <f>SUM(AK438:AK452)</f>
        <v>0</v>
      </c>
      <c r="AU437" s="1">
        <f>SUM(AL438:AL452)</f>
        <v>0</v>
      </c>
    </row>
    <row r="438" spans="1:76" x14ac:dyDescent="0.25">
      <c r="A438" s="2" t="s">
        <v>802</v>
      </c>
      <c r="B438" s="3" t="s">
        <v>803</v>
      </c>
      <c r="C438" s="112" t="s">
        <v>804</v>
      </c>
      <c r="D438" s="107"/>
      <c r="E438" s="3" t="s">
        <v>81</v>
      </c>
      <c r="F438" s="31">
        <v>4</v>
      </c>
      <c r="G438" s="32">
        <v>0</v>
      </c>
      <c r="H438" s="31">
        <f>ROUND(F438*AO438,2)</f>
        <v>0</v>
      </c>
      <c r="I438" s="31">
        <f>ROUND(F438*AP438,2)</f>
        <v>0</v>
      </c>
      <c r="J438" s="31">
        <f>ROUND(F438*G438,2)</f>
        <v>0</v>
      </c>
      <c r="K438" s="33" t="s">
        <v>60</v>
      </c>
      <c r="Z438" s="31">
        <f>ROUND(IF(AQ438="5",BJ438,0),2)</f>
        <v>0</v>
      </c>
      <c r="AB438" s="31">
        <f>ROUND(IF(AQ438="1",BH438,0),2)</f>
        <v>0</v>
      </c>
      <c r="AC438" s="31">
        <f>ROUND(IF(AQ438="1",BI438,0),2)</f>
        <v>0</v>
      </c>
      <c r="AD438" s="31">
        <f>ROUND(IF(AQ438="7",BH438,0),2)</f>
        <v>0</v>
      </c>
      <c r="AE438" s="31">
        <f>ROUND(IF(AQ438="7",BI438,0),2)</f>
        <v>0</v>
      </c>
      <c r="AF438" s="31">
        <f>ROUND(IF(AQ438="2",BH438,0),2)</f>
        <v>0</v>
      </c>
      <c r="AG438" s="31">
        <f>ROUND(IF(AQ438="2",BI438,0),2)</f>
        <v>0</v>
      </c>
      <c r="AH438" s="31">
        <f>ROUND(IF(AQ438="0",BJ438,0),2)</f>
        <v>0</v>
      </c>
      <c r="AI438" s="11" t="s">
        <v>66</v>
      </c>
      <c r="AJ438" s="31">
        <f>IF(AN438=0,J438,0)</f>
        <v>0</v>
      </c>
      <c r="AK438" s="31">
        <f>IF(AN438=12,J438,0)</f>
        <v>0</v>
      </c>
      <c r="AL438" s="31">
        <f>IF(AN438=21,J438,0)</f>
        <v>0</v>
      </c>
      <c r="AN438" s="31">
        <v>21</v>
      </c>
      <c r="AO438" s="31">
        <f>G438*0</f>
        <v>0</v>
      </c>
      <c r="AP438" s="31">
        <f>G438*(1-0)</f>
        <v>0</v>
      </c>
      <c r="AQ438" s="34" t="s">
        <v>101</v>
      </c>
      <c r="AV438" s="31">
        <f>ROUND(AW438+AX438,2)</f>
        <v>0</v>
      </c>
      <c r="AW438" s="31">
        <f>ROUND(F438*AO438,2)</f>
        <v>0</v>
      </c>
      <c r="AX438" s="31">
        <f>ROUND(F438*AP438,2)</f>
        <v>0</v>
      </c>
      <c r="AY438" s="34" t="s">
        <v>805</v>
      </c>
      <c r="AZ438" s="34" t="s">
        <v>806</v>
      </c>
      <c r="BA438" s="11" t="s">
        <v>807</v>
      </c>
      <c r="BC438" s="31">
        <f>AW438+AX438</f>
        <v>0</v>
      </c>
      <c r="BD438" s="31">
        <f>G438/(100-BE438)*100</f>
        <v>0</v>
      </c>
      <c r="BE438" s="31">
        <v>0</v>
      </c>
      <c r="BF438" s="31">
        <f>438</f>
        <v>438</v>
      </c>
      <c r="BH438" s="31">
        <f>F438*AO438</f>
        <v>0</v>
      </c>
      <c r="BI438" s="31">
        <f>F438*AP438</f>
        <v>0</v>
      </c>
      <c r="BJ438" s="31">
        <f>F438*G438</f>
        <v>0</v>
      </c>
      <c r="BK438" s="34" t="s">
        <v>64</v>
      </c>
      <c r="BL438" s="31">
        <v>733</v>
      </c>
      <c r="BW438" s="31">
        <v>21</v>
      </c>
      <c r="BX438" s="5" t="s">
        <v>804</v>
      </c>
    </row>
    <row r="439" spans="1:76" x14ac:dyDescent="0.25">
      <c r="A439" s="2" t="s">
        <v>808</v>
      </c>
      <c r="B439" s="3" t="s">
        <v>809</v>
      </c>
      <c r="C439" s="112" t="s">
        <v>810</v>
      </c>
      <c r="D439" s="107"/>
      <c r="E439" s="3" t="s">
        <v>215</v>
      </c>
      <c r="F439" s="31">
        <v>1.9</v>
      </c>
      <c r="G439" s="32">
        <v>0</v>
      </c>
      <c r="H439" s="31">
        <f>ROUND(F439*AO439,2)</f>
        <v>0</v>
      </c>
      <c r="I439" s="31">
        <f>ROUND(F439*AP439,2)</f>
        <v>0</v>
      </c>
      <c r="J439" s="31">
        <f>ROUND(F439*G439,2)</f>
        <v>0</v>
      </c>
      <c r="K439" s="33" t="s">
        <v>60</v>
      </c>
      <c r="Z439" s="31">
        <f>ROUND(IF(AQ439="5",BJ439,0),2)</f>
        <v>0</v>
      </c>
      <c r="AB439" s="31">
        <f>ROUND(IF(AQ439="1",BH439,0),2)</f>
        <v>0</v>
      </c>
      <c r="AC439" s="31">
        <f>ROUND(IF(AQ439="1",BI439,0),2)</f>
        <v>0</v>
      </c>
      <c r="AD439" s="31">
        <f>ROUND(IF(AQ439="7",BH439,0),2)</f>
        <v>0</v>
      </c>
      <c r="AE439" s="31">
        <f>ROUND(IF(AQ439="7",BI439,0),2)</f>
        <v>0</v>
      </c>
      <c r="AF439" s="31">
        <f>ROUND(IF(AQ439="2",BH439,0),2)</f>
        <v>0</v>
      </c>
      <c r="AG439" s="31">
        <f>ROUND(IF(AQ439="2",BI439,0),2)</f>
        <v>0</v>
      </c>
      <c r="AH439" s="31">
        <f>ROUND(IF(AQ439="0",BJ439,0),2)</f>
        <v>0</v>
      </c>
      <c r="AI439" s="11" t="s">
        <v>66</v>
      </c>
      <c r="AJ439" s="31">
        <f>IF(AN439=0,J439,0)</f>
        <v>0</v>
      </c>
      <c r="AK439" s="31">
        <f>IF(AN439=12,J439,0)</f>
        <v>0</v>
      </c>
      <c r="AL439" s="31">
        <f>IF(AN439=21,J439,0)</f>
        <v>0</v>
      </c>
      <c r="AN439" s="31">
        <v>21</v>
      </c>
      <c r="AO439" s="31">
        <f>G439*0.139936455</f>
        <v>0</v>
      </c>
      <c r="AP439" s="31">
        <f>G439*(1-0.139936455)</f>
        <v>0</v>
      </c>
      <c r="AQ439" s="34" t="s">
        <v>101</v>
      </c>
      <c r="AV439" s="31">
        <f>ROUND(AW439+AX439,2)</f>
        <v>0</v>
      </c>
      <c r="AW439" s="31">
        <f>ROUND(F439*AO439,2)</f>
        <v>0</v>
      </c>
      <c r="AX439" s="31">
        <f>ROUND(F439*AP439,2)</f>
        <v>0</v>
      </c>
      <c r="AY439" s="34" t="s">
        <v>805</v>
      </c>
      <c r="AZ439" s="34" t="s">
        <v>806</v>
      </c>
      <c r="BA439" s="11" t="s">
        <v>807</v>
      </c>
      <c r="BC439" s="31">
        <f>AW439+AX439</f>
        <v>0</v>
      </c>
      <c r="BD439" s="31">
        <f>G439/(100-BE439)*100</f>
        <v>0</v>
      </c>
      <c r="BE439" s="31">
        <v>0</v>
      </c>
      <c r="BF439" s="31">
        <f>439</f>
        <v>439</v>
      </c>
      <c r="BH439" s="31">
        <f>F439*AO439</f>
        <v>0</v>
      </c>
      <c r="BI439" s="31">
        <f>F439*AP439</f>
        <v>0</v>
      </c>
      <c r="BJ439" s="31">
        <f>F439*G439</f>
        <v>0</v>
      </c>
      <c r="BK439" s="34" t="s">
        <v>64</v>
      </c>
      <c r="BL439" s="31">
        <v>733</v>
      </c>
      <c r="BW439" s="31">
        <v>21</v>
      </c>
      <c r="BX439" s="5" t="s">
        <v>810</v>
      </c>
    </row>
    <row r="440" spans="1:76" x14ac:dyDescent="0.25">
      <c r="A440" s="35"/>
      <c r="C440" s="36" t="s">
        <v>811</v>
      </c>
      <c r="D440" s="36" t="s">
        <v>52</v>
      </c>
      <c r="F440" s="37">
        <v>1.9</v>
      </c>
      <c r="K440" s="38"/>
    </row>
    <row r="441" spans="1:76" x14ac:dyDescent="0.25">
      <c r="A441" s="2" t="s">
        <v>812</v>
      </c>
      <c r="B441" s="3" t="s">
        <v>813</v>
      </c>
      <c r="C441" s="112" t="s">
        <v>814</v>
      </c>
      <c r="D441" s="107"/>
      <c r="E441" s="3" t="s">
        <v>81</v>
      </c>
      <c r="F441" s="31">
        <v>2</v>
      </c>
      <c r="G441" s="32">
        <v>0</v>
      </c>
      <c r="H441" s="31">
        <f>ROUND(F441*AO441,2)</f>
        <v>0</v>
      </c>
      <c r="I441" s="31">
        <f>ROUND(F441*AP441,2)</f>
        <v>0</v>
      </c>
      <c r="J441" s="31">
        <f>ROUND(F441*G441,2)</f>
        <v>0</v>
      </c>
      <c r="K441" s="33" t="s">
        <v>60</v>
      </c>
      <c r="Z441" s="31">
        <f>ROUND(IF(AQ441="5",BJ441,0),2)</f>
        <v>0</v>
      </c>
      <c r="AB441" s="31">
        <f>ROUND(IF(AQ441="1",BH441,0),2)</f>
        <v>0</v>
      </c>
      <c r="AC441" s="31">
        <f>ROUND(IF(AQ441="1",BI441,0),2)</f>
        <v>0</v>
      </c>
      <c r="AD441" s="31">
        <f>ROUND(IF(AQ441="7",BH441,0),2)</f>
        <v>0</v>
      </c>
      <c r="AE441" s="31">
        <f>ROUND(IF(AQ441="7",BI441,0),2)</f>
        <v>0</v>
      </c>
      <c r="AF441" s="31">
        <f>ROUND(IF(AQ441="2",BH441,0),2)</f>
        <v>0</v>
      </c>
      <c r="AG441" s="31">
        <f>ROUND(IF(AQ441="2",BI441,0),2)</f>
        <v>0</v>
      </c>
      <c r="AH441" s="31">
        <f>ROUND(IF(AQ441="0",BJ441,0),2)</f>
        <v>0</v>
      </c>
      <c r="AI441" s="11" t="s">
        <v>66</v>
      </c>
      <c r="AJ441" s="31">
        <f>IF(AN441=0,J441,0)</f>
        <v>0</v>
      </c>
      <c r="AK441" s="31">
        <f>IF(AN441=12,J441,0)</f>
        <v>0</v>
      </c>
      <c r="AL441" s="31">
        <f>IF(AN441=21,J441,0)</f>
        <v>0</v>
      </c>
      <c r="AN441" s="31">
        <v>21</v>
      </c>
      <c r="AO441" s="31">
        <f>G441*0.491842273</f>
        <v>0</v>
      </c>
      <c r="AP441" s="31">
        <f>G441*(1-0.491842273)</f>
        <v>0</v>
      </c>
      <c r="AQ441" s="34" t="s">
        <v>101</v>
      </c>
      <c r="AV441" s="31">
        <f>ROUND(AW441+AX441,2)</f>
        <v>0</v>
      </c>
      <c r="AW441" s="31">
        <f>ROUND(F441*AO441,2)</f>
        <v>0</v>
      </c>
      <c r="AX441" s="31">
        <f>ROUND(F441*AP441,2)</f>
        <v>0</v>
      </c>
      <c r="AY441" s="34" t="s">
        <v>805</v>
      </c>
      <c r="AZ441" s="34" t="s">
        <v>806</v>
      </c>
      <c r="BA441" s="11" t="s">
        <v>807</v>
      </c>
      <c r="BC441" s="31">
        <f>AW441+AX441</f>
        <v>0</v>
      </c>
      <c r="BD441" s="31">
        <f>G441/(100-BE441)*100</f>
        <v>0</v>
      </c>
      <c r="BE441" s="31">
        <v>0</v>
      </c>
      <c r="BF441" s="31">
        <f>441</f>
        <v>441</v>
      </c>
      <c r="BH441" s="31">
        <f>F441*AO441</f>
        <v>0</v>
      </c>
      <c r="BI441" s="31">
        <f>F441*AP441</f>
        <v>0</v>
      </c>
      <c r="BJ441" s="31">
        <f>F441*G441</f>
        <v>0</v>
      </c>
      <c r="BK441" s="34" t="s">
        <v>64</v>
      </c>
      <c r="BL441" s="31">
        <v>733</v>
      </c>
      <c r="BW441" s="31">
        <v>21</v>
      </c>
      <c r="BX441" s="5" t="s">
        <v>814</v>
      </c>
    </row>
    <row r="442" spans="1:76" x14ac:dyDescent="0.25">
      <c r="A442" s="2" t="s">
        <v>815</v>
      </c>
      <c r="B442" s="3" t="s">
        <v>816</v>
      </c>
      <c r="C442" s="112" t="s">
        <v>817</v>
      </c>
      <c r="D442" s="107"/>
      <c r="E442" s="3" t="s">
        <v>215</v>
      </c>
      <c r="F442" s="31">
        <v>24.8</v>
      </c>
      <c r="G442" s="32">
        <v>0</v>
      </c>
      <c r="H442" s="31">
        <f>ROUND(F442*AO442,2)</f>
        <v>0</v>
      </c>
      <c r="I442" s="31">
        <f>ROUND(F442*AP442,2)</f>
        <v>0</v>
      </c>
      <c r="J442" s="31">
        <f>ROUND(F442*G442,2)</f>
        <v>0</v>
      </c>
      <c r="K442" s="33" t="s">
        <v>60</v>
      </c>
      <c r="Z442" s="31">
        <f>ROUND(IF(AQ442="5",BJ442,0),2)</f>
        <v>0</v>
      </c>
      <c r="AB442" s="31">
        <f>ROUND(IF(AQ442="1",BH442,0),2)</f>
        <v>0</v>
      </c>
      <c r="AC442" s="31">
        <f>ROUND(IF(AQ442="1",BI442,0),2)</f>
        <v>0</v>
      </c>
      <c r="AD442" s="31">
        <f>ROUND(IF(AQ442="7",BH442,0),2)</f>
        <v>0</v>
      </c>
      <c r="AE442" s="31">
        <f>ROUND(IF(AQ442="7",BI442,0),2)</f>
        <v>0</v>
      </c>
      <c r="AF442" s="31">
        <f>ROUND(IF(AQ442="2",BH442,0),2)</f>
        <v>0</v>
      </c>
      <c r="AG442" s="31">
        <f>ROUND(IF(AQ442="2",BI442,0),2)</f>
        <v>0</v>
      </c>
      <c r="AH442" s="31">
        <f>ROUND(IF(AQ442="0",BJ442,0),2)</f>
        <v>0</v>
      </c>
      <c r="AI442" s="11" t="s">
        <v>66</v>
      </c>
      <c r="AJ442" s="31">
        <f>IF(AN442=0,J442,0)</f>
        <v>0</v>
      </c>
      <c r="AK442" s="31">
        <f>IF(AN442=12,J442,0)</f>
        <v>0</v>
      </c>
      <c r="AL442" s="31">
        <f>IF(AN442=21,J442,0)</f>
        <v>0</v>
      </c>
      <c r="AN442" s="31">
        <v>21</v>
      </c>
      <c r="AO442" s="31">
        <f>G442*0.556713469</f>
        <v>0</v>
      </c>
      <c r="AP442" s="31">
        <f>G442*(1-0.556713469)</f>
        <v>0</v>
      </c>
      <c r="AQ442" s="34" t="s">
        <v>101</v>
      </c>
      <c r="AV442" s="31">
        <f>ROUND(AW442+AX442,2)</f>
        <v>0</v>
      </c>
      <c r="AW442" s="31">
        <f>ROUND(F442*AO442,2)</f>
        <v>0</v>
      </c>
      <c r="AX442" s="31">
        <f>ROUND(F442*AP442,2)</f>
        <v>0</v>
      </c>
      <c r="AY442" s="34" t="s">
        <v>805</v>
      </c>
      <c r="AZ442" s="34" t="s">
        <v>806</v>
      </c>
      <c r="BA442" s="11" t="s">
        <v>807</v>
      </c>
      <c r="BC442" s="31">
        <f>AW442+AX442</f>
        <v>0</v>
      </c>
      <c r="BD442" s="31">
        <f>G442/(100-BE442)*100</f>
        <v>0</v>
      </c>
      <c r="BE442" s="31">
        <v>0</v>
      </c>
      <c r="BF442" s="31">
        <f>442</f>
        <v>442</v>
      </c>
      <c r="BH442" s="31">
        <f>F442*AO442</f>
        <v>0</v>
      </c>
      <c r="BI442" s="31">
        <f>F442*AP442</f>
        <v>0</v>
      </c>
      <c r="BJ442" s="31">
        <f>F442*G442</f>
        <v>0</v>
      </c>
      <c r="BK442" s="34" t="s">
        <v>64</v>
      </c>
      <c r="BL442" s="31">
        <v>733</v>
      </c>
      <c r="BW442" s="31">
        <v>21</v>
      </c>
      <c r="BX442" s="5" t="s">
        <v>817</v>
      </c>
    </row>
    <row r="443" spans="1:76" x14ac:dyDescent="0.25">
      <c r="A443" s="35"/>
      <c r="C443" s="36" t="s">
        <v>818</v>
      </c>
      <c r="D443" s="36" t="s">
        <v>819</v>
      </c>
      <c r="F443" s="37">
        <v>2</v>
      </c>
      <c r="K443" s="38"/>
    </row>
    <row r="444" spans="1:76" x14ac:dyDescent="0.25">
      <c r="A444" s="35"/>
      <c r="C444" s="36" t="s">
        <v>820</v>
      </c>
      <c r="D444" s="36" t="s">
        <v>821</v>
      </c>
      <c r="F444" s="37">
        <v>22.8</v>
      </c>
      <c r="K444" s="38"/>
    </row>
    <row r="445" spans="1:76" x14ac:dyDescent="0.25">
      <c r="A445" s="39" t="s">
        <v>822</v>
      </c>
      <c r="B445" s="40" t="s">
        <v>240</v>
      </c>
      <c r="C445" s="135" t="s">
        <v>823</v>
      </c>
      <c r="D445" s="136"/>
      <c r="E445" s="40" t="s">
        <v>81</v>
      </c>
      <c r="F445" s="42">
        <v>4</v>
      </c>
      <c r="G445" s="43">
        <v>0</v>
      </c>
      <c r="H445" s="42">
        <f>ROUND(F445*AO445,2)</f>
        <v>0</v>
      </c>
      <c r="I445" s="42">
        <f>ROUND(F445*AP445,2)</f>
        <v>0</v>
      </c>
      <c r="J445" s="42">
        <f>ROUND(F445*G445,2)</f>
        <v>0</v>
      </c>
      <c r="K445" s="44" t="s">
        <v>242</v>
      </c>
      <c r="Z445" s="31">
        <f>ROUND(IF(AQ445="5",BJ445,0),2)</f>
        <v>0</v>
      </c>
      <c r="AB445" s="31">
        <f>ROUND(IF(AQ445="1",BH445,0),2)</f>
        <v>0</v>
      </c>
      <c r="AC445" s="31">
        <f>ROUND(IF(AQ445="1",BI445,0),2)</f>
        <v>0</v>
      </c>
      <c r="AD445" s="31">
        <f>ROUND(IF(AQ445="7",BH445,0),2)</f>
        <v>0</v>
      </c>
      <c r="AE445" s="31">
        <f>ROUND(IF(AQ445="7",BI445,0),2)</f>
        <v>0</v>
      </c>
      <c r="AF445" s="31">
        <f>ROUND(IF(AQ445="2",BH445,0),2)</f>
        <v>0</v>
      </c>
      <c r="AG445" s="31">
        <f>ROUND(IF(AQ445="2",BI445,0),2)</f>
        <v>0</v>
      </c>
      <c r="AH445" s="31">
        <f>ROUND(IF(AQ445="0",BJ445,0),2)</f>
        <v>0</v>
      </c>
      <c r="AI445" s="11" t="s">
        <v>66</v>
      </c>
      <c r="AJ445" s="42">
        <f>IF(AN445=0,J445,0)</f>
        <v>0</v>
      </c>
      <c r="AK445" s="42">
        <f>IF(AN445=12,J445,0)</f>
        <v>0</v>
      </c>
      <c r="AL445" s="42">
        <f>IF(AN445=21,J445,0)</f>
        <v>0</v>
      </c>
      <c r="AN445" s="31">
        <v>21</v>
      </c>
      <c r="AO445" s="31">
        <f>G445*1</f>
        <v>0</v>
      </c>
      <c r="AP445" s="31">
        <f>G445*(1-1)</f>
        <v>0</v>
      </c>
      <c r="AQ445" s="45" t="s">
        <v>101</v>
      </c>
      <c r="AV445" s="31">
        <f>ROUND(AW445+AX445,2)</f>
        <v>0</v>
      </c>
      <c r="AW445" s="31">
        <f>ROUND(F445*AO445,2)</f>
        <v>0</v>
      </c>
      <c r="AX445" s="31">
        <f>ROUND(F445*AP445,2)</f>
        <v>0</v>
      </c>
      <c r="AY445" s="34" t="s">
        <v>805</v>
      </c>
      <c r="AZ445" s="34" t="s">
        <v>806</v>
      </c>
      <c r="BA445" s="11" t="s">
        <v>807</v>
      </c>
      <c r="BC445" s="31">
        <f>AW445+AX445</f>
        <v>0</v>
      </c>
      <c r="BD445" s="31">
        <f>G445/(100-BE445)*100</f>
        <v>0</v>
      </c>
      <c r="BE445" s="31">
        <v>0</v>
      </c>
      <c r="BF445" s="31">
        <f>445</f>
        <v>445</v>
      </c>
      <c r="BH445" s="42">
        <f>F445*AO445</f>
        <v>0</v>
      </c>
      <c r="BI445" s="42">
        <f>F445*AP445</f>
        <v>0</v>
      </c>
      <c r="BJ445" s="42">
        <f>F445*G445</f>
        <v>0</v>
      </c>
      <c r="BK445" s="45" t="s">
        <v>70</v>
      </c>
      <c r="BL445" s="31">
        <v>733</v>
      </c>
      <c r="BW445" s="31">
        <v>21</v>
      </c>
      <c r="BX445" s="41" t="s">
        <v>823</v>
      </c>
    </row>
    <row r="446" spans="1:76" x14ac:dyDescent="0.25">
      <c r="A446" s="39" t="s">
        <v>824</v>
      </c>
      <c r="B446" s="40" t="s">
        <v>240</v>
      </c>
      <c r="C446" s="135" t="s">
        <v>825</v>
      </c>
      <c r="D446" s="136"/>
      <c r="E446" s="40" t="s">
        <v>81</v>
      </c>
      <c r="F446" s="42">
        <v>8</v>
      </c>
      <c r="G446" s="43">
        <v>0</v>
      </c>
      <c r="H446" s="42">
        <f>ROUND(F446*AO446,2)</f>
        <v>0</v>
      </c>
      <c r="I446" s="42">
        <f>ROUND(F446*AP446,2)</f>
        <v>0</v>
      </c>
      <c r="J446" s="42">
        <f>ROUND(F446*G446,2)</f>
        <v>0</v>
      </c>
      <c r="K446" s="44" t="s">
        <v>242</v>
      </c>
      <c r="Z446" s="31">
        <f>ROUND(IF(AQ446="5",BJ446,0),2)</f>
        <v>0</v>
      </c>
      <c r="AB446" s="31">
        <f>ROUND(IF(AQ446="1",BH446,0),2)</f>
        <v>0</v>
      </c>
      <c r="AC446" s="31">
        <f>ROUND(IF(AQ446="1",BI446,0),2)</f>
        <v>0</v>
      </c>
      <c r="AD446" s="31">
        <f>ROUND(IF(AQ446="7",BH446,0),2)</f>
        <v>0</v>
      </c>
      <c r="AE446" s="31">
        <f>ROUND(IF(AQ446="7",BI446,0),2)</f>
        <v>0</v>
      </c>
      <c r="AF446" s="31">
        <f>ROUND(IF(AQ446="2",BH446,0),2)</f>
        <v>0</v>
      </c>
      <c r="AG446" s="31">
        <f>ROUND(IF(AQ446="2",BI446,0),2)</f>
        <v>0</v>
      </c>
      <c r="AH446" s="31">
        <f>ROUND(IF(AQ446="0",BJ446,0),2)</f>
        <v>0</v>
      </c>
      <c r="AI446" s="11" t="s">
        <v>66</v>
      </c>
      <c r="AJ446" s="42">
        <f>IF(AN446=0,J446,0)</f>
        <v>0</v>
      </c>
      <c r="AK446" s="42">
        <f>IF(AN446=12,J446,0)</f>
        <v>0</v>
      </c>
      <c r="AL446" s="42">
        <f>IF(AN446=21,J446,0)</f>
        <v>0</v>
      </c>
      <c r="AN446" s="31">
        <v>21</v>
      </c>
      <c r="AO446" s="31">
        <f>G446*1</f>
        <v>0</v>
      </c>
      <c r="AP446" s="31">
        <f>G446*(1-1)</f>
        <v>0</v>
      </c>
      <c r="AQ446" s="45" t="s">
        <v>101</v>
      </c>
      <c r="AV446" s="31">
        <f>ROUND(AW446+AX446,2)</f>
        <v>0</v>
      </c>
      <c r="AW446" s="31">
        <f>ROUND(F446*AO446,2)</f>
        <v>0</v>
      </c>
      <c r="AX446" s="31">
        <f>ROUND(F446*AP446,2)</f>
        <v>0</v>
      </c>
      <c r="AY446" s="34" t="s">
        <v>805</v>
      </c>
      <c r="AZ446" s="34" t="s">
        <v>806</v>
      </c>
      <c r="BA446" s="11" t="s">
        <v>807</v>
      </c>
      <c r="BC446" s="31">
        <f>AW446+AX446</f>
        <v>0</v>
      </c>
      <c r="BD446" s="31">
        <f>G446/(100-BE446)*100</f>
        <v>0</v>
      </c>
      <c r="BE446" s="31">
        <v>0</v>
      </c>
      <c r="BF446" s="31">
        <f>446</f>
        <v>446</v>
      </c>
      <c r="BH446" s="42">
        <f>F446*AO446</f>
        <v>0</v>
      </c>
      <c r="BI446" s="42">
        <f>F446*AP446</f>
        <v>0</v>
      </c>
      <c r="BJ446" s="42">
        <f>F446*G446</f>
        <v>0</v>
      </c>
      <c r="BK446" s="45" t="s">
        <v>70</v>
      </c>
      <c r="BL446" s="31">
        <v>733</v>
      </c>
      <c r="BW446" s="31">
        <v>21</v>
      </c>
      <c r="BX446" s="41" t="s">
        <v>825</v>
      </c>
    </row>
    <row r="447" spans="1:76" x14ac:dyDescent="0.25">
      <c r="A447" s="35"/>
      <c r="C447" s="36" t="s">
        <v>826</v>
      </c>
      <c r="D447" s="36" t="s">
        <v>52</v>
      </c>
      <c r="F447" s="37">
        <v>8</v>
      </c>
      <c r="K447" s="38"/>
    </row>
    <row r="448" spans="1:76" x14ac:dyDescent="0.25">
      <c r="A448" s="39" t="s">
        <v>827</v>
      </c>
      <c r="B448" s="40" t="s">
        <v>240</v>
      </c>
      <c r="C448" s="135" t="s">
        <v>828</v>
      </c>
      <c r="D448" s="136"/>
      <c r="E448" s="40" t="s">
        <v>81</v>
      </c>
      <c r="F448" s="42">
        <v>2</v>
      </c>
      <c r="G448" s="43">
        <v>0</v>
      </c>
      <c r="H448" s="42">
        <f>ROUND(F448*AO448,2)</f>
        <v>0</v>
      </c>
      <c r="I448" s="42">
        <f>ROUND(F448*AP448,2)</f>
        <v>0</v>
      </c>
      <c r="J448" s="42">
        <f>ROUND(F448*G448,2)</f>
        <v>0</v>
      </c>
      <c r="K448" s="44" t="s">
        <v>242</v>
      </c>
      <c r="Z448" s="31">
        <f>ROUND(IF(AQ448="5",BJ448,0),2)</f>
        <v>0</v>
      </c>
      <c r="AB448" s="31">
        <f>ROUND(IF(AQ448="1",BH448,0),2)</f>
        <v>0</v>
      </c>
      <c r="AC448" s="31">
        <f>ROUND(IF(AQ448="1",BI448,0),2)</f>
        <v>0</v>
      </c>
      <c r="AD448" s="31">
        <f>ROUND(IF(AQ448="7",BH448,0),2)</f>
        <v>0</v>
      </c>
      <c r="AE448" s="31">
        <f>ROUND(IF(AQ448="7",BI448,0),2)</f>
        <v>0</v>
      </c>
      <c r="AF448" s="31">
        <f>ROUND(IF(AQ448="2",BH448,0),2)</f>
        <v>0</v>
      </c>
      <c r="AG448" s="31">
        <f>ROUND(IF(AQ448="2",BI448,0),2)</f>
        <v>0</v>
      </c>
      <c r="AH448" s="31">
        <f>ROUND(IF(AQ448="0",BJ448,0),2)</f>
        <v>0</v>
      </c>
      <c r="AI448" s="11" t="s">
        <v>66</v>
      </c>
      <c r="AJ448" s="42">
        <f>IF(AN448=0,J448,0)</f>
        <v>0</v>
      </c>
      <c r="AK448" s="42">
        <f>IF(AN448=12,J448,0)</f>
        <v>0</v>
      </c>
      <c r="AL448" s="42">
        <f>IF(AN448=21,J448,0)</f>
        <v>0</v>
      </c>
      <c r="AN448" s="31">
        <v>21</v>
      </c>
      <c r="AO448" s="31">
        <f>G448*1</f>
        <v>0</v>
      </c>
      <c r="AP448" s="31">
        <f>G448*(1-1)</f>
        <v>0</v>
      </c>
      <c r="AQ448" s="45" t="s">
        <v>101</v>
      </c>
      <c r="AV448" s="31">
        <f>ROUND(AW448+AX448,2)</f>
        <v>0</v>
      </c>
      <c r="AW448" s="31">
        <f>ROUND(F448*AO448,2)</f>
        <v>0</v>
      </c>
      <c r="AX448" s="31">
        <f>ROUND(F448*AP448,2)</f>
        <v>0</v>
      </c>
      <c r="AY448" s="34" t="s">
        <v>805</v>
      </c>
      <c r="AZ448" s="34" t="s">
        <v>806</v>
      </c>
      <c r="BA448" s="11" t="s">
        <v>807</v>
      </c>
      <c r="BC448" s="31">
        <f>AW448+AX448</f>
        <v>0</v>
      </c>
      <c r="BD448" s="31">
        <f>G448/(100-BE448)*100</f>
        <v>0</v>
      </c>
      <c r="BE448" s="31">
        <v>0</v>
      </c>
      <c r="BF448" s="31">
        <f>448</f>
        <v>448</v>
      </c>
      <c r="BH448" s="42">
        <f>F448*AO448</f>
        <v>0</v>
      </c>
      <c r="BI448" s="42">
        <f>F448*AP448</f>
        <v>0</v>
      </c>
      <c r="BJ448" s="42">
        <f>F448*G448</f>
        <v>0</v>
      </c>
      <c r="BK448" s="45" t="s">
        <v>70</v>
      </c>
      <c r="BL448" s="31">
        <v>733</v>
      </c>
      <c r="BW448" s="31">
        <v>21</v>
      </c>
      <c r="BX448" s="41" t="s">
        <v>828</v>
      </c>
    </row>
    <row r="449" spans="1:76" x14ac:dyDescent="0.25">
      <c r="A449" s="2" t="s">
        <v>829</v>
      </c>
      <c r="B449" s="3" t="s">
        <v>830</v>
      </c>
      <c r="C449" s="112" t="s">
        <v>831</v>
      </c>
      <c r="D449" s="107"/>
      <c r="E449" s="3" t="s">
        <v>215</v>
      </c>
      <c r="F449" s="31">
        <v>24.8</v>
      </c>
      <c r="G449" s="32">
        <v>0</v>
      </c>
      <c r="H449" s="31">
        <f>ROUND(F449*AO449,2)</f>
        <v>0</v>
      </c>
      <c r="I449" s="31">
        <f>ROUND(F449*AP449,2)</f>
        <v>0</v>
      </c>
      <c r="J449" s="31">
        <f>ROUND(F449*G449,2)</f>
        <v>0</v>
      </c>
      <c r="K449" s="33" t="s">
        <v>60</v>
      </c>
      <c r="Z449" s="31">
        <f>ROUND(IF(AQ449="5",BJ449,0),2)</f>
        <v>0</v>
      </c>
      <c r="AB449" s="31">
        <f>ROUND(IF(AQ449="1",BH449,0),2)</f>
        <v>0</v>
      </c>
      <c r="AC449" s="31">
        <f>ROUND(IF(AQ449="1",BI449,0),2)</f>
        <v>0</v>
      </c>
      <c r="AD449" s="31">
        <f>ROUND(IF(AQ449="7",BH449,0),2)</f>
        <v>0</v>
      </c>
      <c r="AE449" s="31">
        <f>ROUND(IF(AQ449="7",BI449,0),2)</f>
        <v>0</v>
      </c>
      <c r="AF449" s="31">
        <f>ROUND(IF(AQ449="2",BH449,0),2)</f>
        <v>0</v>
      </c>
      <c r="AG449" s="31">
        <f>ROUND(IF(AQ449="2",BI449,0),2)</f>
        <v>0</v>
      </c>
      <c r="AH449" s="31">
        <f>ROUND(IF(AQ449="0",BJ449,0),2)</f>
        <v>0</v>
      </c>
      <c r="AI449" s="11" t="s">
        <v>66</v>
      </c>
      <c r="AJ449" s="31">
        <f>IF(AN449=0,J449,0)</f>
        <v>0</v>
      </c>
      <c r="AK449" s="31">
        <f>IF(AN449=12,J449,0)</f>
        <v>0</v>
      </c>
      <c r="AL449" s="31">
        <f>IF(AN449=21,J449,0)</f>
        <v>0</v>
      </c>
      <c r="AN449" s="31">
        <v>21</v>
      </c>
      <c r="AO449" s="31">
        <f>G449*0.018171345</f>
        <v>0</v>
      </c>
      <c r="AP449" s="31">
        <f>G449*(1-0.018171345)</f>
        <v>0</v>
      </c>
      <c r="AQ449" s="34" t="s">
        <v>101</v>
      </c>
      <c r="AV449" s="31">
        <f>ROUND(AW449+AX449,2)</f>
        <v>0</v>
      </c>
      <c r="AW449" s="31">
        <f>ROUND(F449*AO449,2)</f>
        <v>0</v>
      </c>
      <c r="AX449" s="31">
        <f>ROUND(F449*AP449,2)</f>
        <v>0</v>
      </c>
      <c r="AY449" s="34" t="s">
        <v>805</v>
      </c>
      <c r="AZ449" s="34" t="s">
        <v>806</v>
      </c>
      <c r="BA449" s="11" t="s">
        <v>807</v>
      </c>
      <c r="BC449" s="31">
        <f>AW449+AX449</f>
        <v>0</v>
      </c>
      <c r="BD449" s="31">
        <f>G449/(100-BE449)*100</f>
        <v>0</v>
      </c>
      <c r="BE449" s="31">
        <v>0</v>
      </c>
      <c r="BF449" s="31">
        <f>449</f>
        <v>449</v>
      </c>
      <c r="BH449" s="31">
        <f>F449*AO449</f>
        <v>0</v>
      </c>
      <c r="BI449" s="31">
        <f>F449*AP449</f>
        <v>0</v>
      </c>
      <c r="BJ449" s="31">
        <f>F449*G449</f>
        <v>0</v>
      </c>
      <c r="BK449" s="34" t="s">
        <v>64</v>
      </c>
      <c r="BL449" s="31">
        <v>733</v>
      </c>
      <c r="BW449" s="31">
        <v>21</v>
      </c>
      <c r="BX449" s="5" t="s">
        <v>831</v>
      </c>
    </row>
    <row r="450" spans="1:76" x14ac:dyDescent="0.25">
      <c r="A450" s="35"/>
      <c r="C450" s="36" t="s">
        <v>818</v>
      </c>
      <c r="D450" s="36" t="s">
        <v>819</v>
      </c>
      <c r="F450" s="37">
        <v>2</v>
      </c>
      <c r="K450" s="38"/>
    </row>
    <row r="451" spans="1:76" x14ac:dyDescent="0.25">
      <c r="A451" s="35"/>
      <c r="C451" s="36" t="s">
        <v>820</v>
      </c>
      <c r="D451" s="36" t="s">
        <v>821</v>
      </c>
      <c r="F451" s="37">
        <v>22.8</v>
      </c>
      <c r="K451" s="38"/>
    </row>
    <row r="452" spans="1:76" x14ac:dyDescent="0.25">
      <c r="A452" s="2" t="s">
        <v>832</v>
      </c>
      <c r="B452" s="3" t="s">
        <v>833</v>
      </c>
      <c r="C452" s="112" t="s">
        <v>834</v>
      </c>
      <c r="D452" s="107"/>
      <c r="E452" s="3" t="s">
        <v>276</v>
      </c>
      <c r="F452" s="31">
        <v>2.163E-2</v>
      </c>
      <c r="G452" s="32">
        <v>0</v>
      </c>
      <c r="H452" s="31">
        <f>ROUND(F452*AO452,2)</f>
        <v>0</v>
      </c>
      <c r="I452" s="31">
        <f>ROUND(F452*AP452,2)</f>
        <v>0</v>
      </c>
      <c r="J452" s="31">
        <f>ROUND(F452*G452,2)</f>
        <v>0</v>
      </c>
      <c r="K452" s="33" t="s">
        <v>60</v>
      </c>
      <c r="Z452" s="31">
        <f>ROUND(IF(AQ452="5",BJ452,0),2)</f>
        <v>0</v>
      </c>
      <c r="AB452" s="31">
        <f>ROUND(IF(AQ452="1",BH452,0),2)</f>
        <v>0</v>
      </c>
      <c r="AC452" s="31">
        <f>ROUND(IF(AQ452="1",BI452,0),2)</f>
        <v>0</v>
      </c>
      <c r="AD452" s="31">
        <f>ROUND(IF(AQ452="7",BH452,0),2)</f>
        <v>0</v>
      </c>
      <c r="AE452" s="31">
        <f>ROUND(IF(AQ452="7",BI452,0),2)</f>
        <v>0</v>
      </c>
      <c r="AF452" s="31">
        <f>ROUND(IF(AQ452="2",BH452,0),2)</f>
        <v>0</v>
      </c>
      <c r="AG452" s="31">
        <f>ROUND(IF(AQ452="2",BI452,0),2)</f>
        <v>0</v>
      </c>
      <c r="AH452" s="31">
        <f>ROUND(IF(AQ452="0",BJ452,0),2)</f>
        <v>0</v>
      </c>
      <c r="AI452" s="11" t="s">
        <v>66</v>
      </c>
      <c r="AJ452" s="31">
        <f>IF(AN452=0,J452,0)</f>
        <v>0</v>
      </c>
      <c r="AK452" s="31">
        <f>IF(AN452=12,J452,0)</f>
        <v>0</v>
      </c>
      <c r="AL452" s="31">
        <f>IF(AN452=21,J452,0)</f>
        <v>0</v>
      </c>
      <c r="AN452" s="31">
        <v>21</v>
      </c>
      <c r="AO452" s="31">
        <f>G452*0</f>
        <v>0</v>
      </c>
      <c r="AP452" s="31">
        <f>G452*(1-0)</f>
        <v>0</v>
      </c>
      <c r="AQ452" s="34" t="s">
        <v>85</v>
      </c>
      <c r="AV452" s="31">
        <f>ROUND(AW452+AX452,2)</f>
        <v>0</v>
      </c>
      <c r="AW452" s="31">
        <f>ROUND(F452*AO452,2)</f>
        <v>0</v>
      </c>
      <c r="AX452" s="31">
        <f>ROUND(F452*AP452,2)</f>
        <v>0</v>
      </c>
      <c r="AY452" s="34" t="s">
        <v>805</v>
      </c>
      <c r="AZ452" s="34" t="s">
        <v>806</v>
      </c>
      <c r="BA452" s="11" t="s">
        <v>807</v>
      </c>
      <c r="BC452" s="31">
        <f>AW452+AX452</f>
        <v>0</v>
      </c>
      <c r="BD452" s="31">
        <f>G452/(100-BE452)*100</f>
        <v>0</v>
      </c>
      <c r="BE452" s="31">
        <v>0</v>
      </c>
      <c r="BF452" s="31">
        <f>452</f>
        <v>452</v>
      </c>
      <c r="BH452" s="31">
        <f>F452*AO452</f>
        <v>0</v>
      </c>
      <c r="BI452" s="31">
        <f>F452*AP452</f>
        <v>0</v>
      </c>
      <c r="BJ452" s="31">
        <f>F452*G452</f>
        <v>0</v>
      </c>
      <c r="BK452" s="34" t="s">
        <v>64</v>
      </c>
      <c r="BL452" s="31">
        <v>733</v>
      </c>
      <c r="BW452" s="31">
        <v>21</v>
      </c>
      <c r="BX452" s="5" t="s">
        <v>834</v>
      </c>
    </row>
    <row r="453" spans="1:76" x14ac:dyDescent="0.25">
      <c r="A453" s="26" t="s">
        <v>52</v>
      </c>
      <c r="B453" s="27" t="s">
        <v>835</v>
      </c>
      <c r="C453" s="133" t="s">
        <v>836</v>
      </c>
      <c r="D453" s="134"/>
      <c r="E453" s="28" t="s">
        <v>4</v>
      </c>
      <c r="F453" s="28" t="s">
        <v>4</v>
      </c>
      <c r="G453" s="29" t="s">
        <v>4</v>
      </c>
      <c r="H453" s="1">
        <f>SUM(H454:H465)</f>
        <v>0</v>
      </c>
      <c r="I453" s="1">
        <f>SUM(I454:I465)</f>
        <v>0</v>
      </c>
      <c r="J453" s="1">
        <f>SUM(J454:J465)</f>
        <v>0</v>
      </c>
      <c r="K453" s="30" t="s">
        <v>52</v>
      </c>
      <c r="AI453" s="11" t="s">
        <v>66</v>
      </c>
      <c r="AS453" s="1">
        <f>SUM(AJ454:AJ465)</f>
        <v>0</v>
      </c>
      <c r="AT453" s="1">
        <f>SUM(AK454:AK465)</f>
        <v>0</v>
      </c>
      <c r="AU453" s="1">
        <f>SUM(AL454:AL465)</f>
        <v>0</v>
      </c>
    </row>
    <row r="454" spans="1:76" x14ac:dyDescent="0.25">
      <c r="A454" s="2" t="s">
        <v>837</v>
      </c>
      <c r="B454" s="3" t="s">
        <v>838</v>
      </c>
      <c r="C454" s="112" t="s">
        <v>839</v>
      </c>
      <c r="D454" s="107"/>
      <c r="E454" s="3" t="s">
        <v>81</v>
      </c>
      <c r="F454" s="31">
        <v>2</v>
      </c>
      <c r="G454" s="32">
        <v>0</v>
      </c>
      <c r="H454" s="31">
        <f>ROUND(F454*AO454,2)</f>
        <v>0</v>
      </c>
      <c r="I454" s="31">
        <f>ROUND(F454*AP454,2)</f>
        <v>0</v>
      </c>
      <c r="J454" s="31">
        <f>ROUND(F454*G454,2)</f>
        <v>0</v>
      </c>
      <c r="K454" s="33" t="s">
        <v>60</v>
      </c>
      <c r="Z454" s="31">
        <f>ROUND(IF(AQ454="5",BJ454,0),2)</f>
        <v>0</v>
      </c>
      <c r="AB454" s="31">
        <f>ROUND(IF(AQ454="1",BH454,0),2)</f>
        <v>0</v>
      </c>
      <c r="AC454" s="31">
        <f>ROUND(IF(AQ454="1",BI454,0),2)</f>
        <v>0</v>
      </c>
      <c r="AD454" s="31">
        <f>ROUND(IF(AQ454="7",BH454,0),2)</f>
        <v>0</v>
      </c>
      <c r="AE454" s="31">
        <f>ROUND(IF(AQ454="7",BI454,0),2)</f>
        <v>0</v>
      </c>
      <c r="AF454" s="31">
        <f>ROUND(IF(AQ454="2",BH454,0),2)</f>
        <v>0</v>
      </c>
      <c r="AG454" s="31">
        <f>ROUND(IF(AQ454="2",BI454,0),2)</f>
        <v>0</v>
      </c>
      <c r="AH454" s="31">
        <f>ROUND(IF(AQ454="0",BJ454,0),2)</f>
        <v>0</v>
      </c>
      <c r="AI454" s="11" t="s">
        <v>66</v>
      </c>
      <c r="AJ454" s="31">
        <f>IF(AN454=0,J454,0)</f>
        <v>0</v>
      </c>
      <c r="AK454" s="31">
        <f>IF(AN454=12,J454,0)</f>
        <v>0</v>
      </c>
      <c r="AL454" s="31">
        <f>IF(AN454=21,J454,0)</f>
        <v>0</v>
      </c>
      <c r="AN454" s="31">
        <v>21</v>
      </c>
      <c r="AO454" s="31">
        <f>G454*0.23</f>
        <v>0</v>
      </c>
      <c r="AP454" s="31">
        <f>G454*(1-0.23)</f>
        <v>0</v>
      </c>
      <c r="AQ454" s="34" t="s">
        <v>101</v>
      </c>
      <c r="AV454" s="31">
        <f>ROUND(AW454+AX454,2)</f>
        <v>0</v>
      </c>
      <c r="AW454" s="31">
        <f>ROUND(F454*AO454,2)</f>
        <v>0</v>
      </c>
      <c r="AX454" s="31">
        <f>ROUND(F454*AP454,2)</f>
        <v>0</v>
      </c>
      <c r="AY454" s="34" t="s">
        <v>840</v>
      </c>
      <c r="AZ454" s="34" t="s">
        <v>806</v>
      </c>
      <c r="BA454" s="11" t="s">
        <v>807</v>
      </c>
      <c r="BC454" s="31">
        <f>AW454+AX454</f>
        <v>0</v>
      </c>
      <c r="BD454" s="31">
        <f>G454/(100-BE454)*100</f>
        <v>0</v>
      </c>
      <c r="BE454" s="31">
        <v>0</v>
      </c>
      <c r="BF454" s="31">
        <f>454</f>
        <v>454</v>
      </c>
      <c r="BH454" s="31">
        <f>F454*AO454</f>
        <v>0</v>
      </c>
      <c r="BI454" s="31">
        <f>F454*AP454</f>
        <v>0</v>
      </c>
      <c r="BJ454" s="31">
        <f>F454*G454</f>
        <v>0</v>
      </c>
      <c r="BK454" s="34" t="s">
        <v>64</v>
      </c>
      <c r="BL454" s="31">
        <v>734</v>
      </c>
      <c r="BW454" s="31">
        <v>21</v>
      </c>
      <c r="BX454" s="5" t="s">
        <v>839</v>
      </c>
    </row>
    <row r="455" spans="1:76" x14ac:dyDescent="0.25">
      <c r="A455" s="35"/>
      <c r="C455" s="36" t="s">
        <v>66</v>
      </c>
      <c r="D455" s="36" t="s">
        <v>841</v>
      </c>
      <c r="F455" s="37">
        <v>2</v>
      </c>
      <c r="K455" s="38"/>
    </row>
    <row r="456" spans="1:76" x14ac:dyDescent="0.25">
      <c r="A456" s="2" t="s">
        <v>842</v>
      </c>
      <c r="B456" s="3" t="s">
        <v>843</v>
      </c>
      <c r="C456" s="112" t="s">
        <v>844</v>
      </c>
      <c r="D456" s="107"/>
      <c r="E456" s="3" t="s">
        <v>81</v>
      </c>
      <c r="F456" s="31">
        <v>6</v>
      </c>
      <c r="G456" s="32">
        <v>0</v>
      </c>
      <c r="H456" s="31">
        <f>ROUND(F456*AO456,2)</f>
        <v>0</v>
      </c>
      <c r="I456" s="31">
        <f>ROUND(F456*AP456,2)</f>
        <v>0</v>
      </c>
      <c r="J456" s="31">
        <f>ROUND(F456*G456,2)</f>
        <v>0</v>
      </c>
      <c r="K456" s="33" t="s">
        <v>60</v>
      </c>
      <c r="Z456" s="31">
        <f>ROUND(IF(AQ456="5",BJ456,0),2)</f>
        <v>0</v>
      </c>
      <c r="AB456" s="31">
        <f>ROUND(IF(AQ456="1",BH456,0),2)</f>
        <v>0</v>
      </c>
      <c r="AC456" s="31">
        <f>ROUND(IF(AQ456="1",BI456,0),2)</f>
        <v>0</v>
      </c>
      <c r="AD456" s="31">
        <f>ROUND(IF(AQ456="7",BH456,0),2)</f>
        <v>0</v>
      </c>
      <c r="AE456" s="31">
        <f>ROUND(IF(AQ456="7",BI456,0),2)</f>
        <v>0</v>
      </c>
      <c r="AF456" s="31">
        <f>ROUND(IF(AQ456="2",BH456,0),2)</f>
        <v>0</v>
      </c>
      <c r="AG456" s="31">
        <f>ROUND(IF(AQ456="2",BI456,0),2)</f>
        <v>0</v>
      </c>
      <c r="AH456" s="31">
        <f>ROUND(IF(AQ456="0",BJ456,0),2)</f>
        <v>0</v>
      </c>
      <c r="AI456" s="11" t="s">
        <v>66</v>
      </c>
      <c r="AJ456" s="31">
        <f>IF(AN456=0,J456,0)</f>
        <v>0</v>
      </c>
      <c r="AK456" s="31">
        <f>IF(AN456=12,J456,0)</f>
        <v>0</v>
      </c>
      <c r="AL456" s="31">
        <f>IF(AN456=21,J456,0)</f>
        <v>0</v>
      </c>
      <c r="AN456" s="31">
        <v>21</v>
      </c>
      <c r="AO456" s="31">
        <f>G456*0.035687609</f>
        <v>0</v>
      </c>
      <c r="AP456" s="31">
        <f>G456*(1-0.035687609)</f>
        <v>0</v>
      </c>
      <c r="AQ456" s="34" t="s">
        <v>101</v>
      </c>
      <c r="AV456" s="31">
        <f>ROUND(AW456+AX456,2)</f>
        <v>0</v>
      </c>
      <c r="AW456" s="31">
        <f>ROUND(F456*AO456,2)</f>
        <v>0</v>
      </c>
      <c r="AX456" s="31">
        <f>ROUND(F456*AP456,2)</f>
        <v>0</v>
      </c>
      <c r="AY456" s="34" t="s">
        <v>840</v>
      </c>
      <c r="AZ456" s="34" t="s">
        <v>806</v>
      </c>
      <c r="BA456" s="11" t="s">
        <v>807</v>
      </c>
      <c r="BC456" s="31">
        <f>AW456+AX456</f>
        <v>0</v>
      </c>
      <c r="BD456" s="31">
        <f>G456/(100-BE456)*100</f>
        <v>0</v>
      </c>
      <c r="BE456" s="31">
        <v>0</v>
      </c>
      <c r="BF456" s="31">
        <f>456</f>
        <v>456</v>
      </c>
      <c r="BH456" s="31">
        <f>F456*AO456</f>
        <v>0</v>
      </c>
      <c r="BI456" s="31">
        <f>F456*AP456</f>
        <v>0</v>
      </c>
      <c r="BJ456" s="31">
        <f>F456*G456</f>
        <v>0</v>
      </c>
      <c r="BK456" s="34" t="s">
        <v>64</v>
      </c>
      <c r="BL456" s="31">
        <v>734</v>
      </c>
      <c r="BW456" s="31">
        <v>21</v>
      </c>
      <c r="BX456" s="5" t="s">
        <v>844</v>
      </c>
    </row>
    <row r="457" spans="1:76" x14ac:dyDescent="0.25">
      <c r="A457" s="35"/>
      <c r="C457" s="36" t="s">
        <v>73</v>
      </c>
      <c r="D457" s="36" t="s">
        <v>845</v>
      </c>
      <c r="F457" s="37">
        <v>3</v>
      </c>
      <c r="K457" s="38"/>
    </row>
    <row r="458" spans="1:76" x14ac:dyDescent="0.25">
      <c r="A458" s="35"/>
      <c r="C458" s="36" t="s">
        <v>73</v>
      </c>
      <c r="D458" s="36" t="s">
        <v>846</v>
      </c>
      <c r="F458" s="37">
        <v>3</v>
      </c>
      <c r="K458" s="38"/>
    </row>
    <row r="459" spans="1:76" x14ac:dyDescent="0.25">
      <c r="A459" s="39" t="s">
        <v>847</v>
      </c>
      <c r="B459" s="40" t="s">
        <v>848</v>
      </c>
      <c r="C459" s="135" t="s">
        <v>849</v>
      </c>
      <c r="D459" s="136"/>
      <c r="E459" s="40" t="s">
        <v>81</v>
      </c>
      <c r="F459" s="42">
        <v>3</v>
      </c>
      <c r="G459" s="43">
        <v>0</v>
      </c>
      <c r="H459" s="42">
        <f>ROUND(F459*AO459,2)</f>
        <v>0</v>
      </c>
      <c r="I459" s="42">
        <f>ROUND(F459*AP459,2)</f>
        <v>0</v>
      </c>
      <c r="J459" s="42">
        <f>ROUND(F459*G459,2)</f>
        <v>0</v>
      </c>
      <c r="K459" s="44" t="s">
        <v>60</v>
      </c>
      <c r="Z459" s="31">
        <f>ROUND(IF(AQ459="5",BJ459,0),2)</f>
        <v>0</v>
      </c>
      <c r="AB459" s="31">
        <f>ROUND(IF(AQ459="1",BH459,0),2)</f>
        <v>0</v>
      </c>
      <c r="AC459" s="31">
        <f>ROUND(IF(AQ459="1",BI459,0),2)</f>
        <v>0</v>
      </c>
      <c r="AD459" s="31">
        <f>ROUND(IF(AQ459="7",BH459,0),2)</f>
        <v>0</v>
      </c>
      <c r="AE459" s="31">
        <f>ROUND(IF(AQ459="7",BI459,0),2)</f>
        <v>0</v>
      </c>
      <c r="AF459" s="31">
        <f>ROUND(IF(AQ459="2",BH459,0),2)</f>
        <v>0</v>
      </c>
      <c r="AG459" s="31">
        <f>ROUND(IF(AQ459="2",BI459,0),2)</f>
        <v>0</v>
      </c>
      <c r="AH459" s="31">
        <f>ROUND(IF(AQ459="0",BJ459,0),2)</f>
        <v>0</v>
      </c>
      <c r="AI459" s="11" t="s">
        <v>66</v>
      </c>
      <c r="AJ459" s="42">
        <f>IF(AN459=0,J459,0)</f>
        <v>0</v>
      </c>
      <c r="AK459" s="42">
        <f>IF(AN459=12,J459,0)</f>
        <v>0</v>
      </c>
      <c r="AL459" s="42">
        <f>IF(AN459=21,J459,0)</f>
        <v>0</v>
      </c>
      <c r="AN459" s="31">
        <v>21</v>
      </c>
      <c r="AO459" s="31">
        <f>G459*1</f>
        <v>0</v>
      </c>
      <c r="AP459" s="31">
        <f>G459*(1-1)</f>
        <v>0</v>
      </c>
      <c r="AQ459" s="45" t="s">
        <v>101</v>
      </c>
      <c r="AV459" s="31">
        <f>ROUND(AW459+AX459,2)</f>
        <v>0</v>
      </c>
      <c r="AW459" s="31">
        <f>ROUND(F459*AO459,2)</f>
        <v>0</v>
      </c>
      <c r="AX459" s="31">
        <f>ROUND(F459*AP459,2)</f>
        <v>0</v>
      </c>
      <c r="AY459" s="34" t="s">
        <v>840</v>
      </c>
      <c r="AZ459" s="34" t="s">
        <v>806</v>
      </c>
      <c r="BA459" s="11" t="s">
        <v>807</v>
      </c>
      <c r="BC459" s="31">
        <f>AW459+AX459</f>
        <v>0</v>
      </c>
      <c r="BD459" s="31">
        <f>G459/(100-BE459)*100</f>
        <v>0</v>
      </c>
      <c r="BE459" s="31">
        <v>0</v>
      </c>
      <c r="BF459" s="31">
        <f>459</f>
        <v>459</v>
      </c>
      <c r="BH459" s="42">
        <f>F459*AO459</f>
        <v>0</v>
      </c>
      <c r="BI459" s="42">
        <f>F459*AP459</f>
        <v>0</v>
      </c>
      <c r="BJ459" s="42">
        <f>F459*G459</f>
        <v>0</v>
      </c>
      <c r="BK459" s="45" t="s">
        <v>70</v>
      </c>
      <c r="BL459" s="31">
        <v>734</v>
      </c>
      <c r="BW459" s="31">
        <v>21</v>
      </c>
      <c r="BX459" s="41" t="s">
        <v>849</v>
      </c>
    </row>
    <row r="460" spans="1:76" x14ac:dyDescent="0.25">
      <c r="A460" s="39" t="s">
        <v>850</v>
      </c>
      <c r="B460" s="40" t="s">
        <v>851</v>
      </c>
      <c r="C460" s="135" t="s">
        <v>852</v>
      </c>
      <c r="D460" s="136"/>
      <c r="E460" s="40" t="s">
        <v>81</v>
      </c>
      <c r="F460" s="42">
        <v>3</v>
      </c>
      <c r="G460" s="43">
        <v>0</v>
      </c>
      <c r="H460" s="42">
        <f>ROUND(F460*AO460,2)</f>
        <v>0</v>
      </c>
      <c r="I460" s="42">
        <f>ROUND(F460*AP460,2)</f>
        <v>0</v>
      </c>
      <c r="J460" s="42">
        <f>ROUND(F460*G460,2)</f>
        <v>0</v>
      </c>
      <c r="K460" s="44" t="s">
        <v>60</v>
      </c>
      <c r="Z460" s="31">
        <f>ROUND(IF(AQ460="5",BJ460,0),2)</f>
        <v>0</v>
      </c>
      <c r="AB460" s="31">
        <f>ROUND(IF(AQ460="1",BH460,0),2)</f>
        <v>0</v>
      </c>
      <c r="AC460" s="31">
        <f>ROUND(IF(AQ460="1",BI460,0),2)</f>
        <v>0</v>
      </c>
      <c r="AD460" s="31">
        <f>ROUND(IF(AQ460="7",BH460,0),2)</f>
        <v>0</v>
      </c>
      <c r="AE460" s="31">
        <f>ROUND(IF(AQ460="7",BI460,0),2)</f>
        <v>0</v>
      </c>
      <c r="AF460" s="31">
        <f>ROUND(IF(AQ460="2",BH460,0),2)</f>
        <v>0</v>
      </c>
      <c r="AG460" s="31">
        <f>ROUND(IF(AQ460="2",BI460,0),2)</f>
        <v>0</v>
      </c>
      <c r="AH460" s="31">
        <f>ROUND(IF(AQ460="0",BJ460,0),2)</f>
        <v>0</v>
      </c>
      <c r="AI460" s="11" t="s">
        <v>66</v>
      </c>
      <c r="AJ460" s="42">
        <f>IF(AN460=0,J460,0)</f>
        <v>0</v>
      </c>
      <c r="AK460" s="42">
        <f>IF(AN460=12,J460,0)</f>
        <v>0</v>
      </c>
      <c r="AL460" s="42">
        <f>IF(AN460=21,J460,0)</f>
        <v>0</v>
      </c>
      <c r="AN460" s="31">
        <v>21</v>
      </c>
      <c r="AO460" s="31">
        <f>G460*1</f>
        <v>0</v>
      </c>
      <c r="AP460" s="31">
        <f>G460*(1-1)</f>
        <v>0</v>
      </c>
      <c r="AQ460" s="45" t="s">
        <v>101</v>
      </c>
      <c r="AV460" s="31">
        <f>ROUND(AW460+AX460,2)</f>
        <v>0</v>
      </c>
      <c r="AW460" s="31">
        <f>ROUND(F460*AO460,2)</f>
        <v>0</v>
      </c>
      <c r="AX460" s="31">
        <f>ROUND(F460*AP460,2)</f>
        <v>0</v>
      </c>
      <c r="AY460" s="34" t="s">
        <v>840</v>
      </c>
      <c r="AZ460" s="34" t="s">
        <v>806</v>
      </c>
      <c r="BA460" s="11" t="s">
        <v>807</v>
      </c>
      <c r="BC460" s="31">
        <f>AW460+AX460</f>
        <v>0</v>
      </c>
      <c r="BD460" s="31">
        <f>G460/(100-BE460)*100</f>
        <v>0</v>
      </c>
      <c r="BE460" s="31">
        <v>0</v>
      </c>
      <c r="BF460" s="31">
        <f>460</f>
        <v>460</v>
      </c>
      <c r="BH460" s="42">
        <f>F460*AO460</f>
        <v>0</v>
      </c>
      <c r="BI460" s="42">
        <f>F460*AP460</f>
        <v>0</v>
      </c>
      <c r="BJ460" s="42">
        <f>F460*G460</f>
        <v>0</v>
      </c>
      <c r="BK460" s="45" t="s">
        <v>70</v>
      </c>
      <c r="BL460" s="31">
        <v>734</v>
      </c>
      <c r="BW460" s="31">
        <v>21</v>
      </c>
      <c r="BX460" s="41" t="s">
        <v>852</v>
      </c>
    </row>
    <row r="461" spans="1:76" x14ac:dyDescent="0.25">
      <c r="A461" s="2" t="s">
        <v>853</v>
      </c>
      <c r="B461" s="3" t="s">
        <v>240</v>
      </c>
      <c r="C461" s="112" t="s">
        <v>854</v>
      </c>
      <c r="D461" s="107"/>
      <c r="E461" s="3" t="s">
        <v>81</v>
      </c>
      <c r="F461" s="31">
        <v>3</v>
      </c>
      <c r="G461" s="32">
        <v>0</v>
      </c>
      <c r="H461" s="31">
        <f>ROUND(F461*AO461,2)</f>
        <v>0</v>
      </c>
      <c r="I461" s="31">
        <f>ROUND(F461*AP461,2)</f>
        <v>0</v>
      </c>
      <c r="J461" s="31">
        <f>ROUND(F461*G461,2)</f>
        <v>0</v>
      </c>
      <c r="K461" s="33" t="s">
        <v>242</v>
      </c>
      <c r="Z461" s="31">
        <f>ROUND(IF(AQ461="5",BJ461,0),2)</f>
        <v>0</v>
      </c>
      <c r="AB461" s="31">
        <f>ROUND(IF(AQ461="1",BH461,0),2)</f>
        <v>0</v>
      </c>
      <c r="AC461" s="31">
        <f>ROUND(IF(AQ461="1",BI461,0),2)</f>
        <v>0</v>
      </c>
      <c r="AD461" s="31">
        <f>ROUND(IF(AQ461="7",BH461,0),2)</f>
        <v>0</v>
      </c>
      <c r="AE461" s="31">
        <f>ROUND(IF(AQ461="7",BI461,0),2)</f>
        <v>0</v>
      </c>
      <c r="AF461" s="31">
        <f>ROUND(IF(AQ461="2",BH461,0),2)</f>
        <v>0</v>
      </c>
      <c r="AG461" s="31">
        <f>ROUND(IF(AQ461="2",BI461,0),2)</f>
        <v>0</v>
      </c>
      <c r="AH461" s="31">
        <f>ROUND(IF(AQ461="0",BJ461,0),2)</f>
        <v>0</v>
      </c>
      <c r="AI461" s="11" t="s">
        <v>66</v>
      </c>
      <c r="AJ461" s="31">
        <f>IF(AN461=0,J461,0)</f>
        <v>0</v>
      </c>
      <c r="AK461" s="31">
        <f>IF(AN461=12,J461,0)</f>
        <v>0</v>
      </c>
      <c r="AL461" s="31">
        <f>IF(AN461=21,J461,0)</f>
        <v>0</v>
      </c>
      <c r="AN461" s="31">
        <v>21</v>
      </c>
      <c r="AO461" s="31">
        <f>G461*0.409021853</f>
        <v>0</v>
      </c>
      <c r="AP461" s="31">
        <f>G461*(1-0.409021853)</f>
        <v>0</v>
      </c>
      <c r="AQ461" s="34" t="s">
        <v>101</v>
      </c>
      <c r="AV461" s="31">
        <f>ROUND(AW461+AX461,2)</f>
        <v>0</v>
      </c>
      <c r="AW461" s="31">
        <f>ROUND(F461*AO461,2)</f>
        <v>0</v>
      </c>
      <c r="AX461" s="31">
        <f>ROUND(F461*AP461,2)</f>
        <v>0</v>
      </c>
      <c r="AY461" s="34" t="s">
        <v>840</v>
      </c>
      <c r="AZ461" s="34" t="s">
        <v>806</v>
      </c>
      <c r="BA461" s="11" t="s">
        <v>807</v>
      </c>
      <c r="BC461" s="31">
        <f>AW461+AX461</f>
        <v>0</v>
      </c>
      <c r="BD461" s="31">
        <f>G461/(100-BE461)*100</f>
        <v>0</v>
      </c>
      <c r="BE461" s="31">
        <v>0</v>
      </c>
      <c r="BF461" s="31">
        <f>461</f>
        <v>461</v>
      </c>
      <c r="BH461" s="31">
        <f>F461*AO461</f>
        <v>0</v>
      </c>
      <c r="BI461" s="31">
        <f>F461*AP461</f>
        <v>0</v>
      </c>
      <c r="BJ461" s="31">
        <f>F461*G461</f>
        <v>0</v>
      </c>
      <c r="BK461" s="34" t="s">
        <v>64</v>
      </c>
      <c r="BL461" s="31">
        <v>734</v>
      </c>
      <c r="BW461" s="31">
        <v>21</v>
      </c>
      <c r="BX461" s="5" t="s">
        <v>854</v>
      </c>
    </row>
    <row r="462" spans="1:76" x14ac:dyDescent="0.25">
      <c r="A462" s="39" t="s">
        <v>855</v>
      </c>
      <c r="B462" s="40" t="s">
        <v>856</v>
      </c>
      <c r="C462" s="135" t="s">
        <v>857</v>
      </c>
      <c r="D462" s="136"/>
      <c r="E462" s="40" t="s">
        <v>81</v>
      </c>
      <c r="F462" s="42">
        <v>1</v>
      </c>
      <c r="G462" s="43">
        <v>0</v>
      </c>
      <c r="H462" s="42">
        <f>ROUND(F462*AO462,2)</f>
        <v>0</v>
      </c>
      <c r="I462" s="42">
        <f>ROUND(F462*AP462,2)</f>
        <v>0</v>
      </c>
      <c r="J462" s="42">
        <f>ROUND(F462*G462,2)</f>
        <v>0</v>
      </c>
      <c r="K462" s="44" t="s">
        <v>60</v>
      </c>
      <c r="Z462" s="31">
        <f>ROUND(IF(AQ462="5",BJ462,0),2)</f>
        <v>0</v>
      </c>
      <c r="AB462" s="31">
        <f>ROUND(IF(AQ462="1",BH462,0),2)</f>
        <v>0</v>
      </c>
      <c r="AC462" s="31">
        <f>ROUND(IF(AQ462="1",BI462,0),2)</f>
        <v>0</v>
      </c>
      <c r="AD462" s="31">
        <f>ROUND(IF(AQ462="7",BH462,0),2)</f>
        <v>0</v>
      </c>
      <c r="AE462" s="31">
        <f>ROUND(IF(AQ462="7",BI462,0),2)</f>
        <v>0</v>
      </c>
      <c r="AF462" s="31">
        <f>ROUND(IF(AQ462="2",BH462,0),2)</f>
        <v>0</v>
      </c>
      <c r="AG462" s="31">
        <f>ROUND(IF(AQ462="2",BI462,0),2)</f>
        <v>0</v>
      </c>
      <c r="AH462" s="31">
        <f>ROUND(IF(AQ462="0",BJ462,0),2)</f>
        <v>0</v>
      </c>
      <c r="AI462" s="11" t="s">
        <v>66</v>
      </c>
      <c r="AJ462" s="42">
        <f>IF(AN462=0,J462,0)</f>
        <v>0</v>
      </c>
      <c r="AK462" s="42">
        <f>IF(AN462=12,J462,0)</f>
        <v>0</v>
      </c>
      <c r="AL462" s="42">
        <f>IF(AN462=21,J462,0)</f>
        <v>0</v>
      </c>
      <c r="AN462" s="31">
        <v>21</v>
      </c>
      <c r="AO462" s="31">
        <f>G462*1</f>
        <v>0</v>
      </c>
      <c r="AP462" s="31">
        <f>G462*(1-1)</f>
        <v>0</v>
      </c>
      <c r="AQ462" s="45" t="s">
        <v>101</v>
      </c>
      <c r="AV462" s="31">
        <f>ROUND(AW462+AX462,2)</f>
        <v>0</v>
      </c>
      <c r="AW462" s="31">
        <f>ROUND(F462*AO462,2)</f>
        <v>0</v>
      </c>
      <c r="AX462" s="31">
        <f>ROUND(F462*AP462,2)</f>
        <v>0</v>
      </c>
      <c r="AY462" s="34" t="s">
        <v>840</v>
      </c>
      <c r="AZ462" s="34" t="s">
        <v>806</v>
      </c>
      <c r="BA462" s="11" t="s">
        <v>807</v>
      </c>
      <c r="BC462" s="31">
        <f>AW462+AX462</f>
        <v>0</v>
      </c>
      <c r="BD462" s="31">
        <f>G462/(100-BE462)*100</f>
        <v>0</v>
      </c>
      <c r="BE462" s="31">
        <v>0</v>
      </c>
      <c r="BF462" s="31">
        <f>462</f>
        <v>462</v>
      </c>
      <c r="BH462" s="42">
        <f>F462*AO462</f>
        <v>0</v>
      </c>
      <c r="BI462" s="42">
        <f>F462*AP462</f>
        <v>0</v>
      </c>
      <c r="BJ462" s="42">
        <f>F462*G462</f>
        <v>0</v>
      </c>
      <c r="BK462" s="45" t="s">
        <v>70</v>
      </c>
      <c r="BL462" s="31">
        <v>734</v>
      </c>
      <c r="BW462" s="31">
        <v>21</v>
      </c>
      <c r="BX462" s="41" t="s">
        <v>857</v>
      </c>
    </row>
    <row r="463" spans="1:76" x14ac:dyDescent="0.25">
      <c r="A463" s="35"/>
      <c r="C463" s="36" t="s">
        <v>56</v>
      </c>
      <c r="D463" s="36" t="s">
        <v>858</v>
      </c>
      <c r="F463" s="37">
        <v>1</v>
      </c>
      <c r="K463" s="38"/>
    </row>
    <row r="464" spans="1:76" x14ac:dyDescent="0.25">
      <c r="A464" s="39" t="s">
        <v>859</v>
      </c>
      <c r="B464" s="40" t="s">
        <v>860</v>
      </c>
      <c r="C464" s="135" t="s">
        <v>861</v>
      </c>
      <c r="D464" s="136"/>
      <c r="E464" s="40" t="s">
        <v>81</v>
      </c>
      <c r="F464" s="42">
        <v>2</v>
      </c>
      <c r="G464" s="43">
        <v>0</v>
      </c>
      <c r="H464" s="42">
        <f>ROUND(F464*AO464,2)</f>
        <v>0</v>
      </c>
      <c r="I464" s="42">
        <f>ROUND(F464*AP464,2)</f>
        <v>0</v>
      </c>
      <c r="J464" s="42">
        <f>ROUND(F464*G464,2)</f>
        <v>0</v>
      </c>
      <c r="K464" s="44" t="s">
        <v>60</v>
      </c>
      <c r="Z464" s="31">
        <f>ROUND(IF(AQ464="5",BJ464,0),2)</f>
        <v>0</v>
      </c>
      <c r="AB464" s="31">
        <f>ROUND(IF(AQ464="1",BH464,0),2)</f>
        <v>0</v>
      </c>
      <c r="AC464" s="31">
        <f>ROUND(IF(AQ464="1",BI464,0),2)</f>
        <v>0</v>
      </c>
      <c r="AD464" s="31">
        <f>ROUND(IF(AQ464="7",BH464,0),2)</f>
        <v>0</v>
      </c>
      <c r="AE464" s="31">
        <f>ROUND(IF(AQ464="7",BI464,0),2)</f>
        <v>0</v>
      </c>
      <c r="AF464" s="31">
        <f>ROUND(IF(AQ464="2",BH464,0),2)</f>
        <v>0</v>
      </c>
      <c r="AG464" s="31">
        <f>ROUND(IF(AQ464="2",BI464,0),2)</f>
        <v>0</v>
      </c>
      <c r="AH464" s="31">
        <f>ROUND(IF(AQ464="0",BJ464,0),2)</f>
        <v>0</v>
      </c>
      <c r="AI464" s="11" t="s">
        <v>66</v>
      </c>
      <c r="AJ464" s="42">
        <f>IF(AN464=0,J464,0)</f>
        <v>0</v>
      </c>
      <c r="AK464" s="42">
        <f>IF(AN464=12,J464,0)</f>
        <v>0</v>
      </c>
      <c r="AL464" s="42">
        <f>IF(AN464=21,J464,0)</f>
        <v>0</v>
      </c>
      <c r="AN464" s="31">
        <v>21</v>
      </c>
      <c r="AO464" s="31">
        <f>G464*1</f>
        <v>0</v>
      </c>
      <c r="AP464" s="31">
        <f>G464*(1-1)</f>
        <v>0</v>
      </c>
      <c r="AQ464" s="45" t="s">
        <v>101</v>
      </c>
      <c r="AV464" s="31">
        <f>ROUND(AW464+AX464,2)</f>
        <v>0</v>
      </c>
      <c r="AW464" s="31">
        <f>ROUND(F464*AO464,2)</f>
        <v>0</v>
      </c>
      <c r="AX464" s="31">
        <f>ROUND(F464*AP464,2)</f>
        <v>0</v>
      </c>
      <c r="AY464" s="34" t="s">
        <v>840</v>
      </c>
      <c r="AZ464" s="34" t="s">
        <v>806</v>
      </c>
      <c r="BA464" s="11" t="s">
        <v>807</v>
      </c>
      <c r="BC464" s="31">
        <f>AW464+AX464</f>
        <v>0</v>
      </c>
      <c r="BD464" s="31">
        <f>G464/(100-BE464)*100</f>
        <v>0</v>
      </c>
      <c r="BE464" s="31">
        <v>0</v>
      </c>
      <c r="BF464" s="31">
        <f>464</f>
        <v>464</v>
      </c>
      <c r="BH464" s="42">
        <f>F464*AO464</f>
        <v>0</v>
      </c>
      <c r="BI464" s="42">
        <f>F464*AP464</f>
        <v>0</v>
      </c>
      <c r="BJ464" s="42">
        <f>F464*G464</f>
        <v>0</v>
      </c>
      <c r="BK464" s="45" t="s">
        <v>70</v>
      </c>
      <c r="BL464" s="31">
        <v>734</v>
      </c>
      <c r="BW464" s="31">
        <v>21</v>
      </c>
      <c r="BX464" s="41" t="s">
        <v>861</v>
      </c>
    </row>
    <row r="465" spans="1:76" x14ac:dyDescent="0.25">
      <c r="A465" s="2" t="s">
        <v>862</v>
      </c>
      <c r="B465" s="3" t="s">
        <v>863</v>
      </c>
      <c r="C465" s="112" t="s">
        <v>864</v>
      </c>
      <c r="D465" s="107"/>
      <c r="E465" s="3" t="s">
        <v>276</v>
      </c>
      <c r="F465" s="31">
        <v>3.8700000000000002E-3</v>
      </c>
      <c r="G465" s="32">
        <v>0</v>
      </c>
      <c r="H465" s="31">
        <f>ROUND(F465*AO465,2)</f>
        <v>0</v>
      </c>
      <c r="I465" s="31">
        <f>ROUND(F465*AP465,2)</f>
        <v>0</v>
      </c>
      <c r="J465" s="31">
        <f>ROUND(F465*G465,2)</f>
        <v>0</v>
      </c>
      <c r="K465" s="33" t="s">
        <v>60</v>
      </c>
      <c r="Z465" s="31">
        <f>ROUND(IF(AQ465="5",BJ465,0),2)</f>
        <v>0</v>
      </c>
      <c r="AB465" s="31">
        <f>ROUND(IF(AQ465="1",BH465,0),2)</f>
        <v>0</v>
      </c>
      <c r="AC465" s="31">
        <f>ROUND(IF(AQ465="1",BI465,0),2)</f>
        <v>0</v>
      </c>
      <c r="AD465" s="31">
        <f>ROUND(IF(AQ465="7",BH465,0),2)</f>
        <v>0</v>
      </c>
      <c r="AE465" s="31">
        <f>ROUND(IF(AQ465="7",BI465,0),2)</f>
        <v>0</v>
      </c>
      <c r="AF465" s="31">
        <f>ROUND(IF(AQ465="2",BH465,0),2)</f>
        <v>0</v>
      </c>
      <c r="AG465" s="31">
        <f>ROUND(IF(AQ465="2",BI465,0),2)</f>
        <v>0</v>
      </c>
      <c r="AH465" s="31">
        <f>ROUND(IF(AQ465="0",BJ465,0),2)</f>
        <v>0</v>
      </c>
      <c r="AI465" s="11" t="s">
        <v>66</v>
      </c>
      <c r="AJ465" s="31">
        <f>IF(AN465=0,J465,0)</f>
        <v>0</v>
      </c>
      <c r="AK465" s="31">
        <f>IF(AN465=12,J465,0)</f>
        <v>0</v>
      </c>
      <c r="AL465" s="31">
        <f>IF(AN465=21,J465,0)</f>
        <v>0</v>
      </c>
      <c r="AN465" s="31">
        <v>21</v>
      </c>
      <c r="AO465" s="31">
        <f>G465*0</f>
        <v>0</v>
      </c>
      <c r="AP465" s="31">
        <f>G465*(1-0)</f>
        <v>0</v>
      </c>
      <c r="AQ465" s="34" t="s">
        <v>85</v>
      </c>
      <c r="AV465" s="31">
        <f>ROUND(AW465+AX465,2)</f>
        <v>0</v>
      </c>
      <c r="AW465" s="31">
        <f>ROUND(F465*AO465,2)</f>
        <v>0</v>
      </c>
      <c r="AX465" s="31">
        <f>ROUND(F465*AP465,2)</f>
        <v>0</v>
      </c>
      <c r="AY465" s="34" t="s">
        <v>840</v>
      </c>
      <c r="AZ465" s="34" t="s">
        <v>806</v>
      </c>
      <c r="BA465" s="11" t="s">
        <v>807</v>
      </c>
      <c r="BC465" s="31">
        <f>AW465+AX465</f>
        <v>0</v>
      </c>
      <c r="BD465" s="31">
        <f>G465/(100-BE465)*100</f>
        <v>0</v>
      </c>
      <c r="BE465" s="31">
        <v>0</v>
      </c>
      <c r="BF465" s="31">
        <f>465</f>
        <v>465</v>
      </c>
      <c r="BH465" s="31">
        <f>F465*AO465</f>
        <v>0</v>
      </c>
      <c r="BI465" s="31">
        <f>F465*AP465</f>
        <v>0</v>
      </c>
      <c r="BJ465" s="31">
        <f>F465*G465</f>
        <v>0</v>
      </c>
      <c r="BK465" s="34" t="s">
        <v>64</v>
      </c>
      <c r="BL465" s="31">
        <v>734</v>
      </c>
      <c r="BW465" s="31">
        <v>21</v>
      </c>
      <c r="BX465" s="5" t="s">
        <v>864</v>
      </c>
    </row>
    <row r="466" spans="1:76" x14ac:dyDescent="0.25">
      <c r="A466" s="26" t="s">
        <v>52</v>
      </c>
      <c r="B466" s="27" t="s">
        <v>865</v>
      </c>
      <c r="C466" s="133" t="s">
        <v>866</v>
      </c>
      <c r="D466" s="134"/>
      <c r="E466" s="28" t="s">
        <v>4</v>
      </c>
      <c r="F466" s="28" t="s">
        <v>4</v>
      </c>
      <c r="G466" s="29" t="s">
        <v>4</v>
      </c>
      <c r="H466" s="1">
        <f>SUM(H467:H517)</f>
        <v>0</v>
      </c>
      <c r="I466" s="1">
        <f>SUM(I467:I517)</f>
        <v>0</v>
      </c>
      <c r="J466" s="1">
        <f>SUM(J467:J517)</f>
        <v>0</v>
      </c>
      <c r="K466" s="30" t="s">
        <v>52</v>
      </c>
      <c r="AI466" s="11" t="s">
        <v>66</v>
      </c>
      <c r="AS466" s="1">
        <f>SUM(AJ467:AJ517)</f>
        <v>0</v>
      </c>
      <c r="AT466" s="1">
        <f>SUM(AK467:AK517)</f>
        <v>0</v>
      </c>
      <c r="AU466" s="1">
        <f>SUM(AL467:AL517)</f>
        <v>0</v>
      </c>
    </row>
    <row r="467" spans="1:76" x14ac:dyDescent="0.25">
      <c r="A467" s="2" t="s">
        <v>867</v>
      </c>
      <c r="B467" s="3" t="s">
        <v>868</v>
      </c>
      <c r="C467" s="112" t="s">
        <v>869</v>
      </c>
      <c r="D467" s="107"/>
      <c r="E467" s="3" t="s">
        <v>59</v>
      </c>
      <c r="F467" s="31">
        <v>4.6749999999999998</v>
      </c>
      <c r="G467" s="32">
        <v>0</v>
      </c>
      <c r="H467" s="31">
        <f>ROUND(F467*AO467,2)</f>
        <v>0</v>
      </c>
      <c r="I467" s="31">
        <f>ROUND(F467*AP467,2)</f>
        <v>0</v>
      </c>
      <c r="J467" s="31">
        <f>ROUND(F467*G467,2)</f>
        <v>0</v>
      </c>
      <c r="K467" s="33" t="s">
        <v>60</v>
      </c>
      <c r="Z467" s="31">
        <f>ROUND(IF(AQ467="5",BJ467,0),2)</f>
        <v>0</v>
      </c>
      <c r="AB467" s="31">
        <f>ROUND(IF(AQ467="1",BH467,0),2)</f>
        <v>0</v>
      </c>
      <c r="AC467" s="31">
        <f>ROUND(IF(AQ467="1",BI467,0),2)</f>
        <v>0</v>
      </c>
      <c r="AD467" s="31">
        <f>ROUND(IF(AQ467="7",BH467,0),2)</f>
        <v>0</v>
      </c>
      <c r="AE467" s="31">
        <f>ROUND(IF(AQ467="7",BI467,0),2)</f>
        <v>0</v>
      </c>
      <c r="AF467" s="31">
        <f>ROUND(IF(AQ467="2",BH467,0),2)</f>
        <v>0</v>
      </c>
      <c r="AG467" s="31">
        <f>ROUND(IF(AQ467="2",BI467,0),2)</f>
        <v>0</v>
      </c>
      <c r="AH467" s="31">
        <f>ROUND(IF(AQ467="0",BJ467,0),2)</f>
        <v>0</v>
      </c>
      <c r="AI467" s="11" t="s">
        <v>66</v>
      </c>
      <c r="AJ467" s="31">
        <f>IF(AN467=0,J467,0)</f>
        <v>0</v>
      </c>
      <c r="AK467" s="31">
        <f>IF(AN467=12,J467,0)</f>
        <v>0</v>
      </c>
      <c r="AL467" s="31">
        <f>IF(AN467=21,J467,0)</f>
        <v>0</v>
      </c>
      <c r="AN467" s="31">
        <v>21</v>
      </c>
      <c r="AO467" s="31">
        <f>G467*0</f>
        <v>0</v>
      </c>
      <c r="AP467" s="31">
        <f>G467*(1-0)</f>
        <v>0</v>
      </c>
      <c r="AQ467" s="34" t="s">
        <v>101</v>
      </c>
      <c r="AV467" s="31">
        <f>ROUND(AW467+AX467,2)</f>
        <v>0</v>
      </c>
      <c r="AW467" s="31">
        <f>ROUND(F467*AO467,2)</f>
        <v>0</v>
      </c>
      <c r="AX467" s="31">
        <f>ROUND(F467*AP467,2)</f>
        <v>0</v>
      </c>
      <c r="AY467" s="34" t="s">
        <v>870</v>
      </c>
      <c r="AZ467" s="34" t="s">
        <v>806</v>
      </c>
      <c r="BA467" s="11" t="s">
        <v>807</v>
      </c>
      <c r="BC467" s="31">
        <f>AW467+AX467</f>
        <v>0</v>
      </c>
      <c r="BD467" s="31">
        <f>G467/(100-BE467)*100</f>
        <v>0</v>
      </c>
      <c r="BE467" s="31">
        <v>0</v>
      </c>
      <c r="BF467" s="31">
        <f>467</f>
        <v>467</v>
      </c>
      <c r="BH467" s="31">
        <f>F467*AO467</f>
        <v>0</v>
      </c>
      <c r="BI467" s="31">
        <f>F467*AP467</f>
        <v>0</v>
      </c>
      <c r="BJ467" s="31">
        <f>F467*G467</f>
        <v>0</v>
      </c>
      <c r="BK467" s="34" t="s">
        <v>64</v>
      </c>
      <c r="BL467" s="31">
        <v>735</v>
      </c>
      <c r="BW467" s="31">
        <v>21</v>
      </c>
      <c r="BX467" s="5" t="s">
        <v>869</v>
      </c>
    </row>
    <row r="468" spans="1:76" x14ac:dyDescent="0.25">
      <c r="A468" s="35"/>
      <c r="C468" s="36" t="s">
        <v>871</v>
      </c>
      <c r="D468" s="36" t="s">
        <v>872</v>
      </c>
      <c r="F468" s="37">
        <v>3.145</v>
      </c>
      <c r="K468" s="38"/>
    </row>
    <row r="469" spans="1:76" x14ac:dyDescent="0.25">
      <c r="A469" s="35"/>
      <c r="C469" s="36" t="s">
        <v>873</v>
      </c>
      <c r="D469" s="36" t="s">
        <v>874</v>
      </c>
      <c r="F469" s="37">
        <v>1.53</v>
      </c>
      <c r="K469" s="38"/>
    </row>
    <row r="470" spans="1:76" x14ac:dyDescent="0.25">
      <c r="A470" s="2" t="s">
        <v>875</v>
      </c>
      <c r="B470" s="3" t="s">
        <v>876</v>
      </c>
      <c r="C470" s="112" t="s">
        <v>877</v>
      </c>
      <c r="D470" s="107"/>
      <c r="E470" s="3" t="s">
        <v>59</v>
      </c>
      <c r="F470" s="31">
        <v>4.6749999999999998</v>
      </c>
      <c r="G470" s="32">
        <v>0</v>
      </c>
      <c r="H470" s="31">
        <f>ROUND(F470*AO470,2)</f>
        <v>0</v>
      </c>
      <c r="I470" s="31">
        <f>ROUND(F470*AP470,2)</f>
        <v>0</v>
      </c>
      <c r="J470" s="31">
        <f>ROUND(F470*G470,2)</f>
        <v>0</v>
      </c>
      <c r="K470" s="33" t="s">
        <v>60</v>
      </c>
      <c r="Z470" s="31">
        <f>ROUND(IF(AQ470="5",BJ470,0),2)</f>
        <v>0</v>
      </c>
      <c r="AB470" s="31">
        <f>ROUND(IF(AQ470="1",BH470,0),2)</f>
        <v>0</v>
      </c>
      <c r="AC470" s="31">
        <f>ROUND(IF(AQ470="1",BI470,0),2)</f>
        <v>0</v>
      </c>
      <c r="AD470" s="31">
        <f>ROUND(IF(AQ470="7",BH470,0),2)</f>
        <v>0</v>
      </c>
      <c r="AE470" s="31">
        <f>ROUND(IF(AQ470="7",BI470,0),2)</f>
        <v>0</v>
      </c>
      <c r="AF470" s="31">
        <f>ROUND(IF(AQ470="2",BH470,0),2)</f>
        <v>0</v>
      </c>
      <c r="AG470" s="31">
        <f>ROUND(IF(AQ470="2",BI470,0),2)</f>
        <v>0</v>
      </c>
      <c r="AH470" s="31">
        <f>ROUND(IF(AQ470="0",BJ470,0),2)</f>
        <v>0</v>
      </c>
      <c r="AI470" s="11" t="s">
        <v>66</v>
      </c>
      <c r="AJ470" s="31">
        <f>IF(AN470=0,J470,0)</f>
        <v>0</v>
      </c>
      <c r="AK470" s="31">
        <f>IF(AN470=12,J470,0)</f>
        <v>0</v>
      </c>
      <c r="AL470" s="31">
        <f>IF(AN470=21,J470,0)</f>
        <v>0</v>
      </c>
      <c r="AN470" s="31">
        <v>21</v>
      </c>
      <c r="AO470" s="31">
        <f>G470*0</f>
        <v>0</v>
      </c>
      <c r="AP470" s="31">
        <f>G470*(1-0)</f>
        <v>0</v>
      </c>
      <c r="AQ470" s="34" t="s">
        <v>101</v>
      </c>
      <c r="AV470" s="31">
        <f>ROUND(AW470+AX470,2)</f>
        <v>0</v>
      </c>
      <c r="AW470" s="31">
        <f>ROUND(F470*AO470,2)</f>
        <v>0</v>
      </c>
      <c r="AX470" s="31">
        <f>ROUND(F470*AP470,2)</f>
        <v>0</v>
      </c>
      <c r="AY470" s="34" t="s">
        <v>870</v>
      </c>
      <c r="AZ470" s="34" t="s">
        <v>806</v>
      </c>
      <c r="BA470" s="11" t="s">
        <v>807</v>
      </c>
      <c r="BC470" s="31">
        <f>AW470+AX470</f>
        <v>0</v>
      </c>
      <c r="BD470" s="31">
        <f>G470/(100-BE470)*100</f>
        <v>0</v>
      </c>
      <c r="BE470" s="31">
        <v>0</v>
      </c>
      <c r="BF470" s="31">
        <f>470</f>
        <v>470</v>
      </c>
      <c r="BH470" s="31">
        <f>F470*AO470</f>
        <v>0</v>
      </c>
      <c r="BI470" s="31">
        <f>F470*AP470</f>
        <v>0</v>
      </c>
      <c r="BJ470" s="31">
        <f>F470*G470</f>
        <v>0</v>
      </c>
      <c r="BK470" s="34" t="s">
        <v>64</v>
      </c>
      <c r="BL470" s="31">
        <v>735</v>
      </c>
      <c r="BW470" s="31">
        <v>21</v>
      </c>
      <c r="BX470" s="5" t="s">
        <v>877</v>
      </c>
    </row>
    <row r="471" spans="1:76" x14ac:dyDescent="0.25">
      <c r="A471" s="35"/>
      <c r="C471" s="36" t="s">
        <v>871</v>
      </c>
      <c r="D471" s="36" t="s">
        <v>872</v>
      </c>
      <c r="F471" s="37">
        <v>3.145</v>
      </c>
      <c r="K471" s="38"/>
    </row>
    <row r="472" spans="1:76" x14ac:dyDescent="0.25">
      <c r="A472" s="35"/>
      <c r="C472" s="36" t="s">
        <v>873</v>
      </c>
      <c r="D472" s="36" t="s">
        <v>874</v>
      </c>
      <c r="F472" s="37">
        <v>1.53</v>
      </c>
      <c r="K472" s="38"/>
    </row>
    <row r="473" spans="1:76" x14ac:dyDescent="0.25">
      <c r="A473" s="2" t="s">
        <v>878</v>
      </c>
      <c r="B473" s="3" t="s">
        <v>879</v>
      </c>
      <c r="C473" s="112" t="s">
        <v>880</v>
      </c>
      <c r="D473" s="107"/>
      <c r="E473" s="3" t="s">
        <v>81</v>
      </c>
      <c r="F473" s="31">
        <v>1</v>
      </c>
      <c r="G473" s="32">
        <v>0</v>
      </c>
      <c r="H473" s="31">
        <f>ROUND(F473*AO473,2)</f>
        <v>0</v>
      </c>
      <c r="I473" s="31">
        <f>ROUND(F473*AP473,2)</f>
        <v>0</v>
      </c>
      <c r="J473" s="31">
        <f>ROUND(F473*G473,2)</f>
        <v>0</v>
      </c>
      <c r="K473" s="33" t="s">
        <v>60</v>
      </c>
      <c r="Z473" s="31">
        <f>ROUND(IF(AQ473="5",BJ473,0),2)</f>
        <v>0</v>
      </c>
      <c r="AB473" s="31">
        <f>ROUND(IF(AQ473="1",BH473,0),2)</f>
        <v>0</v>
      </c>
      <c r="AC473" s="31">
        <f>ROUND(IF(AQ473="1",BI473,0),2)</f>
        <v>0</v>
      </c>
      <c r="AD473" s="31">
        <f>ROUND(IF(AQ473="7",BH473,0),2)</f>
        <v>0</v>
      </c>
      <c r="AE473" s="31">
        <f>ROUND(IF(AQ473="7",BI473,0),2)</f>
        <v>0</v>
      </c>
      <c r="AF473" s="31">
        <f>ROUND(IF(AQ473="2",BH473,0),2)</f>
        <v>0</v>
      </c>
      <c r="AG473" s="31">
        <f>ROUND(IF(AQ473="2",BI473,0),2)</f>
        <v>0</v>
      </c>
      <c r="AH473" s="31">
        <f>ROUND(IF(AQ473="0",BJ473,0),2)</f>
        <v>0</v>
      </c>
      <c r="AI473" s="11" t="s">
        <v>66</v>
      </c>
      <c r="AJ473" s="31">
        <f>IF(AN473=0,J473,0)</f>
        <v>0</v>
      </c>
      <c r="AK473" s="31">
        <f>IF(AN473=12,J473,0)</f>
        <v>0</v>
      </c>
      <c r="AL473" s="31">
        <f>IF(AN473=21,J473,0)</f>
        <v>0</v>
      </c>
      <c r="AN473" s="31">
        <v>21</v>
      </c>
      <c r="AO473" s="31">
        <f>G473*0</f>
        <v>0</v>
      </c>
      <c r="AP473" s="31">
        <f>G473*(1-0)</f>
        <v>0</v>
      </c>
      <c r="AQ473" s="34" t="s">
        <v>101</v>
      </c>
      <c r="AV473" s="31">
        <f>ROUND(AW473+AX473,2)</f>
        <v>0</v>
      </c>
      <c r="AW473" s="31">
        <f>ROUND(F473*AO473,2)</f>
        <v>0</v>
      </c>
      <c r="AX473" s="31">
        <f>ROUND(F473*AP473,2)</f>
        <v>0</v>
      </c>
      <c r="AY473" s="34" t="s">
        <v>870</v>
      </c>
      <c r="AZ473" s="34" t="s">
        <v>806</v>
      </c>
      <c r="BA473" s="11" t="s">
        <v>807</v>
      </c>
      <c r="BC473" s="31">
        <f>AW473+AX473</f>
        <v>0</v>
      </c>
      <c r="BD473" s="31">
        <f>G473/(100-BE473)*100</f>
        <v>0</v>
      </c>
      <c r="BE473" s="31">
        <v>0</v>
      </c>
      <c r="BF473" s="31">
        <f>473</f>
        <v>473</v>
      </c>
      <c r="BH473" s="31">
        <f>F473*AO473</f>
        <v>0</v>
      </c>
      <c r="BI473" s="31">
        <f>F473*AP473</f>
        <v>0</v>
      </c>
      <c r="BJ473" s="31">
        <f>F473*G473</f>
        <v>0</v>
      </c>
      <c r="BK473" s="34" t="s">
        <v>64</v>
      </c>
      <c r="BL473" s="31">
        <v>735</v>
      </c>
      <c r="BW473" s="31">
        <v>21</v>
      </c>
      <c r="BX473" s="5" t="s">
        <v>880</v>
      </c>
    </row>
    <row r="474" spans="1:76" x14ac:dyDescent="0.25">
      <c r="A474" s="2" t="s">
        <v>881</v>
      </c>
      <c r="B474" s="3" t="s">
        <v>882</v>
      </c>
      <c r="C474" s="112" t="s">
        <v>883</v>
      </c>
      <c r="D474" s="107"/>
      <c r="E474" s="3" t="s">
        <v>59</v>
      </c>
      <c r="F474" s="31">
        <v>1.53</v>
      </c>
      <c r="G474" s="32">
        <v>0</v>
      </c>
      <c r="H474" s="31">
        <f>ROUND(F474*AO474,2)</f>
        <v>0</v>
      </c>
      <c r="I474" s="31">
        <f>ROUND(F474*AP474,2)</f>
        <v>0</v>
      </c>
      <c r="J474" s="31">
        <f>ROUND(F474*G474,2)</f>
        <v>0</v>
      </c>
      <c r="K474" s="33" t="s">
        <v>60</v>
      </c>
      <c r="Z474" s="31">
        <f>ROUND(IF(AQ474="5",BJ474,0),2)</f>
        <v>0</v>
      </c>
      <c r="AB474" s="31">
        <f>ROUND(IF(AQ474="1",BH474,0),2)</f>
        <v>0</v>
      </c>
      <c r="AC474" s="31">
        <f>ROUND(IF(AQ474="1",BI474,0),2)</f>
        <v>0</v>
      </c>
      <c r="AD474" s="31">
        <f>ROUND(IF(AQ474="7",BH474,0),2)</f>
        <v>0</v>
      </c>
      <c r="AE474" s="31">
        <f>ROUND(IF(AQ474="7",BI474,0),2)</f>
        <v>0</v>
      </c>
      <c r="AF474" s="31">
        <f>ROUND(IF(AQ474="2",BH474,0),2)</f>
        <v>0</v>
      </c>
      <c r="AG474" s="31">
        <f>ROUND(IF(AQ474="2",BI474,0),2)</f>
        <v>0</v>
      </c>
      <c r="AH474" s="31">
        <f>ROUND(IF(AQ474="0",BJ474,0),2)</f>
        <v>0</v>
      </c>
      <c r="AI474" s="11" t="s">
        <v>66</v>
      </c>
      <c r="AJ474" s="31">
        <f>IF(AN474=0,J474,0)</f>
        <v>0</v>
      </c>
      <c r="AK474" s="31">
        <f>IF(AN474=12,J474,0)</f>
        <v>0</v>
      </c>
      <c r="AL474" s="31">
        <f>IF(AN474=21,J474,0)</f>
        <v>0</v>
      </c>
      <c r="AN474" s="31">
        <v>21</v>
      </c>
      <c r="AO474" s="31">
        <f>G474*0</f>
        <v>0</v>
      </c>
      <c r="AP474" s="31">
        <f>G474*(1-0)</f>
        <v>0</v>
      </c>
      <c r="AQ474" s="34" t="s">
        <v>101</v>
      </c>
      <c r="AV474" s="31">
        <f>ROUND(AW474+AX474,2)</f>
        <v>0</v>
      </c>
      <c r="AW474" s="31">
        <f>ROUND(F474*AO474,2)</f>
        <v>0</v>
      </c>
      <c r="AX474" s="31">
        <f>ROUND(F474*AP474,2)</f>
        <v>0</v>
      </c>
      <c r="AY474" s="34" t="s">
        <v>870</v>
      </c>
      <c r="AZ474" s="34" t="s">
        <v>806</v>
      </c>
      <c r="BA474" s="11" t="s">
        <v>807</v>
      </c>
      <c r="BC474" s="31">
        <f>AW474+AX474</f>
        <v>0</v>
      </c>
      <c r="BD474" s="31">
        <f>G474/(100-BE474)*100</f>
        <v>0</v>
      </c>
      <c r="BE474" s="31">
        <v>0</v>
      </c>
      <c r="BF474" s="31">
        <f>474</f>
        <v>474</v>
      </c>
      <c r="BH474" s="31">
        <f>F474*AO474</f>
        <v>0</v>
      </c>
      <c r="BI474" s="31">
        <f>F474*AP474</f>
        <v>0</v>
      </c>
      <c r="BJ474" s="31">
        <f>F474*G474</f>
        <v>0</v>
      </c>
      <c r="BK474" s="34" t="s">
        <v>64</v>
      </c>
      <c r="BL474" s="31">
        <v>735</v>
      </c>
      <c r="BW474" s="31">
        <v>21</v>
      </c>
      <c r="BX474" s="5" t="s">
        <v>883</v>
      </c>
    </row>
    <row r="475" spans="1:76" x14ac:dyDescent="0.25">
      <c r="A475" s="35"/>
      <c r="C475" s="36" t="s">
        <v>873</v>
      </c>
      <c r="D475" s="36" t="s">
        <v>874</v>
      </c>
      <c r="F475" s="37">
        <v>1.53</v>
      </c>
      <c r="K475" s="38"/>
    </row>
    <row r="476" spans="1:76" x14ac:dyDescent="0.25">
      <c r="A476" s="2" t="s">
        <v>884</v>
      </c>
      <c r="B476" s="3" t="s">
        <v>885</v>
      </c>
      <c r="C476" s="112" t="s">
        <v>886</v>
      </c>
      <c r="D476" s="107"/>
      <c r="E476" s="3" t="s">
        <v>59</v>
      </c>
      <c r="F476" s="31">
        <v>1.53</v>
      </c>
      <c r="G476" s="32">
        <v>0</v>
      </c>
      <c r="H476" s="31">
        <f>ROUND(F476*AO476,2)</f>
        <v>0</v>
      </c>
      <c r="I476" s="31">
        <f>ROUND(F476*AP476,2)</f>
        <v>0</v>
      </c>
      <c r="J476" s="31">
        <f>ROUND(F476*G476,2)</f>
        <v>0</v>
      </c>
      <c r="K476" s="33" t="s">
        <v>60</v>
      </c>
      <c r="Z476" s="31">
        <f>ROUND(IF(AQ476="5",BJ476,0),2)</f>
        <v>0</v>
      </c>
      <c r="AB476" s="31">
        <f>ROUND(IF(AQ476="1",BH476,0),2)</f>
        <v>0</v>
      </c>
      <c r="AC476" s="31">
        <f>ROUND(IF(AQ476="1",BI476,0),2)</f>
        <v>0</v>
      </c>
      <c r="AD476" s="31">
        <f>ROUND(IF(AQ476="7",BH476,0),2)</f>
        <v>0</v>
      </c>
      <c r="AE476" s="31">
        <f>ROUND(IF(AQ476="7",BI476,0),2)</f>
        <v>0</v>
      </c>
      <c r="AF476" s="31">
        <f>ROUND(IF(AQ476="2",BH476,0),2)</f>
        <v>0</v>
      </c>
      <c r="AG476" s="31">
        <f>ROUND(IF(AQ476="2",BI476,0),2)</f>
        <v>0</v>
      </c>
      <c r="AH476" s="31">
        <f>ROUND(IF(AQ476="0",BJ476,0),2)</f>
        <v>0</v>
      </c>
      <c r="AI476" s="11" t="s">
        <v>66</v>
      </c>
      <c r="AJ476" s="31">
        <f>IF(AN476=0,J476,0)</f>
        <v>0</v>
      </c>
      <c r="AK476" s="31">
        <f>IF(AN476=12,J476,0)</f>
        <v>0</v>
      </c>
      <c r="AL476" s="31">
        <f>IF(AN476=21,J476,0)</f>
        <v>0</v>
      </c>
      <c r="AN476" s="31">
        <v>21</v>
      </c>
      <c r="AO476" s="31">
        <f>G476*0.335011266</f>
        <v>0</v>
      </c>
      <c r="AP476" s="31">
        <f>G476*(1-0.335011266)</f>
        <v>0</v>
      </c>
      <c r="AQ476" s="34" t="s">
        <v>101</v>
      </c>
      <c r="AV476" s="31">
        <f>ROUND(AW476+AX476,2)</f>
        <v>0</v>
      </c>
      <c r="AW476" s="31">
        <f>ROUND(F476*AO476,2)</f>
        <v>0</v>
      </c>
      <c r="AX476" s="31">
        <f>ROUND(F476*AP476,2)</f>
        <v>0</v>
      </c>
      <c r="AY476" s="34" t="s">
        <v>870</v>
      </c>
      <c r="AZ476" s="34" t="s">
        <v>806</v>
      </c>
      <c r="BA476" s="11" t="s">
        <v>807</v>
      </c>
      <c r="BC476" s="31">
        <f>AW476+AX476</f>
        <v>0</v>
      </c>
      <c r="BD476" s="31">
        <f>G476/(100-BE476)*100</f>
        <v>0</v>
      </c>
      <c r="BE476" s="31">
        <v>0</v>
      </c>
      <c r="BF476" s="31">
        <f>476</f>
        <v>476</v>
      </c>
      <c r="BH476" s="31">
        <f>F476*AO476</f>
        <v>0</v>
      </c>
      <c r="BI476" s="31">
        <f>F476*AP476</f>
        <v>0</v>
      </c>
      <c r="BJ476" s="31">
        <f>F476*G476</f>
        <v>0</v>
      </c>
      <c r="BK476" s="34" t="s">
        <v>64</v>
      </c>
      <c r="BL476" s="31">
        <v>735</v>
      </c>
      <c r="BW476" s="31">
        <v>21</v>
      </c>
      <c r="BX476" s="5" t="s">
        <v>886</v>
      </c>
    </row>
    <row r="477" spans="1:76" x14ac:dyDescent="0.25">
      <c r="A477" s="35"/>
      <c r="C477" s="36" t="s">
        <v>873</v>
      </c>
      <c r="D477" s="36" t="s">
        <v>874</v>
      </c>
      <c r="F477" s="37">
        <v>1.53</v>
      </c>
      <c r="K477" s="38"/>
    </row>
    <row r="478" spans="1:76" x14ac:dyDescent="0.25">
      <c r="A478" s="39" t="s">
        <v>887</v>
      </c>
      <c r="B478" s="40" t="s">
        <v>240</v>
      </c>
      <c r="C478" s="135" t="s">
        <v>888</v>
      </c>
      <c r="D478" s="136"/>
      <c r="E478" s="40" t="s">
        <v>81</v>
      </c>
      <c r="F478" s="42">
        <v>4</v>
      </c>
      <c r="G478" s="43">
        <v>0</v>
      </c>
      <c r="H478" s="42">
        <f>ROUND(F478*AO478,2)</f>
        <v>0</v>
      </c>
      <c r="I478" s="42">
        <f>ROUND(F478*AP478,2)</f>
        <v>0</v>
      </c>
      <c r="J478" s="42">
        <f>ROUND(F478*G478,2)</f>
        <v>0</v>
      </c>
      <c r="K478" s="44" t="s">
        <v>242</v>
      </c>
      <c r="Z478" s="31">
        <f>ROUND(IF(AQ478="5",BJ478,0),2)</f>
        <v>0</v>
      </c>
      <c r="AB478" s="31">
        <f>ROUND(IF(AQ478="1",BH478,0),2)</f>
        <v>0</v>
      </c>
      <c r="AC478" s="31">
        <f>ROUND(IF(AQ478="1",BI478,0),2)</f>
        <v>0</v>
      </c>
      <c r="AD478" s="31">
        <f>ROUND(IF(AQ478="7",BH478,0),2)</f>
        <v>0</v>
      </c>
      <c r="AE478" s="31">
        <f>ROUND(IF(AQ478="7",BI478,0),2)</f>
        <v>0</v>
      </c>
      <c r="AF478" s="31">
        <f>ROUND(IF(AQ478="2",BH478,0),2)</f>
        <v>0</v>
      </c>
      <c r="AG478" s="31">
        <f>ROUND(IF(AQ478="2",BI478,0),2)</f>
        <v>0</v>
      </c>
      <c r="AH478" s="31">
        <f>ROUND(IF(AQ478="0",BJ478,0),2)</f>
        <v>0</v>
      </c>
      <c r="AI478" s="11" t="s">
        <v>66</v>
      </c>
      <c r="AJ478" s="42">
        <f>IF(AN478=0,J478,0)</f>
        <v>0</v>
      </c>
      <c r="AK478" s="42">
        <f>IF(AN478=12,J478,0)</f>
        <v>0</v>
      </c>
      <c r="AL478" s="42">
        <f>IF(AN478=21,J478,0)</f>
        <v>0</v>
      </c>
      <c r="AN478" s="31">
        <v>21</v>
      </c>
      <c r="AO478" s="31">
        <f>G478*1</f>
        <v>0</v>
      </c>
      <c r="AP478" s="31">
        <f>G478*(1-1)</f>
        <v>0</v>
      </c>
      <c r="AQ478" s="45" t="s">
        <v>101</v>
      </c>
      <c r="AV478" s="31">
        <f>ROUND(AW478+AX478,2)</f>
        <v>0</v>
      </c>
      <c r="AW478" s="31">
        <f>ROUND(F478*AO478,2)</f>
        <v>0</v>
      </c>
      <c r="AX478" s="31">
        <f>ROUND(F478*AP478,2)</f>
        <v>0</v>
      </c>
      <c r="AY478" s="34" t="s">
        <v>870</v>
      </c>
      <c r="AZ478" s="34" t="s">
        <v>806</v>
      </c>
      <c r="BA478" s="11" t="s">
        <v>807</v>
      </c>
      <c r="BC478" s="31">
        <f>AW478+AX478</f>
        <v>0</v>
      </c>
      <c r="BD478" s="31">
        <f>G478/(100-BE478)*100</f>
        <v>0</v>
      </c>
      <c r="BE478" s="31">
        <v>0</v>
      </c>
      <c r="BF478" s="31">
        <f>478</f>
        <v>478</v>
      </c>
      <c r="BH478" s="42">
        <f>F478*AO478</f>
        <v>0</v>
      </c>
      <c r="BI478" s="42">
        <f>F478*AP478</f>
        <v>0</v>
      </c>
      <c r="BJ478" s="42">
        <f>F478*G478</f>
        <v>0</v>
      </c>
      <c r="BK478" s="45" t="s">
        <v>70</v>
      </c>
      <c r="BL478" s="31">
        <v>735</v>
      </c>
      <c r="BW478" s="31">
        <v>21</v>
      </c>
      <c r="BX478" s="41" t="s">
        <v>888</v>
      </c>
    </row>
    <row r="479" spans="1:76" x14ac:dyDescent="0.25">
      <c r="A479" s="35"/>
      <c r="C479" s="36" t="s">
        <v>78</v>
      </c>
      <c r="D479" s="36" t="s">
        <v>889</v>
      </c>
      <c r="F479" s="37">
        <v>4</v>
      </c>
      <c r="K479" s="38"/>
    </row>
    <row r="480" spans="1:76" x14ac:dyDescent="0.25">
      <c r="A480" s="2" t="s">
        <v>890</v>
      </c>
      <c r="B480" s="3" t="s">
        <v>891</v>
      </c>
      <c r="C480" s="112" t="s">
        <v>892</v>
      </c>
      <c r="D480" s="107"/>
      <c r="E480" s="3" t="s">
        <v>59</v>
      </c>
      <c r="F480" s="31">
        <v>12.03</v>
      </c>
      <c r="G480" s="32">
        <v>0</v>
      </c>
      <c r="H480" s="31">
        <f>ROUND(F480*AO480,2)</f>
        <v>0</v>
      </c>
      <c r="I480" s="31">
        <f>ROUND(F480*AP480,2)</f>
        <v>0</v>
      </c>
      <c r="J480" s="31">
        <f>ROUND(F480*G480,2)</f>
        <v>0</v>
      </c>
      <c r="K480" s="33" t="s">
        <v>60</v>
      </c>
      <c r="Z480" s="31">
        <f>ROUND(IF(AQ480="5",BJ480,0),2)</f>
        <v>0</v>
      </c>
      <c r="AB480" s="31">
        <f>ROUND(IF(AQ480="1",BH480,0),2)</f>
        <v>0</v>
      </c>
      <c r="AC480" s="31">
        <f>ROUND(IF(AQ480="1",BI480,0),2)</f>
        <v>0</v>
      </c>
      <c r="AD480" s="31">
        <f>ROUND(IF(AQ480="7",BH480,0),2)</f>
        <v>0</v>
      </c>
      <c r="AE480" s="31">
        <f>ROUND(IF(AQ480="7",BI480,0),2)</f>
        <v>0</v>
      </c>
      <c r="AF480" s="31">
        <f>ROUND(IF(AQ480="2",BH480,0),2)</f>
        <v>0</v>
      </c>
      <c r="AG480" s="31">
        <f>ROUND(IF(AQ480="2",BI480,0),2)</f>
        <v>0</v>
      </c>
      <c r="AH480" s="31">
        <f>ROUND(IF(AQ480="0",BJ480,0),2)</f>
        <v>0</v>
      </c>
      <c r="AI480" s="11" t="s">
        <v>66</v>
      </c>
      <c r="AJ480" s="31">
        <f>IF(AN480=0,J480,0)</f>
        <v>0</v>
      </c>
      <c r="AK480" s="31">
        <f>IF(AN480=12,J480,0)</f>
        <v>0</v>
      </c>
      <c r="AL480" s="31">
        <f>IF(AN480=21,J480,0)</f>
        <v>0</v>
      </c>
      <c r="AN480" s="31">
        <v>21</v>
      </c>
      <c r="AO480" s="31">
        <f>G480*0</f>
        <v>0</v>
      </c>
      <c r="AP480" s="31">
        <f>G480*(1-0)</f>
        <v>0</v>
      </c>
      <c r="AQ480" s="34" t="s">
        <v>101</v>
      </c>
      <c r="AV480" s="31">
        <f>ROUND(AW480+AX480,2)</f>
        <v>0</v>
      </c>
      <c r="AW480" s="31">
        <f>ROUND(F480*AO480,2)</f>
        <v>0</v>
      </c>
      <c r="AX480" s="31">
        <f>ROUND(F480*AP480,2)</f>
        <v>0</v>
      </c>
      <c r="AY480" s="34" t="s">
        <v>870</v>
      </c>
      <c r="AZ480" s="34" t="s">
        <v>806</v>
      </c>
      <c r="BA480" s="11" t="s">
        <v>807</v>
      </c>
      <c r="BC480" s="31">
        <f>AW480+AX480</f>
        <v>0</v>
      </c>
      <c r="BD480" s="31">
        <f>G480/(100-BE480)*100</f>
        <v>0</v>
      </c>
      <c r="BE480" s="31">
        <v>0</v>
      </c>
      <c r="BF480" s="31">
        <f>480</f>
        <v>480</v>
      </c>
      <c r="BH480" s="31">
        <f>F480*AO480</f>
        <v>0</v>
      </c>
      <c r="BI480" s="31">
        <f>F480*AP480</f>
        <v>0</v>
      </c>
      <c r="BJ480" s="31">
        <f>F480*G480</f>
        <v>0</v>
      </c>
      <c r="BK480" s="34" t="s">
        <v>64</v>
      </c>
      <c r="BL480" s="31">
        <v>735</v>
      </c>
      <c r="BW480" s="31">
        <v>21</v>
      </c>
      <c r="BX480" s="5" t="s">
        <v>892</v>
      </c>
    </row>
    <row r="481" spans="1:76" x14ac:dyDescent="0.25">
      <c r="A481" s="35"/>
      <c r="C481" s="36" t="s">
        <v>873</v>
      </c>
      <c r="D481" s="36" t="s">
        <v>874</v>
      </c>
      <c r="F481" s="37">
        <v>1.53</v>
      </c>
      <c r="K481" s="38"/>
    </row>
    <row r="482" spans="1:76" x14ac:dyDescent="0.25">
      <c r="A482" s="35"/>
      <c r="C482" s="36" t="s">
        <v>893</v>
      </c>
      <c r="D482" s="36" t="s">
        <v>894</v>
      </c>
      <c r="F482" s="37">
        <v>6.3</v>
      </c>
      <c r="K482" s="38"/>
    </row>
    <row r="483" spans="1:76" x14ac:dyDescent="0.25">
      <c r="A483" s="35"/>
      <c r="C483" s="36" t="s">
        <v>895</v>
      </c>
      <c r="D483" s="36" t="s">
        <v>896</v>
      </c>
      <c r="F483" s="37">
        <v>0.84</v>
      </c>
      <c r="K483" s="38"/>
    </row>
    <row r="484" spans="1:76" x14ac:dyDescent="0.25">
      <c r="A484" s="35"/>
      <c r="C484" s="36" t="s">
        <v>897</v>
      </c>
      <c r="D484" s="36" t="s">
        <v>898</v>
      </c>
      <c r="F484" s="37">
        <v>3.36</v>
      </c>
      <c r="K484" s="38"/>
    </row>
    <row r="485" spans="1:76" x14ac:dyDescent="0.25">
      <c r="A485" s="2" t="s">
        <v>899</v>
      </c>
      <c r="B485" s="3" t="s">
        <v>900</v>
      </c>
      <c r="C485" s="112" t="s">
        <v>901</v>
      </c>
      <c r="D485" s="107"/>
      <c r="E485" s="3" t="s">
        <v>59</v>
      </c>
      <c r="F485" s="31">
        <v>10.5</v>
      </c>
      <c r="G485" s="32">
        <v>0</v>
      </c>
      <c r="H485" s="31">
        <f>ROUND(F485*AO485,2)</f>
        <v>0</v>
      </c>
      <c r="I485" s="31">
        <f>ROUND(F485*AP485,2)</f>
        <v>0</v>
      </c>
      <c r="J485" s="31">
        <f>ROUND(F485*G485,2)</f>
        <v>0</v>
      </c>
      <c r="K485" s="33" t="s">
        <v>60</v>
      </c>
      <c r="Z485" s="31">
        <f>ROUND(IF(AQ485="5",BJ485,0),2)</f>
        <v>0</v>
      </c>
      <c r="AB485" s="31">
        <f>ROUND(IF(AQ485="1",BH485,0),2)</f>
        <v>0</v>
      </c>
      <c r="AC485" s="31">
        <f>ROUND(IF(AQ485="1",BI485,0),2)</f>
        <v>0</v>
      </c>
      <c r="AD485" s="31">
        <f>ROUND(IF(AQ485="7",BH485,0),2)</f>
        <v>0</v>
      </c>
      <c r="AE485" s="31">
        <f>ROUND(IF(AQ485="7",BI485,0),2)</f>
        <v>0</v>
      </c>
      <c r="AF485" s="31">
        <f>ROUND(IF(AQ485="2",BH485,0),2)</f>
        <v>0</v>
      </c>
      <c r="AG485" s="31">
        <f>ROUND(IF(AQ485="2",BI485,0),2)</f>
        <v>0</v>
      </c>
      <c r="AH485" s="31">
        <f>ROUND(IF(AQ485="0",BJ485,0),2)</f>
        <v>0</v>
      </c>
      <c r="AI485" s="11" t="s">
        <v>66</v>
      </c>
      <c r="AJ485" s="31">
        <f>IF(AN485=0,J485,0)</f>
        <v>0</v>
      </c>
      <c r="AK485" s="31">
        <f>IF(AN485=12,J485,0)</f>
        <v>0</v>
      </c>
      <c r="AL485" s="31">
        <f>IF(AN485=21,J485,0)</f>
        <v>0</v>
      </c>
      <c r="AN485" s="31">
        <v>21</v>
      </c>
      <c r="AO485" s="31">
        <f>G485*0.371935463</f>
        <v>0</v>
      </c>
      <c r="AP485" s="31">
        <f>G485*(1-0.371935463)</f>
        <v>0</v>
      </c>
      <c r="AQ485" s="34" t="s">
        <v>101</v>
      </c>
      <c r="AV485" s="31">
        <f>ROUND(AW485+AX485,2)</f>
        <v>0</v>
      </c>
      <c r="AW485" s="31">
        <f>ROUND(F485*AO485,2)</f>
        <v>0</v>
      </c>
      <c r="AX485" s="31">
        <f>ROUND(F485*AP485,2)</f>
        <v>0</v>
      </c>
      <c r="AY485" s="34" t="s">
        <v>870</v>
      </c>
      <c r="AZ485" s="34" t="s">
        <v>806</v>
      </c>
      <c r="BA485" s="11" t="s">
        <v>807</v>
      </c>
      <c r="BC485" s="31">
        <f>AW485+AX485</f>
        <v>0</v>
      </c>
      <c r="BD485" s="31">
        <f>G485/(100-BE485)*100</f>
        <v>0</v>
      </c>
      <c r="BE485" s="31">
        <v>0</v>
      </c>
      <c r="BF485" s="31">
        <f>485</f>
        <v>485</v>
      </c>
      <c r="BH485" s="31">
        <f>F485*AO485</f>
        <v>0</v>
      </c>
      <c r="BI485" s="31">
        <f>F485*AP485</f>
        <v>0</v>
      </c>
      <c r="BJ485" s="31">
        <f>F485*G485</f>
        <v>0</v>
      </c>
      <c r="BK485" s="34" t="s">
        <v>64</v>
      </c>
      <c r="BL485" s="31">
        <v>735</v>
      </c>
      <c r="BW485" s="31">
        <v>21</v>
      </c>
      <c r="BX485" s="5" t="s">
        <v>901</v>
      </c>
    </row>
    <row r="486" spans="1:76" x14ac:dyDescent="0.25">
      <c r="A486" s="35"/>
      <c r="C486" s="36" t="s">
        <v>893</v>
      </c>
      <c r="D486" s="36" t="s">
        <v>894</v>
      </c>
      <c r="F486" s="37">
        <v>6.3</v>
      </c>
      <c r="K486" s="38"/>
    </row>
    <row r="487" spans="1:76" x14ac:dyDescent="0.25">
      <c r="A487" s="35"/>
      <c r="C487" s="36" t="s">
        <v>895</v>
      </c>
      <c r="D487" s="36" t="s">
        <v>896</v>
      </c>
      <c r="F487" s="37">
        <v>0.84</v>
      </c>
      <c r="K487" s="38"/>
    </row>
    <row r="488" spans="1:76" x14ac:dyDescent="0.25">
      <c r="A488" s="35"/>
      <c r="C488" s="36" t="s">
        <v>897</v>
      </c>
      <c r="D488" s="36" t="s">
        <v>898</v>
      </c>
      <c r="F488" s="37">
        <v>3.36</v>
      </c>
      <c r="K488" s="38"/>
    </row>
    <row r="489" spans="1:76" x14ac:dyDescent="0.25">
      <c r="A489" s="39" t="s">
        <v>902</v>
      </c>
      <c r="B489" s="40" t="s">
        <v>240</v>
      </c>
      <c r="C489" s="135" t="s">
        <v>903</v>
      </c>
      <c r="D489" s="136"/>
      <c r="E489" s="40" t="s">
        <v>81</v>
      </c>
      <c r="F489" s="42">
        <v>4</v>
      </c>
      <c r="G489" s="43">
        <v>0</v>
      </c>
      <c r="H489" s="42">
        <f>ROUND(F489*AO489,2)</f>
        <v>0</v>
      </c>
      <c r="I489" s="42">
        <f>ROUND(F489*AP489,2)</f>
        <v>0</v>
      </c>
      <c r="J489" s="42">
        <f>ROUND(F489*G489,2)</f>
        <v>0</v>
      </c>
      <c r="K489" s="44" t="s">
        <v>242</v>
      </c>
      <c r="Z489" s="31">
        <f>ROUND(IF(AQ489="5",BJ489,0),2)</f>
        <v>0</v>
      </c>
      <c r="AB489" s="31">
        <f>ROUND(IF(AQ489="1",BH489,0),2)</f>
        <v>0</v>
      </c>
      <c r="AC489" s="31">
        <f>ROUND(IF(AQ489="1",BI489,0),2)</f>
        <v>0</v>
      </c>
      <c r="AD489" s="31">
        <f>ROUND(IF(AQ489="7",BH489,0),2)</f>
        <v>0</v>
      </c>
      <c r="AE489" s="31">
        <f>ROUND(IF(AQ489="7",BI489,0),2)</f>
        <v>0</v>
      </c>
      <c r="AF489" s="31">
        <f>ROUND(IF(AQ489="2",BH489,0),2)</f>
        <v>0</v>
      </c>
      <c r="AG489" s="31">
        <f>ROUND(IF(AQ489="2",BI489,0),2)</f>
        <v>0</v>
      </c>
      <c r="AH489" s="31">
        <f>ROUND(IF(AQ489="0",BJ489,0),2)</f>
        <v>0</v>
      </c>
      <c r="AI489" s="11" t="s">
        <v>66</v>
      </c>
      <c r="AJ489" s="42">
        <f>IF(AN489=0,J489,0)</f>
        <v>0</v>
      </c>
      <c r="AK489" s="42">
        <f>IF(AN489=12,J489,0)</f>
        <v>0</v>
      </c>
      <c r="AL489" s="42">
        <f>IF(AN489=21,J489,0)</f>
        <v>0</v>
      </c>
      <c r="AN489" s="31">
        <v>21</v>
      </c>
      <c r="AO489" s="31">
        <f>G489*1</f>
        <v>0</v>
      </c>
      <c r="AP489" s="31">
        <f>G489*(1-1)</f>
        <v>0</v>
      </c>
      <c r="AQ489" s="45" t="s">
        <v>101</v>
      </c>
      <c r="AV489" s="31">
        <f>ROUND(AW489+AX489,2)</f>
        <v>0</v>
      </c>
      <c r="AW489" s="31">
        <f>ROUND(F489*AO489,2)</f>
        <v>0</v>
      </c>
      <c r="AX489" s="31">
        <f>ROUND(F489*AP489,2)</f>
        <v>0</v>
      </c>
      <c r="AY489" s="34" t="s">
        <v>870</v>
      </c>
      <c r="AZ489" s="34" t="s">
        <v>806</v>
      </c>
      <c r="BA489" s="11" t="s">
        <v>807</v>
      </c>
      <c r="BC489" s="31">
        <f>AW489+AX489</f>
        <v>0</v>
      </c>
      <c r="BD489" s="31">
        <f>G489/(100-BE489)*100</f>
        <v>0</v>
      </c>
      <c r="BE489" s="31">
        <v>0</v>
      </c>
      <c r="BF489" s="31">
        <f>489</f>
        <v>489</v>
      </c>
      <c r="BH489" s="42">
        <f>F489*AO489</f>
        <v>0</v>
      </c>
      <c r="BI489" s="42">
        <f>F489*AP489</f>
        <v>0</v>
      </c>
      <c r="BJ489" s="42">
        <f>F489*G489</f>
        <v>0</v>
      </c>
      <c r="BK489" s="45" t="s">
        <v>70</v>
      </c>
      <c r="BL489" s="31">
        <v>735</v>
      </c>
      <c r="BW489" s="31">
        <v>21</v>
      </c>
      <c r="BX489" s="41" t="s">
        <v>903</v>
      </c>
    </row>
    <row r="490" spans="1:76" x14ac:dyDescent="0.25">
      <c r="A490" s="35"/>
      <c r="C490" s="36" t="s">
        <v>904</v>
      </c>
      <c r="D490" s="36" t="s">
        <v>52</v>
      </c>
      <c r="F490" s="37">
        <v>4</v>
      </c>
      <c r="K490" s="38"/>
    </row>
    <row r="491" spans="1:76" x14ac:dyDescent="0.25">
      <c r="A491" s="39" t="s">
        <v>905</v>
      </c>
      <c r="B491" s="40" t="s">
        <v>240</v>
      </c>
      <c r="C491" s="135" t="s">
        <v>906</v>
      </c>
      <c r="D491" s="136"/>
      <c r="E491" s="40" t="s">
        <v>81</v>
      </c>
      <c r="F491" s="42">
        <v>3</v>
      </c>
      <c r="G491" s="43">
        <v>0</v>
      </c>
      <c r="H491" s="42">
        <f>ROUND(F491*AO491,2)</f>
        <v>0</v>
      </c>
      <c r="I491" s="42">
        <f>ROUND(F491*AP491,2)</f>
        <v>0</v>
      </c>
      <c r="J491" s="42">
        <f>ROUND(F491*G491,2)</f>
        <v>0</v>
      </c>
      <c r="K491" s="44" t="s">
        <v>242</v>
      </c>
      <c r="Z491" s="31">
        <f>ROUND(IF(AQ491="5",BJ491,0),2)</f>
        <v>0</v>
      </c>
      <c r="AB491" s="31">
        <f>ROUND(IF(AQ491="1",BH491,0),2)</f>
        <v>0</v>
      </c>
      <c r="AC491" s="31">
        <f>ROUND(IF(AQ491="1",BI491,0),2)</f>
        <v>0</v>
      </c>
      <c r="AD491" s="31">
        <f>ROUND(IF(AQ491="7",BH491,0),2)</f>
        <v>0</v>
      </c>
      <c r="AE491" s="31">
        <f>ROUND(IF(AQ491="7",BI491,0),2)</f>
        <v>0</v>
      </c>
      <c r="AF491" s="31">
        <f>ROUND(IF(AQ491="2",BH491,0),2)</f>
        <v>0</v>
      </c>
      <c r="AG491" s="31">
        <f>ROUND(IF(AQ491="2",BI491,0),2)</f>
        <v>0</v>
      </c>
      <c r="AH491" s="31">
        <f>ROUND(IF(AQ491="0",BJ491,0),2)</f>
        <v>0</v>
      </c>
      <c r="AI491" s="11" t="s">
        <v>66</v>
      </c>
      <c r="AJ491" s="42">
        <f>IF(AN491=0,J491,0)</f>
        <v>0</v>
      </c>
      <c r="AK491" s="42">
        <f>IF(AN491=12,J491,0)</f>
        <v>0</v>
      </c>
      <c r="AL491" s="42">
        <f>IF(AN491=21,J491,0)</f>
        <v>0</v>
      </c>
      <c r="AN491" s="31">
        <v>21</v>
      </c>
      <c r="AO491" s="31">
        <f>G491*1</f>
        <v>0</v>
      </c>
      <c r="AP491" s="31">
        <f>G491*(1-1)</f>
        <v>0</v>
      </c>
      <c r="AQ491" s="45" t="s">
        <v>101</v>
      </c>
      <c r="AV491" s="31">
        <f>ROUND(AW491+AX491,2)</f>
        <v>0</v>
      </c>
      <c r="AW491" s="31">
        <f>ROUND(F491*AO491,2)</f>
        <v>0</v>
      </c>
      <c r="AX491" s="31">
        <f>ROUND(F491*AP491,2)</f>
        <v>0</v>
      </c>
      <c r="AY491" s="34" t="s">
        <v>870</v>
      </c>
      <c r="AZ491" s="34" t="s">
        <v>806</v>
      </c>
      <c r="BA491" s="11" t="s">
        <v>807</v>
      </c>
      <c r="BC491" s="31">
        <f>AW491+AX491</f>
        <v>0</v>
      </c>
      <c r="BD491" s="31">
        <f>G491/(100-BE491)*100</f>
        <v>0</v>
      </c>
      <c r="BE491" s="31">
        <v>0</v>
      </c>
      <c r="BF491" s="31">
        <f>491</f>
        <v>491</v>
      </c>
      <c r="BH491" s="42">
        <f>F491*AO491</f>
        <v>0</v>
      </c>
      <c r="BI491" s="42">
        <f>F491*AP491</f>
        <v>0</v>
      </c>
      <c r="BJ491" s="42">
        <f>F491*G491</f>
        <v>0</v>
      </c>
      <c r="BK491" s="45" t="s">
        <v>70</v>
      </c>
      <c r="BL491" s="31">
        <v>735</v>
      </c>
      <c r="BW491" s="31">
        <v>21</v>
      </c>
      <c r="BX491" s="41" t="s">
        <v>906</v>
      </c>
    </row>
    <row r="492" spans="1:76" x14ac:dyDescent="0.25">
      <c r="A492" s="39" t="s">
        <v>907</v>
      </c>
      <c r="B492" s="40" t="s">
        <v>908</v>
      </c>
      <c r="C492" s="135" t="s">
        <v>909</v>
      </c>
      <c r="D492" s="136"/>
      <c r="E492" s="40" t="s">
        <v>81</v>
      </c>
      <c r="F492" s="42">
        <v>1</v>
      </c>
      <c r="G492" s="43">
        <v>0</v>
      </c>
      <c r="H492" s="42">
        <f>ROUND(F492*AO492,2)</f>
        <v>0</v>
      </c>
      <c r="I492" s="42">
        <f>ROUND(F492*AP492,2)</f>
        <v>0</v>
      </c>
      <c r="J492" s="42">
        <f>ROUND(F492*G492,2)</f>
        <v>0</v>
      </c>
      <c r="K492" s="44" t="s">
        <v>242</v>
      </c>
      <c r="Z492" s="31">
        <f>ROUND(IF(AQ492="5",BJ492,0),2)</f>
        <v>0</v>
      </c>
      <c r="AB492" s="31">
        <f>ROUND(IF(AQ492="1",BH492,0),2)</f>
        <v>0</v>
      </c>
      <c r="AC492" s="31">
        <f>ROUND(IF(AQ492="1",BI492,0),2)</f>
        <v>0</v>
      </c>
      <c r="AD492" s="31">
        <f>ROUND(IF(AQ492="7",BH492,0),2)</f>
        <v>0</v>
      </c>
      <c r="AE492" s="31">
        <f>ROUND(IF(AQ492="7",BI492,0),2)</f>
        <v>0</v>
      </c>
      <c r="AF492" s="31">
        <f>ROUND(IF(AQ492="2",BH492,0),2)</f>
        <v>0</v>
      </c>
      <c r="AG492" s="31">
        <f>ROUND(IF(AQ492="2",BI492,0),2)</f>
        <v>0</v>
      </c>
      <c r="AH492" s="31">
        <f>ROUND(IF(AQ492="0",BJ492,0),2)</f>
        <v>0</v>
      </c>
      <c r="AI492" s="11" t="s">
        <v>66</v>
      </c>
      <c r="AJ492" s="42">
        <f>IF(AN492=0,J492,0)</f>
        <v>0</v>
      </c>
      <c r="AK492" s="42">
        <f>IF(AN492=12,J492,0)</f>
        <v>0</v>
      </c>
      <c r="AL492" s="42">
        <f>IF(AN492=21,J492,0)</f>
        <v>0</v>
      </c>
      <c r="AN492" s="31">
        <v>21</v>
      </c>
      <c r="AO492" s="31">
        <f>G492*1</f>
        <v>0</v>
      </c>
      <c r="AP492" s="31">
        <f>G492*(1-1)</f>
        <v>0</v>
      </c>
      <c r="AQ492" s="45" t="s">
        <v>101</v>
      </c>
      <c r="AV492" s="31">
        <f>ROUND(AW492+AX492,2)</f>
        <v>0</v>
      </c>
      <c r="AW492" s="31">
        <f>ROUND(F492*AO492,2)</f>
        <v>0</v>
      </c>
      <c r="AX492" s="31">
        <f>ROUND(F492*AP492,2)</f>
        <v>0</v>
      </c>
      <c r="AY492" s="34" t="s">
        <v>870</v>
      </c>
      <c r="AZ492" s="34" t="s">
        <v>806</v>
      </c>
      <c r="BA492" s="11" t="s">
        <v>807</v>
      </c>
      <c r="BC492" s="31">
        <f>AW492+AX492</f>
        <v>0</v>
      </c>
      <c r="BD492" s="31">
        <f>G492/(100-BE492)*100</f>
        <v>0</v>
      </c>
      <c r="BE492" s="31">
        <v>0</v>
      </c>
      <c r="BF492" s="31">
        <f>492</f>
        <v>492</v>
      </c>
      <c r="BH492" s="42">
        <f>F492*AO492</f>
        <v>0</v>
      </c>
      <c r="BI492" s="42">
        <f>F492*AP492</f>
        <v>0</v>
      </c>
      <c r="BJ492" s="42">
        <f>F492*G492</f>
        <v>0</v>
      </c>
      <c r="BK492" s="45" t="s">
        <v>70</v>
      </c>
      <c r="BL492" s="31">
        <v>735</v>
      </c>
      <c r="BW492" s="31">
        <v>21</v>
      </c>
      <c r="BX492" s="41" t="s">
        <v>909</v>
      </c>
    </row>
    <row r="493" spans="1:76" x14ac:dyDescent="0.25">
      <c r="A493" s="39" t="s">
        <v>910</v>
      </c>
      <c r="B493" s="40" t="s">
        <v>911</v>
      </c>
      <c r="C493" s="135" t="s">
        <v>912</v>
      </c>
      <c r="D493" s="136"/>
      <c r="E493" s="40" t="s">
        <v>81</v>
      </c>
      <c r="F493" s="42">
        <v>1</v>
      </c>
      <c r="G493" s="43">
        <v>0</v>
      </c>
      <c r="H493" s="42">
        <f>ROUND(F493*AO493,2)</f>
        <v>0</v>
      </c>
      <c r="I493" s="42">
        <f>ROUND(F493*AP493,2)</f>
        <v>0</v>
      </c>
      <c r="J493" s="42">
        <f>ROUND(F493*G493,2)</f>
        <v>0</v>
      </c>
      <c r="K493" s="44" t="s">
        <v>242</v>
      </c>
      <c r="Z493" s="31">
        <f>ROUND(IF(AQ493="5",BJ493,0),2)</f>
        <v>0</v>
      </c>
      <c r="AB493" s="31">
        <f>ROUND(IF(AQ493="1",BH493,0),2)</f>
        <v>0</v>
      </c>
      <c r="AC493" s="31">
        <f>ROUND(IF(AQ493="1",BI493,0),2)</f>
        <v>0</v>
      </c>
      <c r="AD493" s="31">
        <f>ROUND(IF(AQ493="7",BH493,0),2)</f>
        <v>0</v>
      </c>
      <c r="AE493" s="31">
        <f>ROUND(IF(AQ493="7",BI493,0),2)</f>
        <v>0</v>
      </c>
      <c r="AF493" s="31">
        <f>ROUND(IF(AQ493="2",BH493,0),2)</f>
        <v>0</v>
      </c>
      <c r="AG493" s="31">
        <f>ROUND(IF(AQ493="2",BI493,0),2)</f>
        <v>0</v>
      </c>
      <c r="AH493" s="31">
        <f>ROUND(IF(AQ493="0",BJ493,0),2)</f>
        <v>0</v>
      </c>
      <c r="AI493" s="11" t="s">
        <v>66</v>
      </c>
      <c r="AJ493" s="42">
        <f>IF(AN493=0,J493,0)</f>
        <v>0</v>
      </c>
      <c r="AK493" s="42">
        <f>IF(AN493=12,J493,0)</f>
        <v>0</v>
      </c>
      <c r="AL493" s="42">
        <f>IF(AN493=21,J493,0)</f>
        <v>0</v>
      </c>
      <c r="AN493" s="31">
        <v>21</v>
      </c>
      <c r="AO493" s="31">
        <f>G493*1</f>
        <v>0</v>
      </c>
      <c r="AP493" s="31">
        <f>G493*(1-1)</f>
        <v>0</v>
      </c>
      <c r="AQ493" s="45" t="s">
        <v>101</v>
      </c>
      <c r="AV493" s="31">
        <f>ROUND(AW493+AX493,2)</f>
        <v>0</v>
      </c>
      <c r="AW493" s="31">
        <f>ROUND(F493*AO493,2)</f>
        <v>0</v>
      </c>
      <c r="AX493" s="31">
        <f>ROUND(F493*AP493,2)</f>
        <v>0</v>
      </c>
      <c r="AY493" s="34" t="s">
        <v>870</v>
      </c>
      <c r="AZ493" s="34" t="s">
        <v>806</v>
      </c>
      <c r="BA493" s="11" t="s">
        <v>807</v>
      </c>
      <c r="BC493" s="31">
        <f>AW493+AX493</f>
        <v>0</v>
      </c>
      <c r="BD493" s="31">
        <f>G493/(100-BE493)*100</f>
        <v>0</v>
      </c>
      <c r="BE493" s="31">
        <v>0</v>
      </c>
      <c r="BF493" s="31">
        <f>493</f>
        <v>493</v>
      </c>
      <c r="BH493" s="42">
        <f>F493*AO493</f>
        <v>0</v>
      </c>
      <c r="BI493" s="42">
        <f>F493*AP493</f>
        <v>0</v>
      </c>
      <c r="BJ493" s="42">
        <f>F493*G493</f>
        <v>0</v>
      </c>
      <c r="BK493" s="45" t="s">
        <v>70</v>
      </c>
      <c r="BL493" s="31">
        <v>735</v>
      </c>
      <c r="BW493" s="31">
        <v>21</v>
      </c>
      <c r="BX493" s="41" t="s">
        <v>912</v>
      </c>
    </row>
    <row r="494" spans="1:76" x14ac:dyDescent="0.25">
      <c r="A494" s="39" t="s">
        <v>913</v>
      </c>
      <c r="B494" s="40" t="s">
        <v>914</v>
      </c>
      <c r="C494" s="135" t="s">
        <v>915</v>
      </c>
      <c r="D494" s="136"/>
      <c r="E494" s="40" t="s">
        <v>81</v>
      </c>
      <c r="F494" s="42">
        <v>1</v>
      </c>
      <c r="G494" s="43">
        <v>0</v>
      </c>
      <c r="H494" s="42">
        <f>ROUND(F494*AO494,2)</f>
        <v>0</v>
      </c>
      <c r="I494" s="42">
        <f>ROUND(F494*AP494,2)</f>
        <v>0</v>
      </c>
      <c r="J494" s="42">
        <f>ROUND(F494*G494,2)</f>
        <v>0</v>
      </c>
      <c r="K494" s="44" t="s">
        <v>242</v>
      </c>
      <c r="Z494" s="31">
        <f>ROUND(IF(AQ494="5",BJ494,0),2)</f>
        <v>0</v>
      </c>
      <c r="AB494" s="31">
        <f>ROUND(IF(AQ494="1",BH494,0),2)</f>
        <v>0</v>
      </c>
      <c r="AC494" s="31">
        <f>ROUND(IF(AQ494="1",BI494,0),2)</f>
        <v>0</v>
      </c>
      <c r="AD494" s="31">
        <f>ROUND(IF(AQ494="7",BH494,0),2)</f>
        <v>0</v>
      </c>
      <c r="AE494" s="31">
        <f>ROUND(IF(AQ494="7",BI494,0),2)</f>
        <v>0</v>
      </c>
      <c r="AF494" s="31">
        <f>ROUND(IF(AQ494="2",BH494,0),2)</f>
        <v>0</v>
      </c>
      <c r="AG494" s="31">
        <f>ROUND(IF(AQ494="2",BI494,0),2)</f>
        <v>0</v>
      </c>
      <c r="AH494" s="31">
        <f>ROUND(IF(AQ494="0",BJ494,0),2)</f>
        <v>0</v>
      </c>
      <c r="AI494" s="11" t="s">
        <v>66</v>
      </c>
      <c r="AJ494" s="42">
        <f>IF(AN494=0,J494,0)</f>
        <v>0</v>
      </c>
      <c r="AK494" s="42">
        <f>IF(AN494=12,J494,0)</f>
        <v>0</v>
      </c>
      <c r="AL494" s="42">
        <f>IF(AN494=21,J494,0)</f>
        <v>0</v>
      </c>
      <c r="AN494" s="31">
        <v>21</v>
      </c>
      <c r="AO494" s="31">
        <f>G494*1</f>
        <v>0</v>
      </c>
      <c r="AP494" s="31">
        <f>G494*(1-1)</f>
        <v>0</v>
      </c>
      <c r="AQ494" s="45" t="s">
        <v>101</v>
      </c>
      <c r="AV494" s="31">
        <f>ROUND(AW494+AX494,2)</f>
        <v>0</v>
      </c>
      <c r="AW494" s="31">
        <f>ROUND(F494*AO494,2)</f>
        <v>0</v>
      </c>
      <c r="AX494" s="31">
        <f>ROUND(F494*AP494,2)</f>
        <v>0</v>
      </c>
      <c r="AY494" s="34" t="s">
        <v>870</v>
      </c>
      <c r="AZ494" s="34" t="s">
        <v>806</v>
      </c>
      <c r="BA494" s="11" t="s">
        <v>807</v>
      </c>
      <c r="BC494" s="31">
        <f>AW494+AX494</f>
        <v>0</v>
      </c>
      <c r="BD494" s="31">
        <f>G494/(100-BE494)*100</f>
        <v>0</v>
      </c>
      <c r="BE494" s="31">
        <v>0</v>
      </c>
      <c r="BF494" s="31">
        <f>494</f>
        <v>494</v>
      </c>
      <c r="BH494" s="42">
        <f>F494*AO494</f>
        <v>0</v>
      </c>
      <c r="BI494" s="42">
        <f>F494*AP494</f>
        <v>0</v>
      </c>
      <c r="BJ494" s="42">
        <f>F494*G494</f>
        <v>0</v>
      </c>
      <c r="BK494" s="45" t="s">
        <v>70</v>
      </c>
      <c r="BL494" s="31">
        <v>735</v>
      </c>
      <c r="BW494" s="31">
        <v>21</v>
      </c>
      <c r="BX494" s="41" t="s">
        <v>915</v>
      </c>
    </row>
    <row r="495" spans="1:76" x14ac:dyDescent="0.25">
      <c r="A495" s="2" t="s">
        <v>916</v>
      </c>
      <c r="B495" s="3" t="s">
        <v>917</v>
      </c>
      <c r="C495" s="112" t="s">
        <v>918</v>
      </c>
      <c r="D495" s="107"/>
      <c r="E495" s="3" t="s">
        <v>81</v>
      </c>
      <c r="F495" s="31">
        <v>8</v>
      </c>
      <c r="G495" s="32">
        <v>0</v>
      </c>
      <c r="H495" s="31">
        <f>ROUND(F495*AO495,2)</f>
        <v>0</v>
      </c>
      <c r="I495" s="31">
        <f>ROUND(F495*AP495,2)</f>
        <v>0</v>
      </c>
      <c r="J495" s="31">
        <f>ROUND(F495*G495,2)</f>
        <v>0</v>
      </c>
      <c r="K495" s="33" t="s">
        <v>60</v>
      </c>
      <c r="Z495" s="31">
        <f>ROUND(IF(AQ495="5",BJ495,0),2)</f>
        <v>0</v>
      </c>
      <c r="AB495" s="31">
        <f>ROUND(IF(AQ495="1",BH495,0),2)</f>
        <v>0</v>
      </c>
      <c r="AC495" s="31">
        <f>ROUND(IF(AQ495="1",BI495,0),2)</f>
        <v>0</v>
      </c>
      <c r="AD495" s="31">
        <f>ROUND(IF(AQ495="7",BH495,0),2)</f>
        <v>0</v>
      </c>
      <c r="AE495" s="31">
        <f>ROUND(IF(AQ495="7",BI495,0),2)</f>
        <v>0</v>
      </c>
      <c r="AF495" s="31">
        <f>ROUND(IF(AQ495="2",BH495,0),2)</f>
        <v>0</v>
      </c>
      <c r="AG495" s="31">
        <f>ROUND(IF(AQ495="2",BI495,0),2)</f>
        <v>0</v>
      </c>
      <c r="AH495" s="31">
        <f>ROUND(IF(AQ495="0",BJ495,0),2)</f>
        <v>0</v>
      </c>
      <c r="AI495" s="11" t="s">
        <v>66</v>
      </c>
      <c r="AJ495" s="31">
        <f>IF(AN495=0,J495,0)</f>
        <v>0</v>
      </c>
      <c r="AK495" s="31">
        <f>IF(AN495=12,J495,0)</f>
        <v>0</v>
      </c>
      <c r="AL495" s="31">
        <f>IF(AN495=21,J495,0)</f>
        <v>0</v>
      </c>
      <c r="AN495" s="31">
        <v>21</v>
      </c>
      <c r="AO495" s="31">
        <f>G495*0.052791878</f>
        <v>0</v>
      </c>
      <c r="AP495" s="31">
        <f>G495*(1-0.052791878)</f>
        <v>0</v>
      </c>
      <c r="AQ495" s="34" t="s">
        <v>101</v>
      </c>
      <c r="AV495" s="31">
        <f>ROUND(AW495+AX495,2)</f>
        <v>0</v>
      </c>
      <c r="AW495" s="31">
        <f>ROUND(F495*AO495,2)</f>
        <v>0</v>
      </c>
      <c r="AX495" s="31">
        <f>ROUND(F495*AP495,2)</f>
        <v>0</v>
      </c>
      <c r="AY495" s="34" t="s">
        <v>870</v>
      </c>
      <c r="AZ495" s="34" t="s">
        <v>806</v>
      </c>
      <c r="BA495" s="11" t="s">
        <v>807</v>
      </c>
      <c r="BC495" s="31">
        <f>AW495+AX495</f>
        <v>0</v>
      </c>
      <c r="BD495" s="31">
        <f>G495/(100-BE495)*100</f>
        <v>0</v>
      </c>
      <c r="BE495" s="31">
        <v>0</v>
      </c>
      <c r="BF495" s="31">
        <f>495</f>
        <v>495</v>
      </c>
      <c r="BH495" s="31">
        <f>F495*AO495</f>
        <v>0</v>
      </c>
      <c r="BI495" s="31">
        <f>F495*AP495</f>
        <v>0</v>
      </c>
      <c r="BJ495" s="31">
        <f>F495*G495</f>
        <v>0</v>
      </c>
      <c r="BK495" s="34" t="s">
        <v>64</v>
      </c>
      <c r="BL495" s="31">
        <v>735</v>
      </c>
      <c r="BW495" s="31">
        <v>21</v>
      </c>
      <c r="BX495" s="5" t="s">
        <v>918</v>
      </c>
    </row>
    <row r="496" spans="1:76" x14ac:dyDescent="0.25">
      <c r="A496" s="35"/>
      <c r="C496" s="36" t="s">
        <v>826</v>
      </c>
      <c r="D496" s="36" t="s">
        <v>919</v>
      </c>
      <c r="F496" s="37">
        <v>8</v>
      </c>
      <c r="K496" s="38"/>
    </row>
    <row r="497" spans="1:76" x14ac:dyDescent="0.25">
      <c r="A497" s="2" t="s">
        <v>920</v>
      </c>
      <c r="B497" s="3" t="s">
        <v>921</v>
      </c>
      <c r="C497" s="112" t="s">
        <v>922</v>
      </c>
      <c r="D497" s="107"/>
      <c r="E497" s="3" t="s">
        <v>81</v>
      </c>
      <c r="F497" s="31">
        <v>3</v>
      </c>
      <c r="G497" s="32">
        <v>0</v>
      </c>
      <c r="H497" s="31">
        <f>ROUND(F497*AO497,2)</f>
        <v>0</v>
      </c>
      <c r="I497" s="31">
        <f>ROUND(F497*AP497,2)</f>
        <v>0</v>
      </c>
      <c r="J497" s="31">
        <f>ROUND(F497*G497,2)</f>
        <v>0</v>
      </c>
      <c r="K497" s="33" t="s">
        <v>60</v>
      </c>
      <c r="Z497" s="31">
        <f>ROUND(IF(AQ497="5",BJ497,0),2)</f>
        <v>0</v>
      </c>
      <c r="AB497" s="31">
        <f>ROUND(IF(AQ497="1",BH497,0),2)</f>
        <v>0</v>
      </c>
      <c r="AC497" s="31">
        <f>ROUND(IF(AQ497="1",BI497,0),2)</f>
        <v>0</v>
      </c>
      <c r="AD497" s="31">
        <f>ROUND(IF(AQ497="7",BH497,0),2)</f>
        <v>0</v>
      </c>
      <c r="AE497" s="31">
        <f>ROUND(IF(AQ497="7",BI497,0),2)</f>
        <v>0</v>
      </c>
      <c r="AF497" s="31">
        <f>ROUND(IF(AQ497="2",BH497,0),2)</f>
        <v>0</v>
      </c>
      <c r="AG497" s="31">
        <f>ROUND(IF(AQ497="2",BI497,0),2)</f>
        <v>0</v>
      </c>
      <c r="AH497" s="31">
        <f>ROUND(IF(AQ497="0",BJ497,0),2)</f>
        <v>0</v>
      </c>
      <c r="AI497" s="11" t="s">
        <v>66</v>
      </c>
      <c r="AJ497" s="31">
        <f>IF(AN497=0,J497,0)</f>
        <v>0</v>
      </c>
      <c r="AK497" s="31">
        <f>IF(AN497=12,J497,0)</f>
        <v>0</v>
      </c>
      <c r="AL497" s="31">
        <f>IF(AN497=21,J497,0)</f>
        <v>0</v>
      </c>
      <c r="AN497" s="31">
        <v>21</v>
      </c>
      <c r="AO497" s="31">
        <f>G497*0</f>
        <v>0</v>
      </c>
      <c r="AP497" s="31">
        <f>G497*(1-0)</f>
        <v>0</v>
      </c>
      <c r="AQ497" s="34" t="s">
        <v>101</v>
      </c>
      <c r="AV497" s="31">
        <f>ROUND(AW497+AX497,2)</f>
        <v>0</v>
      </c>
      <c r="AW497" s="31">
        <f>ROUND(F497*AO497,2)</f>
        <v>0</v>
      </c>
      <c r="AX497" s="31">
        <f>ROUND(F497*AP497,2)</f>
        <v>0</v>
      </c>
      <c r="AY497" s="34" t="s">
        <v>870</v>
      </c>
      <c r="AZ497" s="34" t="s">
        <v>806</v>
      </c>
      <c r="BA497" s="11" t="s">
        <v>807</v>
      </c>
      <c r="BC497" s="31">
        <f>AW497+AX497</f>
        <v>0</v>
      </c>
      <c r="BD497" s="31">
        <f>G497/(100-BE497)*100</f>
        <v>0</v>
      </c>
      <c r="BE497" s="31">
        <v>0</v>
      </c>
      <c r="BF497" s="31">
        <f>497</f>
        <v>497</v>
      </c>
      <c r="BH497" s="31">
        <f>F497*AO497</f>
        <v>0</v>
      </c>
      <c r="BI497" s="31">
        <f>F497*AP497</f>
        <v>0</v>
      </c>
      <c r="BJ497" s="31">
        <f>F497*G497</f>
        <v>0</v>
      </c>
      <c r="BK497" s="34" t="s">
        <v>64</v>
      </c>
      <c r="BL497" s="31">
        <v>735</v>
      </c>
      <c r="BW497" s="31">
        <v>21</v>
      </c>
      <c r="BX497" s="5" t="s">
        <v>922</v>
      </c>
    </row>
    <row r="498" spans="1:76" x14ac:dyDescent="0.25">
      <c r="A498" s="35"/>
      <c r="C498" s="36" t="s">
        <v>73</v>
      </c>
      <c r="D498" s="36" t="s">
        <v>923</v>
      </c>
      <c r="F498" s="37">
        <v>3</v>
      </c>
      <c r="K498" s="38"/>
    </row>
    <row r="499" spans="1:76" x14ac:dyDescent="0.25">
      <c r="A499" s="2" t="s">
        <v>924</v>
      </c>
      <c r="B499" s="3" t="s">
        <v>925</v>
      </c>
      <c r="C499" s="112" t="s">
        <v>926</v>
      </c>
      <c r="D499" s="107"/>
      <c r="E499" s="3" t="s">
        <v>81</v>
      </c>
      <c r="F499" s="31">
        <v>3</v>
      </c>
      <c r="G499" s="32">
        <v>0</v>
      </c>
      <c r="H499" s="31">
        <f>ROUND(F499*AO499,2)</f>
        <v>0</v>
      </c>
      <c r="I499" s="31">
        <f>ROUND(F499*AP499,2)</f>
        <v>0</v>
      </c>
      <c r="J499" s="31">
        <f>ROUND(F499*G499,2)</f>
        <v>0</v>
      </c>
      <c r="K499" s="33" t="s">
        <v>60</v>
      </c>
      <c r="Z499" s="31">
        <f>ROUND(IF(AQ499="5",BJ499,0),2)</f>
        <v>0</v>
      </c>
      <c r="AB499" s="31">
        <f>ROUND(IF(AQ499="1",BH499,0),2)</f>
        <v>0</v>
      </c>
      <c r="AC499" s="31">
        <f>ROUND(IF(AQ499="1",BI499,0),2)</f>
        <v>0</v>
      </c>
      <c r="AD499" s="31">
        <f>ROUND(IF(AQ499="7",BH499,0),2)</f>
        <v>0</v>
      </c>
      <c r="AE499" s="31">
        <f>ROUND(IF(AQ499="7",BI499,0),2)</f>
        <v>0</v>
      </c>
      <c r="AF499" s="31">
        <f>ROUND(IF(AQ499="2",BH499,0),2)</f>
        <v>0</v>
      </c>
      <c r="AG499" s="31">
        <f>ROUND(IF(AQ499="2",BI499,0),2)</f>
        <v>0</v>
      </c>
      <c r="AH499" s="31">
        <f>ROUND(IF(AQ499="0",BJ499,0),2)</f>
        <v>0</v>
      </c>
      <c r="AI499" s="11" t="s">
        <v>66</v>
      </c>
      <c r="AJ499" s="31">
        <f>IF(AN499=0,J499,0)</f>
        <v>0</v>
      </c>
      <c r="AK499" s="31">
        <f>IF(AN499=12,J499,0)</f>
        <v>0</v>
      </c>
      <c r="AL499" s="31">
        <f>IF(AN499=21,J499,0)</f>
        <v>0</v>
      </c>
      <c r="AN499" s="31">
        <v>21</v>
      </c>
      <c r="AO499" s="31">
        <f>G499*0</f>
        <v>0</v>
      </c>
      <c r="AP499" s="31">
        <f>G499*(1-0)</f>
        <v>0</v>
      </c>
      <c r="AQ499" s="34" t="s">
        <v>101</v>
      </c>
      <c r="AV499" s="31">
        <f>ROUND(AW499+AX499,2)</f>
        <v>0</v>
      </c>
      <c r="AW499" s="31">
        <f>ROUND(F499*AO499,2)</f>
        <v>0</v>
      </c>
      <c r="AX499" s="31">
        <f>ROUND(F499*AP499,2)</f>
        <v>0</v>
      </c>
      <c r="AY499" s="34" t="s">
        <v>870</v>
      </c>
      <c r="AZ499" s="34" t="s">
        <v>806</v>
      </c>
      <c r="BA499" s="11" t="s">
        <v>807</v>
      </c>
      <c r="BC499" s="31">
        <f>AW499+AX499</f>
        <v>0</v>
      </c>
      <c r="BD499" s="31">
        <f>G499/(100-BE499)*100</f>
        <v>0</v>
      </c>
      <c r="BE499" s="31">
        <v>0</v>
      </c>
      <c r="BF499" s="31">
        <f>499</f>
        <v>499</v>
      </c>
      <c r="BH499" s="31">
        <f>F499*AO499</f>
        <v>0</v>
      </c>
      <c r="BI499" s="31">
        <f>F499*AP499</f>
        <v>0</v>
      </c>
      <c r="BJ499" s="31">
        <f>F499*G499</f>
        <v>0</v>
      </c>
      <c r="BK499" s="34" t="s">
        <v>64</v>
      </c>
      <c r="BL499" s="31">
        <v>735</v>
      </c>
      <c r="BW499" s="31">
        <v>21</v>
      </c>
      <c r="BX499" s="5" t="s">
        <v>926</v>
      </c>
    </row>
    <row r="500" spans="1:76" x14ac:dyDescent="0.25">
      <c r="A500" s="35"/>
      <c r="C500" s="36" t="s">
        <v>73</v>
      </c>
      <c r="D500" s="36" t="s">
        <v>927</v>
      </c>
      <c r="F500" s="37">
        <v>3</v>
      </c>
      <c r="K500" s="38"/>
    </row>
    <row r="501" spans="1:76" x14ac:dyDescent="0.25">
      <c r="A501" s="2" t="s">
        <v>928</v>
      </c>
      <c r="B501" s="3" t="s">
        <v>240</v>
      </c>
      <c r="C501" s="112" t="s">
        <v>929</v>
      </c>
      <c r="D501" s="107"/>
      <c r="E501" s="3" t="s">
        <v>81</v>
      </c>
      <c r="F501" s="31">
        <v>2</v>
      </c>
      <c r="G501" s="32">
        <v>0</v>
      </c>
      <c r="H501" s="31">
        <f>ROUND(F501*AO501,2)</f>
        <v>0</v>
      </c>
      <c r="I501" s="31">
        <f>ROUND(F501*AP501,2)</f>
        <v>0</v>
      </c>
      <c r="J501" s="31">
        <f>ROUND(F501*G501,2)</f>
        <v>0</v>
      </c>
      <c r="K501" s="33" t="s">
        <v>242</v>
      </c>
      <c r="Z501" s="31">
        <f>ROUND(IF(AQ501="5",BJ501,0),2)</f>
        <v>0</v>
      </c>
      <c r="AB501" s="31">
        <f>ROUND(IF(AQ501="1",BH501,0),2)</f>
        <v>0</v>
      </c>
      <c r="AC501" s="31">
        <f>ROUND(IF(AQ501="1",BI501,0),2)</f>
        <v>0</v>
      </c>
      <c r="AD501" s="31">
        <f>ROUND(IF(AQ501="7",BH501,0),2)</f>
        <v>0</v>
      </c>
      <c r="AE501" s="31">
        <f>ROUND(IF(AQ501="7",BI501,0),2)</f>
        <v>0</v>
      </c>
      <c r="AF501" s="31">
        <f>ROUND(IF(AQ501="2",BH501,0),2)</f>
        <v>0</v>
      </c>
      <c r="AG501" s="31">
        <f>ROUND(IF(AQ501="2",BI501,0),2)</f>
        <v>0</v>
      </c>
      <c r="AH501" s="31">
        <f>ROUND(IF(AQ501="0",BJ501,0),2)</f>
        <v>0</v>
      </c>
      <c r="AI501" s="11" t="s">
        <v>66</v>
      </c>
      <c r="AJ501" s="31">
        <f>IF(AN501=0,J501,0)</f>
        <v>0</v>
      </c>
      <c r="AK501" s="31">
        <f>IF(AN501=12,J501,0)</f>
        <v>0</v>
      </c>
      <c r="AL501" s="31">
        <f>IF(AN501=21,J501,0)</f>
        <v>0</v>
      </c>
      <c r="AN501" s="31">
        <v>21</v>
      </c>
      <c r="AO501" s="31">
        <f>G501*0</f>
        <v>0</v>
      </c>
      <c r="AP501" s="31">
        <f>G501*(1-0)</f>
        <v>0</v>
      </c>
      <c r="AQ501" s="34" t="s">
        <v>101</v>
      </c>
      <c r="AV501" s="31">
        <f>ROUND(AW501+AX501,2)</f>
        <v>0</v>
      </c>
      <c r="AW501" s="31">
        <f>ROUND(F501*AO501,2)</f>
        <v>0</v>
      </c>
      <c r="AX501" s="31">
        <f>ROUND(F501*AP501,2)</f>
        <v>0</v>
      </c>
      <c r="AY501" s="34" t="s">
        <v>870</v>
      </c>
      <c r="AZ501" s="34" t="s">
        <v>806</v>
      </c>
      <c r="BA501" s="11" t="s">
        <v>807</v>
      </c>
      <c r="BC501" s="31">
        <f>AW501+AX501</f>
        <v>0</v>
      </c>
      <c r="BD501" s="31">
        <f>G501/(100-BE501)*100</f>
        <v>0</v>
      </c>
      <c r="BE501" s="31">
        <v>0</v>
      </c>
      <c r="BF501" s="31">
        <f>501</f>
        <v>501</v>
      </c>
      <c r="BH501" s="31">
        <f>F501*AO501</f>
        <v>0</v>
      </c>
      <c r="BI501" s="31">
        <f>F501*AP501</f>
        <v>0</v>
      </c>
      <c r="BJ501" s="31">
        <f>F501*G501</f>
        <v>0</v>
      </c>
      <c r="BK501" s="34" t="s">
        <v>64</v>
      </c>
      <c r="BL501" s="31">
        <v>735</v>
      </c>
      <c r="BW501" s="31">
        <v>21</v>
      </c>
      <c r="BX501" s="5" t="s">
        <v>929</v>
      </c>
    </row>
    <row r="502" spans="1:76" x14ac:dyDescent="0.25">
      <c r="A502" s="35"/>
      <c r="C502" s="36" t="s">
        <v>56</v>
      </c>
      <c r="D502" s="36" t="s">
        <v>930</v>
      </c>
      <c r="F502" s="37">
        <v>1</v>
      </c>
      <c r="K502" s="38"/>
    </row>
    <row r="503" spans="1:76" x14ac:dyDescent="0.25">
      <c r="A503" s="35"/>
      <c r="C503" s="36" t="s">
        <v>56</v>
      </c>
      <c r="D503" s="36" t="s">
        <v>931</v>
      </c>
      <c r="F503" s="37">
        <v>1</v>
      </c>
      <c r="K503" s="38"/>
    </row>
    <row r="504" spans="1:76" x14ac:dyDescent="0.25">
      <c r="A504" s="2" t="s">
        <v>932</v>
      </c>
      <c r="B504" s="3" t="s">
        <v>240</v>
      </c>
      <c r="C504" s="112" t="s">
        <v>933</v>
      </c>
      <c r="D504" s="107"/>
      <c r="E504" s="3" t="s">
        <v>81</v>
      </c>
      <c r="F504" s="31">
        <v>4</v>
      </c>
      <c r="G504" s="32">
        <v>0</v>
      </c>
      <c r="H504" s="31">
        <f>ROUND(F504*AO504,2)</f>
        <v>0</v>
      </c>
      <c r="I504" s="31">
        <f>ROUND(F504*AP504,2)</f>
        <v>0</v>
      </c>
      <c r="J504" s="31">
        <f>ROUND(F504*G504,2)</f>
        <v>0</v>
      </c>
      <c r="K504" s="33" t="s">
        <v>242</v>
      </c>
      <c r="Z504" s="31">
        <f>ROUND(IF(AQ504="5",BJ504,0),2)</f>
        <v>0</v>
      </c>
      <c r="AB504" s="31">
        <f>ROUND(IF(AQ504="1",BH504,0),2)</f>
        <v>0</v>
      </c>
      <c r="AC504" s="31">
        <f>ROUND(IF(AQ504="1",BI504,0),2)</f>
        <v>0</v>
      </c>
      <c r="AD504" s="31">
        <f>ROUND(IF(AQ504="7",BH504,0),2)</f>
        <v>0</v>
      </c>
      <c r="AE504" s="31">
        <f>ROUND(IF(AQ504="7",BI504,0),2)</f>
        <v>0</v>
      </c>
      <c r="AF504" s="31">
        <f>ROUND(IF(AQ504="2",BH504,0),2)</f>
        <v>0</v>
      </c>
      <c r="AG504" s="31">
        <f>ROUND(IF(AQ504="2",BI504,0),2)</f>
        <v>0</v>
      </c>
      <c r="AH504" s="31">
        <f>ROUND(IF(AQ504="0",BJ504,0),2)</f>
        <v>0</v>
      </c>
      <c r="AI504" s="11" t="s">
        <v>66</v>
      </c>
      <c r="AJ504" s="31">
        <f>IF(AN504=0,J504,0)</f>
        <v>0</v>
      </c>
      <c r="AK504" s="31">
        <f>IF(AN504=12,J504,0)</f>
        <v>0</v>
      </c>
      <c r="AL504" s="31">
        <f>IF(AN504=21,J504,0)</f>
        <v>0</v>
      </c>
      <c r="AN504" s="31">
        <v>21</v>
      </c>
      <c r="AO504" s="31">
        <f>G504*0</f>
        <v>0</v>
      </c>
      <c r="AP504" s="31">
        <f>G504*(1-0)</f>
        <v>0</v>
      </c>
      <c r="AQ504" s="34" t="s">
        <v>101</v>
      </c>
      <c r="AV504" s="31">
        <f>ROUND(AW504+AX504,2)</f>
        <v>0</v>
      </c>
      <c r="AW504" s="31">
        <f>ROUND(F504*AO504,2)</f>
        <v>0</v>
      </c>
      <c r="AX504" s="31">
        <f>ROUND(F504*AP504,2)</f>
        <v>0</v>
      </c>
      <c r="AY504" s="34" t="s">
        <v>870</v>
      </c>
      <c r="AZ504" s="34" t="s">
        <v>806</v>
      </c>
      <c r="BA504" s="11" t="s">
        <v>807</v>
      </c>
      <c r="BC504" s="31">
        <f>AW504+AX504</f>
        <v>0</v>
      </c>
      <c r="BD504" s="31">
        <f>G504/(100-BE504)*100</f>
        <v>0</v>
      </c>
      <c r="BE504" s="31">
        <v>0</v>
      </c>
      <c r="BF504" s="31">
        <f>504</f>
        <v>504</v>
      </c>
      <c r="BH504" s="31">
        <f>F504*AO504</f>
        <v>0</v>
      </c>
      <c r="BI504" s="31">
        <f>F504*AP504</f>
        <v>0</v>
      </c>
      <c r="BJ504" s="31">
        <f>F504*G504</f>
        <v>0</v>
      </c>
      <c r="BK504" s="34" t="s">
        <v>64</v>
      </c>
      <c r="BL504" s="31">
        <v>735</v>
      </c>
      <c r="BW504" s="31">
        <v>21</v>
      </c>
      <c r="BX504" s="5" t="s">
        <v>933</v>
      </c>
    </row>
    <row r="505" spans="1:76" x14ac:dyDescent="0.25">
      <c r="A505" s="35"/>
      <c r="C505" s="36" t="s">
        <v>56</v>
      </c>
      <c r="D505" s="36" t="s">
        <v>934</v>
      </c>
      <c r="F505" s="37">
        <v>1</v>
      </c>
      <c r="K505" s="38"/>
    </row>
    <row r="506" spans="1:76" x14ac:dyDescent="0.25">
      <c r="A506" s="35"/>
      <c r="C506" s="36" t="s">
        <v>935</v>
      </c>
      <c r="D506" s="36" t="s">
        <v>936</v>
      </c>
      <c r="F506" s="37">
        <v>3</v>
      </c>
      <c r="K506" s="38"/>
    </row>
    <row r="507" spans="1:76" x14ac:dyDescent="0.25">
      <c r="A507" s="39" t="s">
        <v>937</v>
      </c>
      <c r="B507" s="40" t="s">
        <v>240</v>
      </c>
      <c r="C507" s="135" t="s">
        <v>938</v>
      </c>
      <c r="D507" s="136"/>
      <c r="E507" s="40" t="s">
        <v>81</v>
      </c>
      <c r="F507" s="42">
        <v>2</v>
      </c>
      <c r="G507" s="43">
        <v>0</v>
      </c>
      <c r="H507" s="42">
        <f>ROUND(F507*AO507,2)</f>
        <v>0</v>
      </c>
      <c r="I507" s="42">
        <f>ROUND(F507*AP507,2)</f>
        <v>0</v>
      </c>
      <c r="J507" s="42">
        <f>ROUND(F507*G507,2)</f>
        <v>0</v>
      </c>
      <c r="K507" s="44" t="s">
        <v>242</v>
      </c>
      <c r="Z507" s="31">
        <f>ROUND(IF(AQ507="5",BJ507,0),2)</f>
        <v>0</v>
      </c>
      <c r="AB507" s="31">
        <f>ROUND(IF(AQ507="1",BH507,0),2)</f>
        <v>0</v>
      </c>
      <c r="AC507" s="31">
        <f>ROUND(IF(AQ507="1",BI507,0),2)</f>
        <v>0</v>
      </c>
      <c r="AD507" s="31">
        <f>ROUND(IF(AQ507="7",BH507,0),2)</f>
        <v>0</v>
      </c>
      <c r="AE507" s="31">
        <f>ROUND(IF(AQ507="7",BI507,0),2)</f>
        <v>0</v>
      </c>
      <c r="AF507" s="31">
        <f>ROUND(IF(AQ507="2",BH507,0),2)</f>
        <v>0</v>
      </c>
      <c r="AG507" s="31">
        <f>ROUND(IF(AQ507="2",BI507,0),2)</f>
        <v>0</v>
      </c>
      <c r="AH507" s="31">
        <f>ROUND(IF(AQ507="0",BJ507,0),2)</f>
        <v>0</v>
      </c>
      <c r="AI507" s="11" t="s">
        <v>66</v>
      </c>
      <c r="AJ507" s="42">
        <f>IF(AN507=0,J507,0)</f>
        <v>0</v>
      </c>
      <c r="AK507" s="42">
        <f>IF(AN507=12,J507,0)</f>
        <v>0</v>
      </c>
      <c r="AL507" s="42">
        <f>IF(AN507=21,J507,0)</f>
        <v>0</v>
      </c>
      <c r="AN507" s="31">
        <v>21</v>
      </c>
      <c r="AO507" s="31">
        <f>G507*1</f>
        <v>0</v>
      </c>
      <c r="AP507" s="31">
        <f>G507*(1-1)</f>
        <v>0</v>
      </c>
      <c r="AQ507" s="45" t="s">
        <v>101</v>
      </c>
      <c r="AV507" s="31">
        <f>ROUND(AW507+AX507,2)</f>
        <v>0</v>
      </c>
      <c r="AW507" s="31">
        <f>ROUND(F507*AO507,2)</f>
        <v>0</v>
      </c>
      <c r="AX507" s="31">
        <f>ROUND(F507*AP507,2)</f>
        <v>0</v>
      </c>
      <c r="AY507" s="34" t="s">
        <v>870</v>
      </c>
      <c r="AZ507" s="34" t="s">
        <v>806</v>
      </c>
      <c r="BA507" s="11" t="s">
        <v>807</v>
      </c>
      <c r="BC507" s="31">
        <f>AW507+AX507</f>
        <v>0</v>
      </c>
      <c r="BD507" s="31">
        <f>G507/(100-BE507)*100</f>
        <v>0</v>
      </c>
      <c r="BE507" s="31">
        <v>0</v>
      </c>
      <c r="BF507" s="31">
        <f>507</f>
        <v>507</v>
      </c>
      <c r="BH507" s="42">
        <f>F507*AO507</f>
        <v>0</v>
      </c>
      <c r="BI507" s="42">
        <f>F507*AP507</f>
        <v>0</v>
      </c>
      <c r="BJ507" s="42">
        <f>F507*G507</f>
        <v>0</v>
      </c>
      <c r="BK507" s="45" t="s">
        <v>70</v>
      </c>
      <c r="BL507" s="31">
        <v>735</v>
      </c>
      <c r="BW507" s="31">
        <v>21</v>
      </c>
      <c r="BX507" s="41" t="s">
        <v>938</v>
      </c>
    </row>
    <row r="508" spans="1:76" x14ac:dyDescent="0.25">
      <c r="A508" s="35"/>
      <c r="C508" s="36" t="s">
        <v>66</v>
      </c>
      <c r="D508" s="36" t="s">
        <v>939</v>
      </c>
      <c r="F508" s="37">
        <v>2</v>
      </c>
      <c r="K508" s="38"/>
    </row>
    <row r="509" spans="1:76" x14ac:dyDescent="0.25">
      <c r="A509" s="39" t="s">
        <v>940</v>
      </c>
      <c r="B509" s="40" t="s">
        <v>240</v>
      </c>
      <c r="C509" s="135" t="s">
        <v>941</v>
      </c>
      <c r="D509" s="136"/>
      <c r="E509" s="40" t="s">
        <v>81</v>
      </c>
      <c r="F509" s="42">
        <v>4</v>
      </c>
      <c r="G509" s="43">
        <v>0</v>
      </c>
      <c r="H509" s="42">
        <f>ROUND(F509*AO509,2)</f>
        <v>0</v>
      </c>
      <c r="I509" s="42">
        <f>ROUND(F509*AP509,2)</f>
        <v>0</v>
      </c>
      <c r="J509" s="42">
        <f>ROUND(F509*G509,2)</f>
        <v>0</v>
      </c>
      <c r="K509" s="44" t="s">
        <v>242</v>
      </c>
      <c r="Z509" s="31">
        <f>ROUND(IF(AQ509="5",BJ509,0),2)</f>
        <v>0</v>
      </c>
      <c r="AB509" s="31">
        <f>ROUND(IF(AQ509="1",BH509,0),2)</f>
        <v>0</v>
      </c>
      <c r="AC509" s="31">
        <f>ROUND(IF(AQ509="1",BI509,0),2)</f>
        <v>0</v>
      </c>
      <c r="AD509" s="31">
        <f>ROUND(IF(AQ509="7",BH509,0),2)</f>
        <v>0</v>
      </c>
      <c r="AE509" s="31">
        <f>ROUND(IF(AQ509="7",BI509,0),2)</f>
        <v>0</v>
      </c>
      <c r="AF509" s="31">
        <f>ROUND(IF(AQ509="2",BH509,0),2)</f>
        <v>0</v>
      </c>
      <c r="AG509" s="31">
        <f>ROUND(IF(AQ509="2",BI509,0),2)</f>
        <v>0</v>
      </c>
      <c r="AH509" s="31">
        <f>ROUND(IF(AQ509="0",BJ509,0),2)</f>
        <v>0</v>
      </c>
      <c r="AI509" s="11" t="s">
        <v>66</v>
      </c>
      <c r="AJ509" s="42">
        <f>IF(AN509=0,J509,0)</f>
        <v>0</v>
      </c>
      <c r="AK509" s="42">
        <f>IF(AN509=12,J509,0)</f>
        <v>0</v>
      </c>
      <c r="AL509" s="42">
        <f>IF(AN509=21,J509,0)</f>
        <v>0</v>
      </c>
      <c r="AN509" s="31">
        <v>21</v>
      </c>
      <c r="AO509" s="31">
        <f>G509*1</f>
        <v>0</v>
      </c>
      <c r="AP509" s="31">
        <f>G509*(1-1)</f>
        <v>0</v>
      </c>
      <c r="AQ509" s="45" t="s">
        <v>101</v>
      </c>
      <c r="AV509" s="31">
        <f>ROUND(AW509+AX509,2)</f>
        <v>0</v>
      </c>
      <c r="AW509" s="31">
        <f>ROUND(F509*AO509,2)</f>
        <v>0</v>
      </c>
      <c r="AX509" s="31">
        <f>ROUND(F509*AP509,2)</f>
        <v>0</v>
      </c>
      <c r="AY509" s="34" t="s">
        <v>870</v>
      </c>
      <c r="AZ509" s="34" t="s">
        <v>806</v>
      </c>
      <c r="BA509" s="11" t="s">
        <v>807</v>
      </c>
      <c r="BC509" s="31">
        <f>AW509+AX509</f>
        <v>0</v>
      </c>
      <c r="BD509" s="31">
        <f>G509/(100-BE509)*100</f>
        <v>0</v>
      </c>
      <c r="BE509" s="31">
        <v>0</v>
      </c>
      <c r="BF509" s="31">
        <f>509</f>
        <v>509</v>
      </c>
      <c r="BH509" s="42">
        <f>F509*AO509</f>
        <v>0</v>
      </c>
      <c r="BI509" s="42">
        <f>F509*AP509</f>
        <v>0</v>
      </c>
      <c r="BJ509" s="42">
        <f>F509*G509</f>
        <v>0</v>
      </c>
      <c r="BK509" s="45" t="s">
        <v>70</v>
      </c>
      <c r="BL509" s="31">
        <v>735</v>
      </c>
      <c r="BW509" s="31">
        <v>21</v>
      </c>
      <c r="BX509" s="41" t="s">
        <v>941</v>
      </c>
    </row>
    <row r="510" spans="1:76" x14ac:dyDescent="0.25">
      <c r="A510" s="35"/>
      <c r="C510" s="36" t="s">
        <v>935</v>
      </c>
      <c r="D510" s="36" t="s">
        <v>936</v>
      </c>
      <c r="F510" s="37">
        <v>3</v>
      </c>
      <c r="K510" s="38"/>
    </row>
    <row r="511" spans="1:76" x14ac:dyDescent="0.25">
      <c r="A511" s="35"/>
      <c r="C511" s="36" t="s">
        <v>56</v>
      </c>
      <c r="D511" s="36" t="s">
        <v>889</v>
      </c>
      <c r="F511" s="37">
        <v>1</v>
      </c>
      <c r="K511" s="38"/>
    </row>
    <row r="512" spans="1:76" x14ac:dyDescent="0.25">
      <c r="A512" s="2" t="s">
        <v>942</v>
      </c>
      <c r="B512" s="3" t="s">
        <v>943</v>
      </c>
      <c r="C512" s="112" t="s">
        <v>944</v>
      </c>
      <c r="D512" s="107"/>
      <c r="E512" s="3" t="s">
        <v>81</v>
      </c>
      <c r="F512" s="31">
        <v>4</v>
      </c>
      <c r="G512" s="32">
        <v>0</v>
      </c>
      <c r="H512" s="31">
        <f>ROUND(F512*AO512,2)</f>
        <v>0</v>
      </c>
      <c r="I512" s="31">
        <f>ROUND(F512*AP512,2)</f>
        <v>0</v>
      </c>
      <c r="J512" s="31">
        <f>ROUND(F512*G512,2)</f>
        <v>0</v>
      </c>
      <c r="K512" s="33" t="s">
        <v>60</v>
      </c>
      <c r="Z512" s="31">
        <f>ROUND(IF(AQ512="5",BJ512,0),2)</f>
        <v>0</v>
      </c>
      <c r="AB512" s="31">
        <f>ROUND(IF(AQ512="1",BH512,0),2)</f>
        <v>0</v>
      </c>
      <c r="AC512" s="31">
        <f>ROUND(IF(AQ512="1",BI512,0),2)</f>
        <v>0</v>
      </c>
      <c r="AD512" s="31">
        <f>ROUND(IF(AQ512="7",BH512,0),2)</f>
        <v>0</v>
      </c>
      <c r="AE512" s="31">
        <f>ROUND(IF(AQ512="7",BI512,0),2)</f>
        <v>0</v>
      </c>
      <c r="AF512" s="31">
        <f>ROUND(IF(AQ512="2",BH512,0),2)</f>
        <v>0</v>
      </c>
      <c r="AG512" s="31">
        <f>ROUND(IF(AQ512="2",BI512,0),2)</f>
        <v>0</v>
      </c>
      <c r="AH512" s="31">
        <f>ROUND(IF(AQ512="0",BJ512,0),2)</f>
        <v>0</v>
      </c>
      <c r="AI512" s="11" t="s">
        <v>66</v>
      </c>
      <c r="AJ512" s="31">
        <f>IF(AN512=0,J512,0)</f>
        <v>0</v>
      </c>
      <c r="AK512" s="31">
        <f>IF(AN512=12,J512,0)</f>
        <v>0</v>
      </c>
      <c r="AL512" s="31">
        <f>IF(AN512=21,J512,0)</f>
        <v>0</v>
      </c>
      <c r="AN512" s="31">
        <v>21</v>
      </c>
      <c r="AO512" s="31">
        <f>G512*0</f>
        <v>0</v>
      </c>
      <c r="AP512" s="31">
        <f>G512*(1-0)</f>
        <v>0</v>
      </c>
      <c r="AQ512" s="34" t="s">
        <v>101</v>
      </c>
      <c r="AV512" s="31">
        <f>ROUND(AW512+AX512,2)</f>
        <v>0</v>
      </c>
      <c r="AW512" s="31">
        <f>ROUND(F512*AO512,2)</f>
        <v>0</v>
      </c>
      <c r="AX512" s="31">
        <f>ROUND(F512*AP512,2)</f>
        <v>0</v>
      </c>
      <c r="AY512" s="34" t="s">
        <v>870</v>
      </c>
      <c r="AZ512" s="34" t="s">
        <v>806</v>
      </c>
      <c r="BA512" s="11" t="s">
        <v>807</v>
      </c>
      <c r="BC512" s="31">
        <f>AW512+AX512</f>
        <v>0</v>
      </c>
      <c r="BD512" s="31">
        <f>G512/(100-BE512)*100</f>
        <v>0</v>
      </c>
      <c r="BE512" s="31">
        <v>0</v>
      </c>
      <c r="BF512" s="31">
        <f>512</f>
        <v>512</v>
      </c>
      <c r="BH512" s="31">
        <f>F512*AO512</f>
        <v>0</v>
      </c>
      <c r="BI512" s="31">
        <f>F512*AP512</f>
        <v>0</v>
      </c>
      <c r="BJ512" s="31">
        <f>F512*G512</f>
        <v>0</v>
      </c>
      <c r="BK512" s="34" t="s">
        <v>64</v>
      </c>
      <c r="BL512" s="31">
        <v>735</v>
      </c>
      <c r="BW512" s="31">
        <v>21</v>
      </c>
      <c r="BX512" s="5" t="s">
        <v>944</v>
      </c>
    </row>
    <row r="513" spans="1:76" x14ac:dyDescent="0.25">
      <c r="A513" s="35"/>
      <c r="C513" s="36" t="s">
        <v>904</v>
      </c>
      <c r="D513" s="36" t="s">
        <v>945</v>
      </c>
      <c r="F513" s="37">
        <v>4</v>
      </c>
      <c r="K513" s="38"/>
    </row>
    <row r="514" spans="1:76" x14ac:dyDescent="0.25">
      <c r="A514" s="2" t="s">
        <v>946</v>
      </c>
      <c r="B514" s="3" t="s">
        <v>947</v>
      </c>
      <c r="C514" s="112" t="s">
        <v>948</v>
      </c>
      <c r="D514" s="107"/>
      <c r="E514" s="3" t="s">
        <v>276</v>
      </c>
      <c r="F514" s="31">
        <v>0.14760000000000001</v>
      </c>
      <c r="G514" s="32">
        <v>0</v>
      </c>
      <c r="H514" s="31">
        <f>ROUND(F514*AO514,2)</f>
        <v>0</v>
      </c>
      <c r="I514" s="31">
        <f>ROUND(F514*AP514,2)</f>
        <v>0</v>
      </c>
      <c r="J514" s="31">
        <f>ROUND(F514*G514,2)</f>
        <v>0</v>
      </c>
      <c r="K514" s="33" t="s">
        <v>60</v>
      </c>
      <c r="Z514" s="31">
        <f>ROUND(IF(AQ514="5",BJ514,0),2)</f>
        <v>0</v>
      </c>
      <c r="AB514" s="31">
        <f>ROUND(IF(AQ514="1",BH514,0),2)</f>
        <v>0</v>
      </c>
      <c r="AC514" s="31">
        <f>ROUND(IF(AQ514="1",BI514,0),2)</f>
        <v>0</v>
      </c>
      <c r="AD514" s="31">
        <f>ROUND(IF(AQ514="7",BH514,0),2)</f>
        <v>0</v>
      </c>
      <c r="AE514" s="31">
        <f>ROUND(IF(AQ514="7",BI514,0),2)</f>
        <v>0</v>
      </c>
      <c r="AF514" s="31">
        <f>ROUND(IF(AQ514="2",BH514,0),2)</f>
        <v>0</v>
      </c>
      <c r="AG514" s="31">
        <f>ROUND(IF(AQ514="2",BI514,0),2)</f>
        <v>0</v>
      </c>
      <c r="AH514" s="31">
        <f>ROUND(IF(AQ514="0",BJ514,0),2)</f>
        <v>0</v>
      </c>
      <c r="AI514" s="11" t="s">
        <v>66</v>
      </c>
      <c r="AJ514" s="31">
        <f>IF(AN514=0,J514,0)</f>
        <v>0</v>
      </c>
      <c r="AK514" s="31">
        <f>IF(AN514=12,J514,0)</f>
        <v>0</v>
      </c>
      <c r="AL514" s="31">
        <f>IF(AN514=21,J514,0)</f>
        <v>0</v>
      </c>
      <c r="AN514" s="31">
        <v>21</v>
      </c>
      <c r="AO514" s="31">
        <f>G514*0</f>
        <v>0</v>
      </c>
      <c r="AP514" s="31">
        <f>G514*(1-0)</f>
        <v>0</v>
      </c>
      <c r="AQ514" s="34" t="s">
        <v>101</v>
      </c>
      <c r="AV514" s="31">
        <f>ROUND(AW514+AX514,2)</f>
        <v>0</v>
      </c>
      <c r="AW514" s="31">
        <f>ROUND(F514*AO514,2)</f>
        <v>0</v>
      </c>
      <c r="AX514" s="31">
        <f>ROUND(F514*AP514,2)</f>
        <v>0</v>
      </c>
      <c r="AY514" s="34" t="s">
        <v>870</v>
      </c>
      <c r="AZ514" s="34" t="s">
        <v>806</v>
      </c>
      <c r="BA514" s="11" t="s">
        <v>807</v>
      </c>
      <c r="BC514" s="31">
        <f>AW514+AX514</f>
        <v>0</v>
      </c>
      <c r="BD514" s="31">
        <f>G514/(100-BE514)*100</f>
        <v>0</v>
      </c>
      <c r="BE514" s="31">
        <v>0</v>
      </c>
      <c r="BF514" s="31">
        <f>514</f>
        <v>514</v>
      </c>
      <c r="BH514" s="31">
        <f>F514*AO514</f>
        <v>0</v>
      </c>
      <c r="BI514" s="31">
        <f>F514*AP514</f>
        <v>0</v>
      </c>
      <c r="BJ514" s="31">
        <f>F514*G514</f>
        <v>0</v>
      </c>
      <c r="BK514" s="34" t="s">
        <v>64</v>
      </c>
      <c r="BL514" s="31">
        <v>735</v>
      </c>
      <c r="BW514" s="31">
        <v>21</v>
      </c>
      <c r="BX514" s="5" t="s">
        <v>948</v>
      </c>
    </row>
    <row r="515" spans="1:76" x14ac:dyDescent="0.25">
      <c r="A515" s="35"/>
      <c r="C515" s="36" t="s">
        <v>949</v>
      </c>
      <c r="D515" s="36" t="s">
        <v>950</v>
      </c>
      <c r="F515" s="37">
        <v>7.2800000000000004E-2</v>
      </c>
      <c r="K515" s="38"/>
    </row>
    <row r="516" spans="1:76" x14ac:dyDescent="0.25">
      <c r="A516" s="35"/>
      <c r="C516" s="36" t="s">
        <v>951</v>
      </c>
      <c r="D516" s="36" t="s">
        <v>952</v>
      </c>
      <c r="F516" s="37">
        <v>7.4800000000000005E-2</v>
      </c>
      <c r="K516" s="38"/>
    </row>
    <row r="517" spans="1:76" x14ac:dyDescent="0.25">
      <c r="A517" s="2" t="s">
        <v>953</v>
      </c>
      <c r="B517" s="3" t="s">
        <v>954</v>
      </c>
      <c r="C517" s="112" t="s">
        <v>955</v>
      </c>
      <c r="D517" s="107"/>
      <c r="E517" s="3" t="s">
        <v>276</v>
      </c>
      <c r="F517" s="31">
        <v>0.34898000000000001</v>
      </c>
      <c r="G517" s="32">
        <v>0</v>
      </c>
      <c r="H517" s="31">
        <f>ROUND(F517*AO517,2)</f>
        <v>0</v>
      </c>
      <c r="I517" s="31">
        <f>ROUND(F517*AP517,2)</f>
        <v>0</v>
      </c>
      <c r="J517" s="31">
        <f>ROUND(F517*G517,2)</f>
        <v>0</v>
      </c>
      <c r="K517" s="33" t="s">
        <v>60</v>
      </c>
      <c r="Z517" s="31">
        <f>ROUND(IF(AQ517="5",BJ517,0),2)</f>
        <v>0</v>
      </c>
      <c r="AB517" s="31">
        <f>ROUND(IF(AQ517="1",BH517,0),2)</f>
        <v>0</v>
      </c>
      <c r="AC517" s="31">
        <f>ROUND(IF(AQ517="1",BI517,0),2)</f>
        <v>0</v>
      </c>
      <c r="AD517" s="31">
        <f>ROUND(IF(AQ517="7",BH517,0),2)</f>
        <v>0</v>
      </c>
      <c r="AE517" s="31">
        <f>ROUND(IF(AQ517="7",BI517,0),2)</f>
        <v>0</v>
      </c>
      <c r="AF517" s="31">
        <f>ROUND(IF(AQ517="2",BH517,0),2)</f>
        <v>0</v>
      </c>
      <c r="AG517" s="31">
        <f>ROUND(IF(AQ517="2",BI517,0),2)</f>
        <v>0</v>
      </c>
      <c r="AH517" s="31">
        <f>ROUND(IF(AQ517="0",BJ517,0),2)</f>
        <v>0</v>
      </c>
      <c r="AI517" s="11" t="s">
        <v>66</v>
      </c>
      <c r="AJ517" s="31">
        <f>IF(AN517=0,J517,0)</f>
        <v>0</v>
      </c>
      <c r="AK517" s="31">
        <f>IF(AN517=12,J517,0)</f>
        <v>0</v>
      </c>
      <c r="AL517" s="31">
        <f>IF(AN517=21,J517,0)</f>
        <v>0</v>
      </c>
      <c r="AN517" s="31">
        <v>21</v>
      </c>
      <c r="AO517" s="31">
        <f>G517*0</f>
        <v>0</v>
      </c>
      <c r="AP517" s="31">
        <f>G517*(1-0)</f>
        <v>0</v>
      </c>
      <c r="AQ517" s="34" t="s">
        <v>85</v>
      </c>
      <c r="AV517" s="31">
        <f>ROUND(AW517+AX517,2)</f>
        <v>0</v>
      </c>
      <c r="AW517" s="31">
        <f>ROUND(F517*AO517,2)</f>
        <v>0</v>
      </c>
      <c r="AX517" s="31">
        <f>ROUND(F517*AP517,2)</f>
        <v>0</v>
      </c>
      <c r="AY517" s="34" t="s">
        <v>870</v>
      </c>
      <c r="AZ517" s="34" t="s">
        <v>806</v>
      </c>
      <c r="BA517" s="11" t="s">
        <v>807</v>
      </c>
      <c r="BC517" s="31">
        <f>AW517+AX517</f>
        <v>0</v>
      </c>
      <c r="BD517" s="31">
        <f>G517/(100-BE517)*100</f>
        <v>0</v>
      </c>
      <c r="BE517" s="31">
        <v>0</v>
      </c>
      <c r="BF517" s="31">
        <f>517</f>
        <v>517</v>
      </c>
      <c r="BH517" s="31">
        <f>F517*AO517</f>
        <v>0</v>
      </c>
      <c r="BI517" s="31">
        <f>F517*AP517</f>
        <v>0</v>
      </c>
      <c r="BJ517" s="31">
        <f>F517*G517</f>
        <v>0</v>
      </c>
      <c r="BK517" s="34" t="s">
        <v>64</v>
      </c>
      <c r="BL517" s="31">
        <v>735</v>
      </c>
      <c r="BW517" s="31">
        <v>21</v>
      </c>
      <c r="BX517" s="5" t="s">
        <v>955</v>
      </c>
    </row>
    <row r="518" spans="1:76" x14ac:dyDescent="0.25">
      <c r="A518" s="26" t="s">
        <v>52</v>
      </c>
      <c r="B518" s="27" t="s">
        <v>344</v>
      </c>
      <c r="C518" s="133" t="s">
        <v>345</v>
      </c>
      <c r="D518" s="134"/>
      <c r="E518" s="28" t="s">
        <v>4</v>
      </c>
      <c r="F518" s="28" t="s">
        <v>4</v>
      </c>
      <c r="G518" s="29" t="s">
        <v>4</v>
      </c>
      <c r="H518" s="1">
        <f>SUM(H519:H522)</f>
        <v>0</v>
      </c>
      <c r="I518" s="1">
        <f>SUM(I519:I522)</f>
        <v>0</v>
      </c>
      <c r="J518" s="1">
        <f>SUM(J519:J522)</f>
        <v>0</v>
      </c>
      <c r="K518" s="30" t="s">
        <v>52</v>
      </c>
      <c r="AI518" s="11" t="s">
        <v>66</v>
      </c>
      <c r="AS518" s="1">
        <f>SUM(AJ519:AJ522)</f>
        <v>0</v>
      </c>
      <c r="AT518" s="1">
        <f>SUM(AK519:AK522)</f>
        <v>0</v>
      </c>
      <c r="AU518" s="1">
        <f>SUM(AL519:AL522)</f>
        <v>0</v>
      </c>
    </row>
    <row r="519" spans="1:76" x14ac:dyDescent="0.25">
      <c r="A519" s="2" t="s">
        <v>956</v>
      </c>
      <c r="B519" s="3" t="s">
        <v>957</v>
      </c>
      <c r="C519" s="112" t="s">
        <v>958</v>
      </c>
      <c r="D519" s="107"/>
      <c r="E519" s="3" t="s">
        <v>959</v>
      </c>
      <c r="F519" s="31">
        <v>10</v>
      </c>
      <c r="G519" s="32">
        <v>0</v>
      </c>
      <c r="H519" s="31">
        <f>ROUND(F519*AO519,2)</f>
        <v>0</v>
      </c>
      <c r="I519" s="31">
        <f>ROUND(F519*AP519,2)</f>
        <v>0</v>
      </c>
      <c r="J519" s="31">
        <f>ROUND(F519*G519,2)</f>
        <v>0</v>
      </c>
      <c r="K519" s="33" t="s">
        <v>60</v>
      </c>
      <c r="Z519" s="31">
        <f>ROUND(IF(AQ519="5",BJ519,0),2)</f>
        <v>0</v>
      </c>
      <c r="AB519" s="31">
        <f>ROUND(IF(AQ519="1",BH519,0),2)</f>
        <v>0</v>
      </c>
      <c r="AC519" s="31">
        <f>ROUND(IF(AQ519="1",BI519,0),2)</f>
        <v>0</v>
      </c>
      <c r="AD519" s="31">
        <f>ROUND(IF(AQ519="7",BH519,0),2)</f>
        <v>0</v>
      </c>
      <c r="AE519" s="31">
        <f>ROUND(IF(AQ519="7",BI519,0),2)</f>
        <v>0</v>
      </c>
      <c r="AF519" s="31">
        <f>ROUND(IF(AQ519="2",BH519,0),2)</f>
        <v>0</v>
      </c>
      <c r="AG519" s="31">
        <f>ROUND(IF(AQ519="2",BI519,0),2)</f>
        <v>0</v>
      </c>
      <c r="AH519" s="31">
        <f>ROUND(IF(AQ519="0",BJ519,0),2)</f>
        <v>0</v>
      </c>
      <c r="AI519" s="11" t="s">
        <v>66</v>
      </c>
      <c r="AJ519" s="31">
        <f>IF(AN519=0,J519,0)</f>
        <v>0</v>
      </c>
      <c r="AK519" s="31">
        <f>IF(AN519=12,J519,0)</f>
        <v>0</v>
      </c>
      <c r="AL519" s="31">
        <f>IF(AN519=21,J519,0)</f>
        <v>0</v>
      </c>
      <c r="AN519" s="31">
        <v>21</v>
      </c>
      <c r="AO519" s="31">
        <f>G519*0.074666667</f>
        <v>0</v>
      </c>
      <c r="AP519" s="31">
        <f>G519*(1-0.074666667)</f>
        <v>0</v>
      </c>
      <c r="AQ519" s="34" t="s">
        <v>101</v>
      </c>
      <c r="AV519" s="31">
        <f>ROUND(AW519+AX519,2)</f>
        <v>0</v>
      </c>
      <c r="AW519" s="31">
        <f>ROUND(F519*AO519,2)</f>
        <v>0</v>
      </c>
      <c r="AX519" s="31">
        <f>ROUND(F519*AP519,2)</f>
        <v>0</v>
      </c>
      <c r="AY519" s="34" t="s">
        <v>349</v>
      </c>
      <c r="AZ519" s="34" t="s">
        <v>960</v>
      </c>
      <c r="BA519" s="11" t="s">
        <v>807</v>
      </c>
      <c r="BC519" s="31">
        <f>AW519+AX519</f>
        <v>0</v>
      </c>
      <c r="BD519" s="31">
        <f>G519/(100-BE519)*100</f>
        <v>0</v>
      </c>
      <c r="BE519" s="31">
        <v>0</v>
      </c>
      <c r="BF519" s="31">
        <f>519</f>
        <v>519</v>
      </c>
      <c r="BH519" s="31">
        <f>F519*AO519</f>
        <v>0</v>
      </c>
      <c r="BI519" s="31">
        <f>F519*AP519</f>
        <v>0</v>
      </c>
      <c r="BJ519" s="31">
        <f>F519*G519</f>
        <v>0</v>
      </c>
      <c r="BK519" s="34" t="s">
        <v>64</v>
      </c>
      <c r="BL519" s="31">
        <v>767</v>
      </c>
      <c r="BW519" s="31">
        <v>21</v>
      </c>
      <c r="BX519" s="5" t="s">
        <v>958</v>
      </c>
    </row>
    <row r="520" spans="1:76" ht="13.5" customHeight="1" x14ac:dyDescent="0.25">
      <c r="A520" s="35"/>
      <c r="C520" s="137" t="s">
        <v>961</v>
      </c>
      <c r="D520" s="138"/>
      <c r="E520" s="138"/>
      <c r="F520" s="138"/>
      <c r="G520" s="139"/>
      <c r="H520" s="138"/>
      <c r="I520" s="138"/>
      <c r="J520" s="138"/>
      <c r="K520" s="140"/>
    </row>
    <row r="521" spans="1:76" x14ac:dyDescent="0.25">
      <c r="A521" s="35"/>
      <c r="C521" s="36" t="s">
        <v>962</v>
      </c>
      <c r="D521" s="36" t="s">
        <v>963</v>
      </c>
      <c r="F521" s="37">
        <v>10</v>
      </c>
      <c r="K521" s="38"/>
    </row>
    <row r="522" spans="1:76" x14ac:dyDescent="0.25">
      <c r="A522" s="2" t="s">
        <v>964</v>
      </c>
      <c r="B522" s="3" t="s">
        <v>416</v>
      </c>
      <c r="C522" s="112" t="s">
        <v>417</v>
      </c>
      <c r="D522" s="107"/>
      <c r="E522" s="3" t="s">
        <v>276</v>
      </c>
      <c r="F522" s="31">
        <v>3.5000000000000001E-3</v>
      </c>
      <c r="G522" s="32">
        <v>0</v>
      </c>
      <c r="H522" s="31">
        <f>ROUND(F522*AO522,2)</f>
        <v>0</v>
      </c>
      <c r="I522" s="31">
        <f>ROUND(F522*AP522,2)</f>
        <v>0</v>
      </c>
      <c r="J522" s="31">
        <f>ROUND(F522*G522,2)</f>
        <v>0</v>
      </c>
      <c r="K522" s="33" t="s">
        <v>60</v>
      </c>
      <c r="Z522" s="31">
        <f>ROUND(IF(AQ522="5",BJ522,0),2)</f>
        <v>0</v>
      </c>
      <c r="AB522" s="31">
        <f>ROUND(IF(AQ522="1",BH522,0),2)</f>
        <v>0</v>
      </c>
      <c r="AC522" s="31">
        <f>ROUND(IF(AQ522="1",BI522,0),2)</f>
        <v>0</v>
      </c>
      <c r="AD522" s="31">
        <f>ROUND(IF(AQ522="7",BH522,0),2)</f>
        <v>0</v>
      </c>
      <c r="AE522" s="31">
        <f>ROUND(IF(AQ522="7",BI522,0),2)</f>
        <v>0</v>
      </c>
      <c r="AF522" s="31">
        <f>ROUND(IF(AQ522="2",BH522,0),2)</f>
        <v>0</v>
      </c>
      <c r="AG522" s="31">
        <f>ROUND(IF(AQ522="2",BI522,0),2)</f>
        <v>0</v>
      </c>
      <c r="AH522" s="31">
        <f>ROUND(IF(AQ522="0",BJ522,0),2)</f>
        <v>0</v>
      </c>
      <c r="AI522" s="11" t="s">
        <v>66</v>
      </c>
      <c r="AJ522" s="31">
        <f>IF(AN522=0,J522,0)</f>
        <v>0</v>
      </c>
      <c r="AK522" s="31">
        <f>IF(AN522=12,J522,0)</f>
        <v>0</v>
      </c>
      <c r="AL522" s="31">
        <f>IF(AN522=21,J522,0)</f>
        <v>0</v>
      </c>
      <c r="AN522" s="31">
        <v>21</v>
      </c>
      <c r="AO522" s="31">
        <f>G522*0</f>
        <v>0</v>
      </c>
      <c r="AP522" s="31">
        <f>G522*(1-0)</f>
        <v>0</v>
      </c>
      <c r="AQ522" s="34" t="s">
        <v>85</v>
      </c>
      <c r="AV522" s="31">
        <f>ROUND(AW522+AX522,2)</f>
        <v>0</v>
      </c>
      <c r="AW522" s="31">
        <f>ROUND(F522*AO522,2)</f>
        <v>0</v>
      </c>
      <c r="AX522" s="31">
        <f>ROUND(F522*AP522,2)</f>
        <v>0</v>
      </c>
      <c r="AY522" s="34" t="s">
        <v>349</v>
      </c>
      <c r="AZ522" s="34" t="s">
        <v>960</v>
      </c>
      <c r="BA522" s="11" t="s">
        <v>807</v>
      </c>
      <c r="BC522" s="31">
        <f>AW522+AX522</f>
        <v>0</v>
      </c>
      <c r="BD522" s="31">
        <f>G522/(100-BE522)*100</f>
        <v>0</v>
      </c>
      <c r="BE522" s="31">
        <v>0</v>
      </c>
      <c r="BF522" s="31">
        <f>522</f>
        <v>522</v>
      </c>
      <c r="BH522" s="31">
        <f>F522*AO522</f>
        <v>0</v>
      </c>
      <c r="BI522" s="31">
        <f>F522*AP522</f>
        <v>0</v>
      </c>
      <c r="BJ522" s="31">
        <f>F522*G522</f>
        <v>0</v>
      </c>
      <c r="BK522" s="34" t="s">
        <v>64</v>
      </c>
      <c r="BL522" s="31">
        <v>767</v>
      </c>
      <c r="BW522" s="31">
        <v>21</v>
      </c>
      <c r="BX522" s="5" t="s">
        <v>417</v>
      </c>
    </row>
    <row r="523" spans="1:76" x14ac:dyDescent="0.25">
      <c r="A523" s="26" t="s">
        <v>52</v>
      </c>
      <c r="B523" s="27" t="s">
        <v>603</v>
      </c>
      <c r="C523" s="133" t="s">
        <v>604</v>
      </c>
      <c r="D523" s="134"/>
      <c r="E523" s="28" t="s">
        <v>4</v>
      </c>
      <c r="F523" s="28" t="s">
        <v>4</v>
      </c>
      <c r="G523" s="29" t="s">
        <v>4</v>
      </c>
      <c r="H523" s="1">
        <f>SUM(H524:H529)</f>
        <v>0</v>
      </c>
      <c r="I523" s="1">
        <f>SUM(I524:I529)</f>
        <v>0</v>
      </c>
      <c r="J523" s="1">
        <f>SUM(J524:J529)</f>
        <v>0</v>
      </c>
      <c r="K523" s="30" t="s">
        <v>52</v>
      </c>
      <c r="AI523" s="11" t="s">
        <v>66</v>
      </c>
      <c r="AS523" s="1">
        <f>SUM(AJ524:AJ529)</f>
        <v>0</v>
      </c>
      <c r="AT523" s="1">
        <f>SUM(AK524:AK529)</f>
        <v>0</v>
      </c>
      <c r="AU523" s="1">
        <f>SUM(AL524:AL529)</f>
        <v>0</v>
      </c>
    </row>
    <row r="524" spans="1:76" x14ac:dyDescent="0.25">
      <c r="A524" s="2" t="s">
        <v>965</v>
      </c>
      <c r="B524" s="3" t="s">
        <v>606</v>
      </c>
      <c r="C524" s="112" t="s">
        <v>607</v>
      </c>
      <c r="D524" s="107"/>
      <c r="E524" s="3" t="s">
        <v>59</v>
      </c>
      <c r="F524" s="31">
        <v>2.33</v>
      </c>
      <c r="G524" s="32">
        <v>0</v>
      </c>
      <c r="H524" s="31">
        <f>ROUND(F524*AO524,2)</f>
        <v>0</v>
      </c>
      <c r="I524" s="31">
        <f>ROUND(F524*AP524,2)</f>
        <v>0</v>
      </c>
      <c r="J524" s="31">
        <f>ROUND(F524*G524,2)</f>
        <v>0</v>
      </c>
      <c r="K524" s="33" t="s">
        <v>60</v>
      </c>
      <c r="Z524" s="31">
        <f>ROUND(IF(AQ524="5",BJ524,0),2)</f>
        <v>0</v>
      </c>
      <c r="AB524" s="31">
        <f>ROUND(IF(AQ524="1",BH524,0),2)</f>
        <v>0</v>
      </c>
      <c r="AC524" s="31">
        <f>ROUND(IF(AQ524="1",BI524,0),2)</f>
        <v>0</v>
      </c>
      <c r="AD524" s="31">
        <f>ROUND(IF(AQ524="7",BH524,0),2)</f>
        <v>0</v>
      </c>
      <c r="AE524" s="31">
        <f>ROUND(IF(AQ524="7",BI524,0),2)</f>
        <v>0</v>
      </c>
      <c r="AF524" s="31">
        <f>ROUND(IF(AQ524="2",BH524,0),2)</f>
        <v>0</v>
      </c>
      <c r="AG524" s="31">
        <f>ROUND(IF(AQ524="2",BI524,0),2)</f>
        <v>0</v>
      </c>
      <c r="AH524" s="31">
        <f>ROUND(IF(AQ524="0",BJ524,0),2)</f>
        <v>0</v>
      </c>
      <c r="AI524" s="11" t="s">
        <v>66</v>
      </c>
      <c r="AJ524" s="31">
        <f>IF(AN524=0,J524,0)</f>
        <v>0</v>
      </c>
      <c r="AK524" s="31">
        <f>IF(AN524=12,J524,0)</f>
        <v>0</v>
      </c>
      <c r="AL524" s="31">
        <f>IF(AN524=21,J524,0)</f>
        <v>0</v>
      </c>
      <c r="AN524" s="31">
        <v>21</v>
      </c>
      <c r="AO524" s="31">
        <f>G524*0.091900083</f>
        <v>0</v>
      </c>
      <c r="AP524" s="31">
        <f>G524*(1-0.091900083)</f>
        <v>0</v>
      </c>
      <c r="AQ524" s="34" t="s">
        <v>101</v>
      </c>
      <c r="AV524" s="31">
        <f>ROUND(AW524+AX524,2)</f>
        <v>0</v>
      </c>
      <c r="AW524" s="31">
        <f>ROUND(F524*AO524,2)</f>
        <v>0</v>
      </c>
      <c r="AX524" s="31">
        <f>ROUND(F524*AP524,2)</f>
        <v>0</v>
      </c>
      <c r="AY524" s="34" t="s">
        <v>608</v>
      </c>
      <c r="AZ524" s="34" t="s">
        <v>966</v>
      </c>
      <c r="BA524" s="11" t="s">
        <v>807</v>
      </c>
      <c r="BC524" s="31">
        <f>AW524+AX524</f>
        <v>0</v>
      </c>
      <c r="BD524" s="31">
        <f>G524/(100-BE524)*100</f>
        <v>0</v>
      </c>
      <c r="BE524" s="31">
        <v>0</v>
      </c>
      <c r="BF524" s="31">
        <f>524</f>
        <v>524</v>
      </c>
      <c r="BH524" s="31">
        <f>F524*AO524</f>
        <v>0</v>
      </c>
      <c r="BI524" s="31">
        <f>F524*AP524</f>
        <v>0</v>
      </c>
      <c r="BJ524" s="31">
        <f>F524*G524</f>
        <v>0</v>
      </c>
      <c r="BK524" s="34" t="s">
        <v>64</v>
      </c>
      <c r="BL524" s="31">
        <v>783</v>
      </c>
      <c r="BW524" s="31">
        <v>21</v>
      </c>
      <c r="BX524" s="5" t="s">
        <v>607</v>
      </c>
    </row>
    <row r="525" spans="1:76" x14ac:dyDescent="0.25">
      <c r="A525" s="35"/>
      <c r="C525" s="36" t="s">
        <v>873</v>
      </c>
      <c r="D525" s="36" t="s">
        <v>874</v>
      </c>
      <c r="F525" s="37">
        <v>1.53</v>
      </c>
      <c r="K525" s="38"/>
    </row>
    <row r="526" spans="1:76" x14ac:dyDescent="0.25">
      <c r="A526" s="35"/>
      <c r="C526" s="36" t="s">
        <v>967</v>
      </c>
      <c r="D526" s="36" t="s">
        <v>968</v>
      </c>
      <c r="F526" s="37">
        <v>0.8</v>
      </c>
      <c r="K526" s="38"/>
    </row>
    <row r="527" spans="1:76" x14ac:dyDescent="0.25">
      <c r="A527" s="2" t="s">
        <v>969</v>
      </c>
      <c r="B527" s="3" t="s">
        <v>970</v>
      </c>
      <c r="C527" s="112" t="s">
        <v>971</v>
      </c>
      <c r="D527" s="107"/>
      <c r="E527" s="3" t="s">
        <v>59</v>
      </c>
      <c r="F527" s="31">
        <v>1.53</v>
      </c>
      <c r="G527" s="32">
        <v>0</v>
      </c>
      <c r="H527" s="31">
        <f>ROUND(F527*AO527,2)</f>
        <v>0</v>
      </c>
      <c r="I527" s="31">
        <f>ROUND(F527*AP527,2)</f>
        <v>0</v>
      </c>
      <c r="J527" s="31">
        <f>ROUND(F527*G527,2)</f>
        <v>0</v>
      </c>
      <c r="K527" s="33" t="s">
        <v>60</v>
      </c>
      <c r="Z527" s="31">
        <f>ROUND(IF(AQ527="5",BJ527,0),2)</f>
        <v>0</v>
      </c>
      <c r="AB527" s="31">
        <f>ROUND(IF(AQ527="1",BH527,0),2)</f>
        <v>0</v>
      </c>
      <c r="AC527" s="31">
        <f>ROUND(IF(AQ527="1",BI527,0),2)</f>
        <v>0</v>
      </c>
      <c r="AD527" s="31">
        <f>ROUND(IF(AQ527="7",BH527,0),2)</f>
        <v>0</v>
      </c>
      <c r="AE527" s="31">
        <f>ROUND(IF(AQ527="7",BI527,0),2)</f>
        <v>0</v>
      </c>
      <c r="AF527" s="31">
        <f>ROUND(IF(AQ527="2",BH527,0),2)</f>
        <v>0</v>
      </c>
      <c r="AG527" s="31">
        <f>ROUND(IF(AQ527="2",BI527,0),2)</f>
        <v>0</v>
      </c>
      <c r="AH527" s="31">
        <f>ROUND(IF(AQ527="0",BJ527,0),2)</f>
        <v>0</v>
      </c>
      <c r="AI527" s="11" t="s">
        <v>66</v>
      </c>
      <c r="AJ527" s="31">
        <f>IF(AN527=0,J527,0)</f>
        <v>0</v>
      </c>
      <c r="AK527" s="31">
        <f>IF(AN527=12,J527,0)</f>
        <v>0</v>
      </c>
      <c r="AL527" s="31">
        <f>IF(AN527=21,J527,0)</f>
        <v>0</v>
      </c>
      <c r="AN527" s="31">
        <v>21</v>
      </c>
      <c r="AO527" s="31">
        <f>G527*0.383969231</f>
        <v>0</v>
      </c>
      <c r="AP527" s="31">
        <f>G527*(1-0.383969231)</f>
        <v>0</v>
      </c>
      <c r="AQ527" s="34" t="s">
        <v>101</v>
      </c>
      <c r="AV527" s="31">
        <f>ROUND(AW527+AX527,2)</f>
        <v>0</v>
      </c>
      <c r="AW527" s="31">
        <f>ROUND(F527*AO527,2)</f>
        <v>0</v>
      </c>
      <c r="AX527" s="31">
        <f>ROUND(F527*AP527,2)</f>
        <v>0</v>
      </c>
      <c r="AY527" s="34" t="s">
        <v>608</v>
      </c>
      <c r="AZ527" s="34" t="s">
        <v>966</v>
      </c>
      <c r="BA527" s="11" t="s">
        <v>807</v>
      </c>
      <c r="BC527" s="31">
        <f>AW527+AX527</f>
        <v>0</v>
      </c>
      <c r="BD527" s="31">
        <f>G527/(100-BE527)*100</f>
        <v>0</v>
      </c>
      <c r="BE527" s="31">
        <v>0</v>
      </c>
      <c r="BF527" s="31">
        <f>527</f>
        <v>527</v>
      </c>
      <c r="BH527" s="31">
        <f>F527*AO527</f>
        <v>0</v>
      </c>
      <c r="BI527" s="31">
        <f>F527*AP527</f>
        <v>0</v>
      </c>
      <c r="BJ527" s="31">
        <f>F527*G527</f>
        <v>0</v>
      </c>
      <c r="BK527" s="34" t="s">
        <v>64</v>
      </c>
      <c r="BL527" s="31">
        <v>783</v>
      </c>
      <c r="BW527" s="31">
        <v>21</v>
      </c>
      <c r="BX527" s="5" t="s">
        <v>971</v>
      </c>
    </row>
    <row r="528" spans="1:76" x14ac:dyDescent="0.25">
      <c r="A528" s="35"/>
      <c r="C528" s="36" t="s">
        <v>873</v>
      </c>
      <c r="D528" s="36" t="s">
        <v>874</v>
      </c>
      <c r="F528" s="37">
        <v>1.53</v>
      </c>
      <c r="K528" s="38"/>
    </row>
    <row r="529" spans="1:76" x14ac:dyDescent="0.25">
      <c r="A529" s="2" t="s">
        <v>972</v>
      </c>
      <c r="B529" s="3" t="s">
        <v>973</v>
      </c>
      <c r="C529" s="112" t="s">
        <v>974</v>
      </c>
      <c r="D529" s="107"/>
      <c r="E529" s="3" t="s">
        <v>215</v>
      </c>
      <c r="F529" s="31">
        <v>0.8</v>
      </c>
      <c r="G529" s="32">
        <v>0</v>
      </c>
      <c r="H529" s="31">
        <f>ROUND(F529*AO529,2)</f>
        <v>0</v>
      </c>
      <c r="I529" s="31">
        <f>ROUND(F529*AP529,2)</f>
        <v>0</v>
      </c>
      <c r="J529" s="31">
        <f>ROUND(F529*G529,2)</f>
        <v>0</v>
      </c>
      <c r="K529" s="33" t="s">
        <v>60</v>
      </c>
      <c r="Z529" s="31">
        <f>ROUND(IF(AQ529="5",BJ529,0),2)</f>
        <v>0</v>
      </c>
      <c r="AB529" s="31">
        <f>ROUND(IF(AQ529="1",BH529,0),2)</f>
        <v>0</v>
      </c>
      <c r="AC529" s="31">
        <f>ROUND(IF(AQ529="1",BI529,0),2)</f>
        <v>0</v>
      </c>
      <c r="AD529" s="31">
        <f>ROUND(IF(AQ529="7",BH529,0),2)</f>
        <v>0</v>
      </c>
      <c r="AE529" s="31">
        <f>ROUND(IF(AQ529="7",BI529,0),2)</f>
        <v>0</v>
      </c>
      <c r="AF529" s="31">
        <f>ROUND(IF(AQ529="2",BH529,0),2)</f>
        <v>0</v>
      </c>
      <c r="AG529" s="31">
        <f>ROUND(IF(AQ529="2",BI529,0),2)</f>
        <v>0</v>
      </c>
      <c r="AH529" s="31">
        <f>ROUND(IF(AQ529="0",BJ529,0),2)</f>
        <v>0</v>
      </c>
      <c r="AI529" s="11" t="s">
        <v>66</v>
      </c>
      <c r="AJ529" s="31">
        <f>IF(AN529=0,J529,0)</f>
        <v>0</v>
      </c>
      <c r="AK529" s="31">
        <f>IF(AN529=12,J529,0)</f>
        <v>0</v>
      </c>
      <c r="AL529" s="31">
        <f>IF(AN529=21,J529,0)</f>
        <v>0</v>
      </c>
      <c r="AN529" s="31">
        <v>21</v>
      </c>
      <c r="AO529" s="31">
        <f>G529*0.196176093</f>
        <v>0</v>
      </c>
      <c r="AP529" s="31">
        <f>G529*(1-0.196176093)</f>
        <v>0</v>
      </c>
      <c r="AQ529" s="34" t="s">
        <v>101</v>
      </c>
      <c r="AV529" s="31">
        <f>ROUND(AW529+AX529,2)</f>
        <v>0</v>
      </c>
      <c r="AW529" s="31">
        <f>ROUND(F529*AO529,2)</f>
        <v>0</v>
      </c>
      <c r="AX529" s="31">
        <f>ROUND(F529*AP529,2)</f>
        <v>0</v>
      </c>
      <c r="AY529" s="34" t="s">
        <v>608</v>
      </c>
      <c r="AZ529" s="34" t="s">
        <v>966</v>
      </c>
      <c r="BA529" s="11" t="s">
        <v>807</v>
      </c>
      <c r="BC529" s="31">
        <f>AW529+AX529</f>
        <v>0</v>
      </c>
      <c r="BD529" s="31">
        <f>G529/(100-BE529)*100</f>
        <v>0</v>
      </c>
      <c r="BE529" s="31">
        <v>0</v>
      </c>
      <c r="BF529" s="31">
        <f>529</f>
        <v>529</v>
      </c>
      <c r="BH529" s="31">
        <f>F529*AO529</f>
        <v>0</v>
      </c>
      <c r="BI529" s="31">
        <f>F529*AP529</f>
        <v>0</v>
      </c>
      <c r="BJ529" s="31">
        <f>F529*G529</f>
        <v>0</v>
      </c>
      <c r="BK529" s="34" t="s">
        <v>64</v>
      </c>
      <c r="BL529" s="31">
        <v>783</v>
      </c>
      <c r="BW529" s="31">
        <v>21</v>
      </c>
      <c r="BX529" s="5" t="s">
        <v>974</v>
      </c>
    </row>
    <row r="530" spans="1:76" x14ac:dyDescent="0.25">
      <c r="A530" s="35"/>
      <c r="C530" s="36" t="s">
        <v>967</v>
      </c>
      <c r="D530" s="36" t="s">
        <v>968</v>
      </c>
      <c r="F530" s="37">
        <v>0.8</v>
      </c>
      <c r="K530" s="38"/>
    </row>
    <row r="531" spans="1:76" x14ac:dyDescent="0.25">
      <c r="A531" s="26" t="s">
        <v>52</v>
      </c>
      <c r="B531" s="27" t="s">
        <v>605</v>
      </c>
      <c r="C531" s="133" t="s">
        <v>688</v>
      </c>
      <c r="D531" s="134"/>
      <c r="E531" s="28" t="s">
        <v>4</v>
      </c>
      <c r="F531" s="28" t="s">
        <v>4</v>
      </c>
      <c r="G531" s="29" t="s">
        <v>4</v>
      </c>
      <c r="H531" s="1">
        <f>SUM(H532:H532)</f>
        <v>0</v>
      </c>
      <c r="I531" s="1">
        <f>SUM(I532:I532)</f>
        <v>0</v>
      </c>
      <c r="J531" s="1">
        <f>SUM(J532:J532)</f>
        <v>0</v>
      </c>
      <c r="K531" s="30" t="s">
        <v>52</v>
      </c>
      <c r="AI531" s="11" t="s">
        <v>66</v>
      </c>
      <c r="AS531" s="1">
        <f>SUM(AJ532:AJ532)</f>
        <v>0</v>
      </c>
      <c r="AT531" s="1">
        <f>SUM(AK532:AK532)</f>
        <v>0</v>
      </c>
      <c r="AU531" s="1">
        <f>SUM(AL532:AL532)</f>
        <v>0</v>
      </c>
    </row>
    <row r="532" spans="1:76" x14ac:dyDescent="0.25">
      <c r="A532" s="2" t="s">
        <v>975</v>
      </c>
      <c r="B532" s="3" t="s">
        <v>976</v>
      </c>
      <c r="C532" s="112" t="s">
        <v>977</v>
      </c>
      <c r="D532" s="107"/>
      <c r="E532" s="3" t="s">
        <v>59</v>
      </c>
      <c r="F532" s="31">
        <v>4.5</v>
      </c>
      <c r="G532" s="32">
        <v>0</v>
      </c>
      <c r="H532" s="31">
        <f>ROUND(F532*AO532,2)</f>
        <v>0</v>
      </c>
      <c r="I532" s="31">
        <f>ROUND(F532*AP532,2)</f>
        <v>0</v>
      </c>
      <c r="J532" s="31">
        <f>ROUND(F532*G532,2)</f>
        <v>0</v>
      </c>
      <c r="K532" s="33" t="s">
        <v>60</v>
      </c>
      <c r="Z532" s="31">
        <f>ROUND(IF(AQ532="5",BJ532,0),2)</f>
        <v>0</v>
      </c>
      <c r="AB532" s="31">
        <f>ROUND(IF(AQ532="1",BH532,0),2)</f>
        <v>0</v>
      </c>
      <c r="AC532" s="31">
        <f>ROUND(IF(AQ532="1",BI532,0),2)</f>
        <v>0</v>
      </c>
      <c r="AD532" s="31">
        <f>ROUND(IF(AQ532="7",BH532,0),2)</f>
        <v>0</v>
      </c>
      <c r="AE532" s="31">
        <f>ROUND(IF(AQ532="7",BI532,0),2)</f>
        <v>0</v>
      </c>
      <c r="AF532" s="31">
        <f>ROUND(IF(AQ532="2",BH532,0),2)</f>
        <v>0</v>
      </c>
      <c r="AG532" s="31">
        <f>ROUND(IF(AQ532="2",BI532,0),2)</f>
        <v>0</v>
      </c>
      <c r="AH532" s="31">
        <f>ROUND(IF(AQ532="0",BJ532,0),2)</f>
        <v>0</v>
      </c>
      <c r="AI532" s="11" t="s">
        <v>66</v>
      </c>
      <c r="AJ532" s="31">
        <f>IF(AN532=0,J532,0)</f>
        <v>0</v>
      </c>
      <c r="AK532" s="31">
        <f>IF(AN532=12,J532,0)</f>
        <v>0</v>
      </c>
      <c r="AL532" s="31">
        <f>IF(AN532=21,J532,0)</f>
        <v>0</v>
      </c>
      <c r="AN532" s="31">
        <v>21</v>
      </c>
      <c r="AO532" s="31">
        <f>G532*0.309858757</f>
        <v>0</v>
      </c>
      <c r="AP532" s="31">
        <f>G532*(1-0.309858757)</f>
        <v>0</v>
      </c>
      <c r="AQ532" s="34" t="s">
        <v>56</v>
      </c>
      <c r="AV532" s="31">
        <f>ROUND(AW532+AX532,2)</f>
        <v>0</v>
      </c>
      <c r="AW532" s="31">
        <f>ROUND(F532*AO532,2)</f>
        <v>0</v>
      </c>
      <c r="AX532" s="31">
        <f>ROUND(F532*AP532,2)</f>
        <v>0</v>
      </c>
      <c r="AY532" s="34" t="s">
        <v>692</v>
      </c>
      <c r="AZ532" s="34" t="s">
        <v>978</v>
      </c>
      <c r="BA532" s="11" t="s">
        <v>807</v>
      </c>
      <c r="BC532" s="31">
        <f>AW532+AX532</f>
        <v>0</v>
      </c>
      <c r="BD532" s="31">
        <f>G532/(100-BE532)*100</f>
        <v>0</v>
      </c>
      <c r="BE532" s="31">
        <v>0</v>
      </c>
      <c r="BF532" s="31">
        <f>532</f>
        <v>532</v>
      </c>
      <c r="BH532" s="31">
        <f>F532*AO532</f>
        <v>0</v>
      </c>
      <c r="BI532" s="31">
        <f>F532*AP532</f>
        <v>0</v>
      </c>
      <c r="BJ532" s="31">
        <f>F532*G532</f>
        <v>0</v>
      </c>
      <c r="BK532" s="34" t="s">
        <v>64</v>
      </c>
      <c r="BL532" s="31">
        <v>94</v>
      </c>
      <c r="BW532" s="31">
        <v>21</v>
      </c>
      <c r="BX532" s="5" t="s">
        <v>977</v>
      </c>
    </row>
    <row r="533" spans="1:76" x14ac:dyDescent="0.25">
      <c r="A533" s="35"/>
      <c r="C533" s="36" t="s">
        <v>979</v>
      </c>
      <c r="D533" s="36" t="s">
        <v>52</v>
      </c>
      <c r="F533" s="37">
        <v>4.5</v>
      </c>
      <c r="K533" s="38"/>
    </row>
    <row r="534" spans="1:76" x14ac:dyDescent="0.25">
      <c r="A534" s="26" t="s">
        <v>52</v>
      </c>
      <c r="B534" s="27" t="s">
        <v>771</v>
      </c>
      <c r="C534" s="133" t="s">
        <v>772</v>
      </c>
      <c r="D534" s="134"/>
      <c r="E534" s="28" t="s">
        <v>4</v>
      </c>
      <c r="F534" s="28" t="s">
        <v>4</v>
      </c>
      <c r="G534" s="29" t="s">
        <v>4</v>
      </c>
      <c r="H534" s="1">
        <f>SUM(H535:H535)</f>
        <v>0</v>
      </c>
      <c r="I534" s="1">
        <f>SUM(I535:I535)</f>
        <v>0</v>
      </c>
      <c r="J534" s="1">
        <f>SUM(J535:J535)</f>
        <v>0</v>
      </c>
      <c r="K534" s="30" t="s">
        <v>52</v>
      </c>
      <c r="AI534" s="11" t="s">
        <v>66</v>
      </c>
      <c r="AS534" s="1">
        <f>SUM(AJ535:AJ535)</f>
        <v>0</v>
      </c>
      <c r="AT534" s="1">
        <f>SUM(AK535:AK535)</f>
        <v>0</v>
      </c>
      <c r="AU534" s="1">
        <f>SUM(AL535:AL535)</f>
        <v>0</v>
      </c>
    </row>
    <row r="535" spans="1:76" x14ac:dyDescent="0.25">
      <c r="A535" s="2" t="s">
        <v>980</v>
      </c>
      <c r="B535" s="3" t="s">
        <v>774</v>
      </c>
      <c r="C535" s="112" t="s">
        <v>775</v>
      </c>
      <c r="D535" s="107"/>
      <c r="E535" s="3" t="s">
        <v>276</v>
      </c>
      <c r="F535" s="31">
        <v>9.7000000000000005E-4</v>
      </c>
      <c r="G535" s="32">
        <v>0</v>
      </c>
      <c r="H535" s="31">
        <f>ROUND(F535*AO535,2)</f>
        <v>0</v>
      </c>
      <c r="I535" s="31">
        <f>ROUND(F535*AP535,2)</f>
        <v>0</v>
      </c>
      <c r="J535" s="31">
        <f>ROUND(F535*G535,2)</f>
        <v>0</v>
      </c>
      <c r="K535" s="33" t="s">
        <v>60</v>
      </c>
      <c r="Z535" s="31">
        <f>ROUND(IF(AQ535="5",BJ535,0),2)</f>
        <v>0</v>
      </c>
      <c r="AB535" s="31">
        <f>ROUND(IF(AQ535="1",BH535,0),2)</f>
        <v>0</v>
      </c>
      <c r="AC535" s="31">
        <f>ROUND(IF(AQ535="1",BI535,0),2)</f>
        <v>0</v>
      </c>
      <c r="AD535" s="31">
        <f>ROUND(IF(AQ535="7",BH535,0),2)</f>
        <v>0</v>
      </c>
      <c r="AE535" s="31">
        <f>ROUND(IF(AQ535="7",BI535,0),2)</f>
        <v>0</v>
      </c>
      <c r="AF535" s="31">
        <f>ROUND(IF(AQ535="2",BH535,0),2)</f>
        <v>0</v>
      </c>
      <c r="AG535" s="31">
        <f>ROUND(IF(AQ535="2",BI535,0),2)</f>
        <v>0</v>
      </c>
      <c r="AH535" s="31">
        <f>ROUND(IF(AQ535="0",BJ535,0),2)</f>
        <v>0</v>
      </c>
      <c r="AI535" s="11" t="s">
        <v>66</v>
      </c>
      <c r="AJ535" s="31">
        <f>IF(AN535=0,J535,0)</f>
        <v>0</v>
      </c>
      <c r="AK535" s="31">
        <f>IF(AN535=12,J535,0)</f>
        <v>0</v>
      </c>
      <c r="AL535" s="31">
        <f>IF(AN535=21,J535,0)</f>
        <v>0</v>
      </c>
      <c r="AN535" s="31">
        <v>21</v>
      </c>
      <c r="AO535" s="31">
        <f>G535*0</f>
        <v>0</v>
      </c>
      <c r="AP535" s="31">
        <f>G535*(1-0)</f>
        <v>0</v>
      </c>
      <c r="AQ535" s="34" t="s">
        <v>85</v>
      </c>
      <c r="AV535" s="31">
        <f>ROUND(AW535+AX535,2)</f>
        <v>0</v>
      </c>
      <c r="AW535" s="31">
        <f>ROUND(F535*AO535,2)</f>
        <v>0</v>
      </c>
      <c r="AX535" s="31">
        <f>ROUND(F535*AP535,2)</f>
        <v>0</v>
      </c>
      <c r="AY535" s="34" t="s">
        <v>776</v>
      </c>
      <c r="AZ535" s="34" t="s">
        <v>978</v>
      </c>
      <c r="BA535" s="11" t="s">
        <v>807</v>
      </c>
      <c r="BC535" s="31">
        <f>AW535+AX535</f>
        <v>0</v>
      </c>
      <c r="BD535" s="31">
        <f>G535/(100-BE535)*100</f>
        <v>0</v>
      </c>
      <c r="BE535" s="31">
        <v>0</v>
      </c>
      <c r="BF535" s="31">
        <f>535</f>
        <v>535</v>
      </c>
      <c r="BH535" s="31">
        <f>F535*AO535</f>
        <v>0</v>
      </c>
      <c r="BI535" s="31">
        <f>F535*AP535</f>
        <v>0</v>
      </c>
      <c r="BJ535" s="31">
        <f>F535*G535</f>
        <v>0</v>
      </c>
      <c r="BK535" s="34" t="s">
        <v>64</v>
      </c>
      <c r="BL535" s="31"/>
      <c r="BW535" s="31">
        <v>21</v>
      </c>
      <c r="BX535" s="5" t="s">
        <v>775</v>
      </c>
    </row>
    <row r="536" spans="1:76" x14ac:dyDescent="0.25">
      <c r="A536" s="26" t="s">
        <v>52</v>
      </c>
      <c r="B536" s="27" t="s">
        <v>981</v>
      </c>
      <c r="C536" s="133" t="s">
        <v>982</v>
      </c>
      <c r="D536" s="134"/>
      <c r="E536" s="28" t="s">
        <v>4</v>
      </c>
      <c r="F536" s="28" t="s">
        <v>4</v>
      </c>
      <c r="G536" s="29" t="s">
        <v>4</v>
      </c>
      <c r="H536" s="1">
        <f>SUM(H537:H537)</f>
        <v>0</v>
      </c>
      <c r="I536" s="1">
        <f>SUM(I537:I537)</f>
        <v>0</v>
      </c>
      <c r="J536" s="1">
        <f>SUM(J537:J537)</f>
        <v>0</v>
      </c>
      <c r="K536" s="30" t="s">
        <v>52</v>
      </c>
      <c r="AI536" s="11" t="s">
        <v>66</v>
      </c>
      <c r="AS536" s="1">
        <f>SUM(AJ537:AJ537)</f>
        <v>0</v>
      </c>
      <c r="AT536" s="1">
        <f>SUM(AK537:AK537)</f>
        <v>0</v>
      </c>
      <c r="AU536" s="1">
        <f>SUM(AL537:AL537)</f>
        <v>0</v>
      </c>
    </row>
    <row r="537" spans="1:76" x14ac:dyDescent="0.25">
      <c r="A537" s="2" t="s">
        <v>983</v>
      </c>
      <c r="B537" s="3" t="s">
        <v>984</v>
      </c>
      <c r="C537" s="112" t="s">
        <v>985</v>
      </c>
      <c r="D537" s="107"/>
      <c r="E537" s="3" t="s">
        <v>81</v>
      </c>
      <c r="F537" s="31">
        <v>2</v>
      </c>
      <c r="G537" s="32">
        <v>0</v>
      </c>
      <c r="H537" s="31">
        <f>ROUND(F537*AO537,2)</f>
        <v>0</v>
      </c>
      <c r="I537" s="31">
        <f>ROUND(F537*AP537,2)</f>
        <v>0</v>
      </c>
      <c r="J537" s="31">
        <f>ROUND(F537*G537,2)</f>
        <v>0</v>
      </c>
      <c r="K537" s="33" t="s">
        <v>60</v>
      </c>
      <c r="Z537" s="31">
        <f>ROUND(IF(AQ537="5",BJ537,0),2)</f>
        <v>0</v>
      </c>
      <c r="AB537" s="31">
        <f>ROUND(IF(AQ537="1",BH537,0),2)</f>
        <v>0</v>
      </c>
      <c r="AC537" s="31">
        <f>ROUND(IF(AQ537="1",BI537,0),2)</f>
        <v>0</v>
      </c>
      <c r="AD537" s="31">
        <f>ROUND(IF(AQ537="7",BH537,0),2)</f>
        <v>0</v>
      </c>
      <c r="AE537" s="31">
        <f>ROUND(IF(AQ537="7",BI537,0),2)</f>
        <v>0</v>
      </c>
      <c r="AF537" s="31">
        <f>ROUND(IF(AQ537="2",BH537,0),2)</f>
        <v>0</v>
      </c>
      <c r="AG537" s="31">
        <f>ROUND(IF(AQ537="2",BI537,0),2)</f>
        <v>0</v>
      </c>
      <c r="AH537" s="31">
        <f>ROUND(IF(AQ537="0",BJ537,0),2)</f>
        <v>0</v>
      </c>
      <c r="AI537" s="11" t="s">
        <v>66</v>
      </c>
      <c r="AJ537" s="31">
        <f>IF(AN537=0,J537,0)</f>
        <v>0</v>
      </c>
      <c r="AK537" s="31">
        <f>IF(AN537=12,J537,0)</f>
        <v>0</v>
      </c>
      <c r="AL537" s="31">
        <f>IF(AN537=21,J537,0)</f>
        <v>0</v>
      </c>
      <c r="AN537" s="31">
        <v>21</v>
      </c>
      <c r="AO537" s="31">
        <f>G537*0</f>
        <v>0</v>
      </c>
      <c r="AP537" s="31">
        <f>G537*(1-0)</f>
        <v>0</v>
      </c>
      <c r="AQ537" s="34" t="s">
        <v>66</v>
      </c>
      <c r="AV537" s="31">
        <f>ROUND(AW537+AX537,2)</f>
        <v>0</v>
      </c>
      <c r="AW537" s="31">
        <f>ROUND(F537*AO537,2)</f>
        <v>0</v>
      </c>
      <c r="AX537" s="31">
        <f>ROUND(F537*AP537,2)</f>
        <v>0</v>
      </c>
      <c r="AY537" s="34" t="s">
        <v>986</v>
      </c>
      <c r="AZ537" s="34" t="s">
        <v>978</v>
      </c>
      <c r="BA537" s="11" t="s">
        <v>807</v>
      </c>
      <c r="BC537" s="31">
        <f>AW537+AX537</f>
        <v>0</v>
      </c>
      <c r="BD537" s="31">
        <f>G537/(100-BE537)*100</f>
        <v>0</v>
      </c>
      <c r="BE537" s="31">
        <v>0</v>
      </c>
      <c r="BF537" s="31">
        <f>537</f>
        <v>537</v>
      </c>
      <c r="BH537" s="31">
        <f>F537*AO537</f>
        <v>0</v>
      </c>
      <c r="BI537" s="31">
        <f>F537*AP537</f>
        <v>0</v>
      </c>
      <c r="BJ537" s="31">
        <f>F537*G537</f>
        <v>0</v>
      </c>
      <c r="BK537" s="34" t="s">
        <v>64</v>
      </c>
      <c r="BL537" s="31"/>
      <c r="BW537" s="31">
        <v>21</v>
      </c>
      <c r="BX537" s="5" t="s">
        <v>985</v>
      </c>
    </row>
    <row r="538" spans="1:76" x14ac:dyDescent="0.25">
      <c r="A538" s="26" t="s">
        <v>52</v>
      </c>
      <c r="B538" s="27" t="s">
        <v>777</v>
      </c>
      <c r="C538" s="133" t="s">
        <v>778</v>
      </c>
      <c r="D538" s="134"/>
      <c r="E538" s="28" t="s">
        <v>4</v>
      </c>
      <c r="F538" s="28" t="s">
        <v>4</v>
      </c>
      <c r="G538" s="29" t="s">
        <v>4</v>
      </c>
      <c r="H538" s="1">
        <f>SUM(H539:H545)</f>
        <v>0</v>
      </c>
      <c r="I538" s="1">
        <f>SUM(I539:I545)</f>
        <v>0</v>
      </c>
      <c r="J538" s="1">
        <f>SUM(J539:J545)</f>
        <v>0</v>
      </c>
      <c r="K538" s="30" t="s">
        <v>52</v>
      </c>
      <c r="AI538" s="11" t="s">
        <v>66</v>
      </c>
      <c r="AS538" s="1">
        <f>SUM(AJ539:AJ545)</f>
        <v>0</v>
      </c>
      <c r="AT538" s="1">
        <f>SUM(AK539:AK545)</f>
        <v>0</v>
      </c>
      <c r="AU538" s="1">
        <f>SUM(AL539:AL545)</f>
        <v>0</v>
      </c>
    </row>
    <row r="539" spans="1:76" x14ac:dyDescent="0.25">
      <c r="A539" s="2" t="s">
        <v>987</v>
      </c>
      <c r="B539" s="3" t="s">
        <v>780</v>
      </c>
      <c r="C539" s="112" t="s">
        <v>781</v>
      </c>
      <c r="D539" s="107"/>
      <c r="E539" s="3" t="s">
        <v>276</v>
      </c>
      <c r="F539" s="31">
        <v>0.12035999999999999</v>
      </c>
      <c r="G539" s="32">
        <v>0</v>
      </c>
      <c r="H539" s="31">
        <f>ROUND(F539*AO539,2)</f>
        <v>0</v>
      </c>
      <c r="I539" s="31">
        <f>ROUND(F539*AP539,2)</f>
        <v>0</v>
      </c>
      <c r="J539" s="31">
        <f>ROUND(F539*G539,2)</f>
        <v>0</v>
      </c>
      <c r="K539" s="33" t="s">
        <v>60</v>
      </c>
      <c r="Z539" s="31">
        <f>ROUND(IF(AQ539="5",BJ539,0),2)</f>
        <v>0</v>
      </c>
      <c r="AB539" s="31">
        <f>ROUND(IF(AQ539="1",BH539,0),2)</f>
        <v>0</v>
      </c>
      <c r="AC539" s="31">
        <f>ROUND(IF(AQ539="1",BI539,0),2)</f>
        <v>0</v>
      </c>
      <c r="AD539" s="31">
        <f>ROUND(IF(AQ539="7",BH539,0),2)</f>
        <v>0</v>
      </c>
      <c r="AE539" s="31">
        <f>ROUND(IF(AQ539="7",BI539,0),2)</f>
        <v>0</v>
      </c>
      <c r="AF539" s="31">
        <f>ROUND(IF(AQ539="2",BH539,0),2)</f>
        <v>0</v>
      </c>
      <c r="AG539" s="31">
        <f>ROUND(IF(AQ539="2",BI539,0),2)</f>
        <v>0</v>
      </c>
      <c r="AH539" s="31">
        <f>ROUND(IF(AQ539="0",BJ539,0),2)</f>
        <v>0</v>
      </c>
      <c r="AI539" s="11" t="s">
        <v>66</v>
      </c>
      <c r="AJ539" s="31">
        <f>IF(AN539=0,J539,0)</f>
        <v>0</v>
      </c>
      <c r="AK539" s="31">
        <f>IF(AN539=12,J539,0)</f>
        <v>0</v>
      </c>
      <c r="AL539" s="31">
        <f>IF(AN539=21,J539,0)</f>
        <v>0</v>
      </c>
      <c r="AN539" s="31">
        <v>21</v>
      </c>
      <c r="AO539" s="31">
        <f>G539*0</f>
        <v>0</v>
      </c>
      <c r="AP539" s="31">
        <f>G539*(1-0)</f>
        <v>0</v>
      </c>
      <c r="AQ539" s="34" t="s">
        <v>85</v>
      </c>
      <c r="AV539" s="31">
        <f>ROUND(AW539+AX539,2)</f>
        <v>0</v>
      </c>
      <c r="AW539" s="31">
        <f>ROUND(F539*AO539,2)</f>
        <v>0</v>
      </c>
      <c r="AX539" s="31">
        <f>ROUND(F539*AP539,2)</f>
        <v>0</v>
      </c>
      <c r="AY539" s="34" t="s">
        <v>782</v>
      </c>
      <c r="AZ539" s="34" t="s">
        <v>978</v>
      </c>
      <c r="BA539" s="11" t="s">
        <v>807</v>
      </c>
      <c r="BC539" s="31">
        <f>AW539+AX539</f>
        <v>0</v>
      </c>
      <c r="BD539" s="31">
        <f>G539/(100-BE539)*100</f>
        <v>0</v>
      </c>
      <c r="BE539" s="31">
        <v>0</v>
      </c>
      <c r="BF539" s="31">
        <f>539</f>
        <v>539</v>
      </c>
      <c r="BH539" s="31">
        <f>F539*AO539</f>
        <v>0</v>
      </c>
      <c r="BI539" s="31">
        <f>F539*AP539</f>
        <v>0</v>
      </c>
      <c r="BJ539" s="31">
        <f>F539*G539</f>
        <v>0</v>
      </c>
      <c r="BK539" s="34" t="s">
        <v>64</v>
      </c>
      <c r="BL539" s="31"/>
      <c r="BW539" s="31">
        <v>21</v>
      </c>
      <c r="BX539" s="5" t="s">
        <v>781</v>
      </c>
    </row>
    <row r="540" spans="1:76" x14ac:dyDescent="0.25">
      <c r="A540" s="2" t="s">
        <v>988</v>
      </c>
      <c r="B540" s="3" t="s">
        <v>784</v>
      </c>
      <c r="C540" s="112" t="s">
        <v>785</v>
      </c>
      <c r="D540" s="107"/>
      <c r="E540" s="3" t="s">
        <v>276</v>
      </c>
      <c r="F540" s="31">
        <v>1.8053999999999999</v>
      </c>
      <c r="G540" s="32">
        <v>0</v>
      </c>
      <c r="H540" s="31">
        <f>ROUND(F540*AO540,2)</f>
        <v>0</v>
      </c>
      <c r="I540" s="31">
        <f>ROUND(F540*AP540,2)</f>
        <v>0</v>
      </c>
      <c r="J540" s="31">
        <f>ROUND(F540*G540,2)</f>
        <v>0</v>
      </c>
      <c r="K540" s="33" t="s">
        <v>60</v>
      </c>
      <c r="Z540" s="31">
        <f>ROUND(IF(AQ540="5",BJ540,0),2)</f>
        <v>0</v>
      </c>
      <c r="AB540" s="31">
        <f>ROUND(IF(AQ540="1",BH540,0),2)</f>
        <v>0</v>
      </c>
      <c r="AC540" s="31">
        <f>ROUND(IF(AQ540="1",BI540,0),2)</f>
        <v>0</v>
      </c>
      <c r="AD540" s="31">
        <f>ROUND(IF(AQ540="7",BH540,0),2)</f>
        <v>0</v>
      </c>
      <c r="AE540" s="31">
        <f>ROUND(IF(AQ540="7",BI540,0),2)</f>
        <v>0</v>
      </c>
      <c r="AF540" s="31">
        <f>ROUND(IF(AQ540="2",BH540,0),2)</f>
        <v>0</v>
      </c>
      <c r="AG540" s="31">
        <f>ROUND(IF(AQ540="2",BI540,0),2)</f>
        <v>0</v>
      </c>
      <c r="AH540" s="31">
        <f>ROUND(IF(AQ540="0",BJ540,0),2)</f>
        <v>0</v>
      </c>
      <c r="AI540" s="11" t="s">
        <v>66</v>
      </c>
      <c r="AJ540" s="31">
        <f>IF(AN540=0,J540,0)</f>
        <v>0</v>
      </c>
      <c r="AK540" s="31">
        <f>IF(AN540=12,J540,0)</f>
        <v>0</v>
      </c>
      <c r="AL540" s="31">
        <f>IF(AN540=21,J540,0)</f>
        <v>0</v>
      </c>
      <c r="AN540" s="31">
        <v>21</v>
      </c>
      <c r="AO540" s="31">
        <f>G540*0</f>
        <v>0</v>
      </c>
      <c r="AP540" s="31">
        <f>G540*(1-0)</f>
        <v>0</v>
      </c>
      <c r="AQ540" s="34" t="s">
        <v>85</v>
      </c>
      <c r="AV540" s="31">
        <f>ROUND(AW540+AX540,2)</f>
        <v>0</v>
      </c>
      <c r="AW540" s="31">
        <f>ROUND(F540*AO540,2)</f>
        <v>0</v>
      </c>
      <c r="AX540" s="31">
        <f>ROUND(F540*AP540,2)</f>
        <v>0</v>
      </c>
      <c r="AY540" s="34" t="s">
        <v>782</v>
      </c>
      <c r="AZ540" s="34" t="s">
        <v>978</v>
      </c>
      <c r="BA540" s="11" t="s">
        <v>807</v>
      </c>
      <c r="BC540" s="31">
        <f>AW540+AX540</f>
        <v>0</v>
      </c>
      <c r="BD540" s="31">
        <f>G540/(100-BE540)*100</f>
        <v>0</v>
      </c>
      <c r="BE540" s="31">
        <v>0</v>
      </c>
      <c r="BF540" s="31">
        <f>540</f>
        <v>540</v>
      </c>
      <c r="BH540" s="31">
        <f>F540*AO540</f>
        <v>0</v>
      </c>
      <c r="BI540" s="31">
        <f>F540*AP540</f>
        <v>0</v>
      </c>
      <c r="BJ540" s="31">
        <f>F540*G540</f>
        <v>0</v>
      </c>
      <c r="BK540" s="34" t="s">
        <v>64</v>
      </c>
      <c r="BL540" s="31"/>
      <c r="BW540" s="31">
        <v>21</v>
      </c>
      <c r="BX540" s="5" t="s">
        <v>785</v>
      </c>
    </row>
    <row r="541" spans="1:76" x14ac:dyDescent="0.25">
      <c r="A541" s="35"/>
      <c r="C541" s="36" t="s">
        <v>989</v>
      </c>
      <c r="D541" s="36" t="s">
        <v>52</v>
      </c>
      <c r="F541" s="37">
        <v>1.8053999999999999</v>
      </c>
      <c r="K541" s="38"/>
    </row>
    <row r="542" spans="1:76" x14ac:dyDescent="0.25">
      <c r="A542" s="2" t="s">
        <v>990</v>
      </c>
      <c r="B542" s="3" t="s">
        <v>788</v>
      </c>
      <c r="C542" s="112" t="s">
        <v>789</v>
      </c>
      <c r="D542" s="107"/>
      <c r="E542" s="3" t="s">
        <v>276</v>
      </c>
      <c r="F542" s="31">
        <v>0.12035999999999999</v>
      </c>
      <c r="G542" s="32">
        <v>0</v>
      </c>
      <c r="H542" s="31">
        <f>ROUND(F542*AO542,2)</f>
        <v>0</v>
      </c>
      <c r="I542" s="31">
        <f>ROUND(F542*AP542,2)</f>
        <v>0</v>
      </c>
      <c r="J542" s="31">
        <f>ROUND(F542*G542,2)</f>
        <v>0</v>
      </c>
      <c r="K542" s="33" t="s">
        <v>60</v>
      </c>
      <c r="Z542" s="31">
        <f>ROUND(IF(AQ542="5",BJ542,0),2)</f>
        <v>0</v>
      </c>
      <c r="AB542" s="31">
        <f>ROUND(IF(AQ542="1",BH542,0),2)</f>
        <v>0</v>
      </c>
      <c r="AC542" s="31">
        <f>ROUND(IF(AQ542="1",BI542,0),2)</f>
        <v>0</v>
      </c>
      <c r="AD542" s="31">
        <f>ROUND(IF(AQ542="7",BH542,0),2)</f>
        <v>0</v>
      </c>
      <c r="AE542" s="31">
        <f>ROUND(IF(AQ542="7",BI542,0),2)</f>
        <v>0</v>
      </c>
      <c r="AF542" s="31">
        <f>ROUND(IF(AQ542="2",BH542,0),2)</f>
        <v>0</v>
      </c>
      <c r="AG542" s="31">
        <f>ROUND(IF(AQ542="2",BI542,0),2)</f>
        <v>0</v>
      </c>
      <c r="AH542" s="31">
        <f>ROUND(IF(AQ542="0",BJ542,0),2)</f>
        <v>0</v>
      </c>
      <c r="AI542" s="11" t="s">
        <v>66</v>
      </c>
      <c r="AJ542" s="31">
        <f>IF(AN542=0,J542,0)</f>
        <v>0</v>
      </c>
      <c r="AK542" s="31">
        <f>IF(AN542=12,J542,0)</f>
        <v>0</v>
      </c>
      <c r="AL542" s="31">
        <f>IF(AN542=21,J542,0)</f>
        <v>0</v>
      </c>
      <c r="AN542" s="31">
        <v>21</v>
      </c>
      <c r="AO542" s="31">
        <f>G542*0</f>
        <v>0</v>
      </c>
      <c r="AP542" s="31">
        <f>G542*(1-0)</f>
        <v>0</v>
      </c>
      <c r="AQ542" s="34" t="s">
        <v>85</v>
      </c>
      <c r="AV542" s="31">
        <f>ROUND(AW542+AX542,2)</f>
        <v>0</v>
      </c>
      <c r="AW542" s="31">
        <f>ROUND(F542*AO542,2)</f>
        <v>0</v>
      </c>
      <c r="AX542" s="31">
        <f>ROUND(F542*AP542,2)</f>
        <v>0</v>
      </c>
      <c r="AY542" s="34" t="s">
        <v>782</v>
      </c>
      <c r="AZ542" s="34" t="s">
        <v>978</v>
      </c>
      <c r="BA542" s="11" t="s">
        <v>807</v>
      </c>
      <c r="BC542" s="31">
        <f>AW542+AX542</f>
        <v>0</v>
      </c>
      <c r="BD542" s="31">
        <f>G542/(100-BE542)*100</f>
        <v>0</v>
      </c>
      <c r="BE542" s="31">
        <v>0</v>
      </c>
      <c r="BF542" s="31">
        <f>542</f>
        <v>542</v>
      </c>
      <c r="BH542" s="31">
        <f>F542*AO542</f>
        <v>0</v>
      </c>
      <c r="BI542" s="31">
        <f>F542*AP542</f>
        <v>0</v>
      </c>
      <c r="BJ542" s="31">
        <f>F542*G542</f>
        <v>0</v>
      </c>
      <c r="BK542" s="34" t="s">
        <v>64</v>
      </c>
      <c r="BL542" s="31"/>
      <c r="BW542" s="31">
        <v>21</v>
      </c>
      <c r="BX542" s="5" t="s">
        <v>789</v>
      </c>
    </row>
    <row r="543" spans="1:76" x14ac:dyDescent="0.25">
      <c r="A543" s="2" t="s">
        <v>991</v>
      </c>
      <c r="B543" s="3" t="s">
        <v>791</v>
      </c>
      <c r="C543" s="112" t="s">
        <v>792</v>
      </c>
      <c r="D543" s="107"/>
      <c r="E543" s="3" t="s">
        <v>276</v>
      </c>
      <c r="F543" s="31">
        <v>0.12035999999999999</v>
      </c>
      <c r="G543" s="32">
        <v>0</v>
      </c>
      <c r="H543" s="31">
        <f>ROUND(F543*AO543,2)</f>
        <v>0</v>
      </c>
      <c r="I543" s="31">
        <f>ROUND(F543*AP543,2)</f>
        <v>0</v>
      </c>
      <c r="J543" s="31">
        <f>ROUND(F543*G543,2)</f>
        <v>0</v>
      </c>
      <c r="K543" s="33" t="s">
        <v>60</v>
      </c>
      <c r="Z543" s="31">
        <f>ROUND(IF(AQ543="5",BJ543,0),2)</f>
        <v>0</v>
      </c>
      <c r="AB543" s="31">
        <f>ROUND(IF(AQ543="1",BH543,0),2)</f>
        <v>0</v>
      </c>
      <c r="AC543" s="31">
        <f>ROUND(IF(AQ543="1",BI543,0),2)</f>
        <v>0</v>
      </c>
      <c r="AD543" s="31">
        <f>ROUND(IF(AQ543="7",BH543,0),2)</f>
        <v>0</v>
      </c>
      <c r="AE543" s="31">
        <f>ROUND(IF(AQ543="7",BI543,0),2)</f>
        <v>0</v>
      </c>
      <c r="AF543" s="31">
        <f>ROUND(IF(AQ543="2",BH543,0),2)</f>
        <v>0</v>
      </c>
      <c r="AG543" s="31">
        <f>ROUND(IF(AQ543="2",BI543,0),2)</f>
        <v>0</v>
      </c>
      <c r="AH543" s="31">
        <f>ROUND(IF(AQ543="0",BJ543,0),2)</f>
        <v>0</v>
      </c>
      <c r="AI543" s="11" t="s">
        <v>66</v>
      </c>
      <c r="AJ543" s="31">
        <f>IF(AN543=0,J543,0)</f>
        <v>0</v>
      </c>
      <c r="AK543" s="31">
        <f>IF(AN543=12,J543,0)</f>
        <v>0</v>
      </c>
      <c r="AL543" s="31">
        <f>IF(AN543=21,J543,0)</f>
        <v>0</v>
      </c>
      <c r="AN543" s="31">
        <v>21</v>
      </c>
      <c r="AO543" s="31">
        <f>G543*0</f>
        <v>0</v>
      </c>
      <c r="AP543" s="31">
        <f>G543*(1-0)</f>
        <v>0</v>
      </c>
      <c r="AQ543" s="34" t="s">
        <v>85</v>
      </c>
      <c r="AV543" s="31">
        <f>ROUND(AW543+AX543,2)</f>
        <v>0</v>
      </c>
      <c r="AW543" s="31">
        <f>ROUND(F543*AO543,2)</f>
        <v>0</v>
      </c>
      <c r="AX543" s="31">
        <f>ROUND(F543*AP543,2)</f>
        <v>0</v>
      </c>
      <c r="AY543" s="34" t="s">
        <v>782</v>
      </c>
      <c r="AZ543" s="34" t="s">
        <v>978</v>
      </c>
      <c r="BA543" s="11" t="s">
        <v>807</v>
      </c>
      <c r="BC543" s="31">
        <f>AW543+AX543</f>
        <v>0</v>
      </c>
      <c r="BD543" s="31">
        <f>G543/(100-BE543)*100</f>
        <v>0</v>
      </c>
      <c r="BE543" s="31">
        <v>0</v>
      </c>
      <c r="BF543" s="31">
        <f>543</f>
        <v>543</v>
      </c>
      <c r="BH543" s="31">
        <f>F543*AO543</f>
        <v>0</v>
      </c>
      <c r="BI543" s="31">
        <f>F543*AP543</f>
        <v>0</v>
      </c>
      <c r="BJ543" s="31">
        <f>F543*G543</f>
        <v>0</v>
      </c>
      <c r="BK543" s="34" t="s">
        <v>64</v>
      </c>
      <c r="BL543" s="31"/>
      <c r="BW543" s="31">
        <v>21</v>
      </c>
      <c r="BX543" s="5" t="s">
        <v>792</v>
      </c>
    </row>
    <row r="544" spans="1:76" x14ac:dyDescent="0.25">
      <c r="A544" s="2" t="s">
        <v>992</v>
      </c>
      <c r="B544" s="3" t="s">
        <v>794</v>
      </c>
      <c r="C544" s="112" t="s">
        <v>795</v>
      </c>
      <c r="D544" s="107"/>
      <c r="E544" s="3" t="s">
        <v>276</v>
      </c>
      <c r="F544" s="31">
        <v>0.12035999999999999</v>
      </c>
      <c r="G544" s="32">
        <v>0</v>
      </c>
      <c r="H544" s="31">
        <f>ROUND(F544*AO544,2)</f>
        <v>0</v>
      </c>
      <c r="I544" s="31">
        <f>ROUND(F544*AP544,2)</f>
        <v>0</v>
      </c>
      <c r="J544" s="31">
        <f>ROUND(F544*G544,2)</f>
        <v>0</v>
      </c>
      <c r="K544" s="33" t="s">
        <v>60</v>
      </c>
      <c r="Z544" s="31">
        <f>ROUND(IF(AQ544="5",BJ544,0),2)</f>
        <v>0</v>
      </c>
      <c r="AB544" s="31">
        <f>ROUND(IF(AQ544="1",BH544,0),2)</f>
        <v>0</v>
      </c>
      <c r="AC544" s="31">
        <f>ROUND(IF(AQ544="1",BI544,0),2)</f>
        <v>0</v>
      </c>
      <c r="AD544" s="31">
        <f>ROUND(IF(AQ544="7",BH544,0),2)</f>
        <v>0</v>
      </c>
      <c r="AE544" s="31">
        <f>ROUND(IF(AQ544="7",BI544,0),2)</f>
        <v>0</v>
      </c>
      <c r="AF544" s="31">
        <f>ROUND(IF(AQ544="2",BH544,0),2)</f>
        <v>0</v>
      </c>
      <c r="AG544" s="31">
        <f>ROUND(IF(AQ544="2",BI544,0),2)</f>
        <v>0</v>
      </c>
      <c r="AH544" s="31">
        <f>ROUND(IF(AQ544="0",BJ544,0),2)</f>
        <v>0</v>
      </c>
      <c r="AI544" s="11" t="s">
        <v>66</v>
      </c>
      <c r="AJ544" s="31">
        <f>IF(AN544=0,J544,0)</f>
        <v>0</v>
      </c>
      <c r="AK544" s="31">
        <f>IF(AN544=12,J544,0)</f>
        <v>0</v>
      </c>
      <c r="AL544" s="31">
        <f>IF(AN544=21,J544,0)</f>
        <v>0</v>
      </c>
      <c r="AN544" s="31">
        <v>21</v>
      </c>
      <c r="AO544" s="31">
        <f>G544*0</f>
        <v>0</v>
      </c>
      <c r="AP544" s="31">
        <f>G544*(1-0)</f>
        <v>0</v>
      </c>
      <c r="AQ544" s="34" t="s">
        <v>85</v>
      </c>
      <c r="AV544" s="31">
        <f>ROUND(AW544+AX544,2)</f>
        <v>0</v>
      </c>
      <c r="AW544" s="31">
        <f>ROUND(F544*AO544,2)</f>
        <v>0</v>
      </c>
      <c r="AX544" s="31">
        <f>ROUND(F544*AP544,2)</f>
        <v>0</v>
      </c>
      <c r="AY544" s="34" t="s">
        <v>782</v>
      </c>
      <c r="AZ544" s="34" t="s">
        <v>978</v>
      </c>
      <c r="BA544" s="11" t="s">
        <v>807</v>
      </c>
      <c r="BC544" s="31">
        <f>AW544+AX544</f>
        <v>0</v>
      </c>
      <c r="BD544" s="31">
        <f>G544/(100-BE544)*100</f>
        <v>0</v>
      </c>
      <c r="BE544" s="31">
        <v>0</v>
      </c>
      <c r="BF544" s="31">
        <f>544</f>
        <v>544</v>
      </c>
      <c r="BH544" s="31">
        <f>F544*AO544</f>
        <v>0</v>
      </c>
      <c r="BI544" s="31">
        <f>F544*AP544</f>
        <v>0</v>
      </c>
      <c r="BJ544" s="31">
        <f>F544*G544</f>
        <v>0</v>
      </c>
      <c r="BK544" s="34" t="s">
        <v>64</v>
      </c>
      <c r="BL544" s="31"/>
      <c r="BW544" s="31">
        <v>21</v>
      </c>
      <c r="BX544" s="5" t="s">
        <v>795</v>
      </c>
    </row>
    <row r="545" spans="1:76" x14ac:dyDescent="0.25">
      <c r="A545" s="2" t="s">
        <v>993</v>
      </c>
      <c r="B545" s="3" t="s">
        <v>797</v>
      </c>
      <c r="C545" s="112" t="s">
        <v>798</v>
      </c>
      <c r="D545" s="107"/>
      <c r="E545" s="3" t="s">
        <v>276</v>
      </c>
      <c r="F545" s="31">
        <v>0.12035999999999999</v>
      </c>
      <c r="G545" s="32">
        <v>0</v>
      </c>
      <c r="H545" s="31">
        <f>ROUND(F545*AO545,2)</f>
        <v>0</v>
      </c>
      <c r="I545" s="31">
        <f>ROUND(F545*AP545,2)</f>
        <v>0</v>
      </c>
      <c r="J545" s="31">
        <f>ROUND(F545*G545,2)</f>
        <v>0</v>
      </c>
      <c r="K545" s="33" t="s">
        <v>60</v>
      </c>
      <c r="Z545" s="31">
        <f>ROUND(IF(AQ545="5",BJ545,0),2)</f>
        <v>0</v>
      </c>
      <c r="AB545" s="31">
        <f>ROUND(IF(AQ545="1",BH545,0),2)</f>
        <v>0</v>
      </c>
      <c r="AC545" s="31">
        <f>ROUND(IF(AQ545="1",BI545,0),2)</f>
        <v>0</v>
      </c>
      <c r="AD545" s="31">
        <f>ROUND(IF(AQ545="7",BH545,0),2)</f>
        <v>0</v>
      </c>
      <c r="AE545" s="31">
        <f>ROUND(IF(AQ545="7",BI545,0),2)</f>
        <v>0</v>
      </c>
      <c r="AF545" s="31">
        <f>ROUND(IF(AQ545="2",BH545,0),2)</f>
        <v>0</v>
      </c>
      <c r="AG545" s="31">
        <f>ROUND(IF(AQ545="2",BI545,0),2)</f>
        <v>0</v>
      </c>
      <c r="AH545" s="31">
        <f>ROUND(IF(AQ545="0",BJ545,0),2)</f>
        <v>0</v>
      </c>
      <c r="AI545" s="11" t="s">
        <v>66</v>
      </c>
      <c r="AJ545" s="31">
        <f>IF(AN545=0,J545,0)</f>
        <v>0</v>
      </c>
      <c r="AK545" s="31">
        <f>IF(AN545=12,J545,0)</f>
        <v>0</v>
      </c>
      <c r="AL545" s="31">
        <f>IF(AN545=21,J545,0)</f>
        <v>0</v>
      </c>
      <c r="AN545" s="31">
        <v>21</v>
      </c>
      <c r="AO545" s="31">
        <f>G545*0</f>
        <v>0</v>
      </c>
      <c r="AP545" s="31">
        <f>G545*(1-0)</f>
        <v>0</v>
      </c>
      <c r="AQ545" s="34" t="s">
        <v>85</v>
      </c>
      <c r="AV545" s="31">
        <f>ROUND(AW545+AX545,2)</f>
        <v>0</v>
      </c>
      <c r="AW545" s="31">
        <f>ROUND(F545*AO545,2)</f>
        <v>0</v>
      </c>
      <c r="AX545" s="31">
        <f>ROUND(F545*AP545,2)</f>
        <v>0</v>
      </c>
      <c r="AY545" s="34" t="s">
        <v>782</v>
      </c>
      <c r="AZ545" s="34" t="s">
        <v>978</v>
      </c>
      <c r="BA545" s="11" t="s">
        <v>807</v>
      </c>
      <c r="BC545" s="31">
        <f>AW545+AX545</f>
        <v>0</v>
      </c>
      <c r="BD545" s="31">
        <f>G545/(100-BE545)*100</f>
        <v>0</v>
      </c>
      <c r="BE545" s="31">
        <v>0</v>
      </c>
      <c r="BF545" s="31">
        <f>545</f>
        <v>545</v>
      </c>
      <c r="BH545" s="31">
        <f>F545*AO545</f>
        <v>0</v>
      </c>
      <c r="BI545" s="31">
        <f>F545*AP545</f>
        <v>0</v>
      </c>
      <c r="BJ545" s="31">
        <f>F545*G545</f>
        <v>0</v>
      </c>
      <c r="BK545" s="34" t="s">
        <v>64</v>
      </c>
      <c r="BL545" s="31"/>
      <c r="BW545" s="31">
        <v>21</v>
      </c>
      <c r="BX545" s="5" t="s">
        <v>798</v>
      </c>
    </row>
    <row r="546" spans="1:76" x14ac:dyDescent="0.25">
      <c r="A546" s="46" t="s">
        <v>52</v>
      </c>
      <c r="B546" s="47" t="s">
        <v>52</v>
      </c>
      <c r="C546" s="141" t="s">
        <v>994</v>
      </c>
      <c r="D546" s="142"/>
      <c r="E546" s="48" t="s">
        <v>4</v>
      </c>
      <c r="F546" s="48" t="s">
        <v>4</v>
      </c>
      <c r="G546" s="29" t="s">
        <v>4</v>
      </c>
      <c r="H546" s="49">
        <f>H547+H575+H616+H672+H676+H685+H688+H691+H693+H695</f>
        <v>0</v>
      </c>
      <c r="I546" s="49">
        <f>I547+I575+I616+I672+I676+I685+I688+I691+I693+I695</f>
        <v>0</v>
      </c>
      <c r="J546" s="49">
        <f>J547+J575+J616+J672+J676+J685+J688+J691+J693+J695</f>
        <v>0</v>
      </c>
      <c r="K546" s="50" t="s">
        <v>52</v>
      </c>
    </row>
    <row r="547" spans="1:76" x14ac:dyDescent="0.25">
      <c r="A547" s="26" t="s">
        <v>52</v>
      </c>
      <c r="B547" s="27" t="s">
        <v>995</v>
      </c>
      <c r="C547" s="133" t="s">
        <v>996</v>
      </c>
      <c r="D547" s="134"/>
      <c r="E547" s="28" t="s">
        <v>4</v>
      </c>
      <c r="F547" s="28" t="s">
        <v>4</v>
      </c>
      <c r="G547" s="29" t="s">
        <v>4</v>
      </c>
      <c r="H547" s="1">
        <f>SUM(H548:H574)</f>
        <v>0</v>
      </c>
      <c r="I547" s="1">
        <f>SUM(I548:I574)</f>
        <v>0</v>
      </c>
      <c r="J547" s="1">
        <f>SUM(J548:J574)</f>
        <v>0</v>
      </c>
      <c r="K547" s="30" t="s">
        <v>52</v>
      </c>
      <c r="AI547" s="11" t="s">
        <v>73</v>
      </c>
      <c r="AS547" s="1">
        <f>SUM(AJ548:AJ574)</f>
        <v>0</v>
      </c>
      <c r="AT547" s="1">
        <f>SUM(AK548:AK574)</f>
        <v>0</v>
      </c>
      <c r="AU547" s="1">
        <f>SUM(AL548:AL574)</f>
        <v>0</v>
      </c>
    </row>
    <row r="548" spans="1:76" x14ac:dyDescent="0.25">
      <c r="A548" s="2" t="s">
        <v>997</v>
      </c>
      <c r="B548" s="3" t="s">
        <v>998</v>
      </c>
      <c r="C548" s="112" t="s">
        <v>999</v>
      </c>
      <c r="D548" s="107"/>
      <c r="E548" s="3" t="s">
        <v>215</v>
      </c>
      <c r="F548" s="31">
        <v>1.1000000000000001</v>
      </c>
      <c r="G548" s="32">
        <v>0</v>
      </c>
      <c r="H548" s="31">
        <f>ROUND(F548*AO548,2)</f>
        <v>0</v>
      </c>
      <c r="I548" s="31">
        <f>ROUND(F548*AP548,2)</f>
        <v>0</v>
      </c>
      <c r="J548" s="31">
        <f>ROUND(F548*G548,2)</f>
        <v>0</v>
      </c>
      <c r="K548" s="33" t="s">
        <v>60</v>
      </c>
      <c r="Z548" s="31">
        <f>ROUND(IF(AQ548="5",BJ548,0),2)</f>
        <v>0</v>
      </c>
      <c r="AB548" s="31">
        <f>ROUND(IF(AQ548="1",BH548,0),2)</f>
        <v>0</v>
      </c>
      <c r="AC548" s="31">
        <f>ROUND(IF(AQ548="1",BI548,0),2)</f>
        <v>0</v>
      </c>
      <c r="AD548" s="31">
        <f>ROUND(IF(AQ548="7",BH548,0),2)</f>
        <v>0</v>
      </c>
      <c r="AE548" s="31">
        <f>ROUND(IF(AQ548="7",BI548,0),2)</f>
        <v>0</v>
      </c>
      <c r="AF548" s="31">
        <f>ROUND(IF(AQ548="2",BH548,0),2)</f>
        <v>0</v>
      </c>
      <c r="AG548" s="31">
        <f>ROUND(IF(AQ548="2",BI548,0),2)</f>
        <v>0</v>
      </c>
      <c r="AH548" s="31">
        <f>ROUND(IF(AQ548="0",BJ548,0),2)</f>
        <v>0</v>
      </c>
      <c r="AI548" s="11" t="s">
        <v>73</v>
      </c>
      <c r="AJ548" s="31">
        <f>IF(AN548=0,J548,0)</f>
        <v>0</v>
      </c>
      <c r="AK548" s="31">
        <f>IF(AN548=12,J548,0)</f>
        <v>0</v>
      </c>
      <c r="AL548" s="31">
        <f>IF(AN548=21,J548,0)</f>
        <v>0</v>
      </c>
      <c r="AN548" s="31">
        <v>21</v>
      </c>
      <c r="AO548" s="31">
        <f>G548*0</f>
        <v>0</v>
      </c>
      <c r="AP548" s="31">
        <f>G548*(1-0)</f>
        <v>0</v>
      </c>
      <c r="AQ548" s="34" t="s">
        <v>101</v>
      </c>
      <c r="AV548" s="31">
        <f>ROUND(AW548+AX548,2)</f>
        <v>0</v>
      </c>
      <c r="AW548" s="31">
        <f>ROUND(F548*AO548,2)</f>
        <v>0</v>
      </c>
      <c r="AX548" s="31">
        <f>ROUND(F548*AP548,2)</f>
        <v>0</v>
      </c>
      <c r="AY548" s="34" t="s">
        <v>1000</v>
      </c>
      <c r="AZ548" s="34" t="s">
        <v>1001</v>
      </c>
      <c r="BA548" s="11" t="s">
        <v>1002</v>
      </c>
      <c r="BC548" s="31">
        <f>AW548+AX548</f>
        <v>0</v>
      </c>
      <c r="BD548" s="31">
        <f>G548/(100-BE548)*100</f>
        <v>0</v>
      </c>
      <c r="BE548" s="31">
        <v>0</v>
      </c>
      <c r="BF548" s="31">
        <f>548</f>
        <v>548</v>
      </c>
      <c r="BH548" s="31">
        <f>F548*AO548</f>
        <v>0</v>
      </c>
      <c r="BI548" s="31">
        <f>F548*AP548</f>
        <v>0</v>
      </c>
      <c r="BJ548" s="31">
        <f>F548*G548</f>
        <v>0</v>
      </c>
      <c r="BK548" s="34" t="s">
        <v>64</v>
      </c>
      <c r="BL548" s="31">
        <v>721</v>
      </c>
      <c r="BW548" s="31">
        <v>21</v>
      </c>
      <c r="BX548" s="5" t="s">
        <v>999</v>
      </c>
    </row>
    <row r="549" spans="1:76" x14ac:dyDescent="0.25">
      <c r="A549" s="2" t="s">
        <v>1003</v>
      </c>
      <c r="B549" s="3" t="s">
        <v>1004</v>
      </c>
      <c r="C549" s="112" t="s">
        <v>1005</v>
      </c>
      <c r="D549" s="107"/>
      <c r="E549" s="3" t="s">
        <v>215</v>
      </c>
      <c r="F549" s="31">
        <v>1</v>
      </c>
      <c r="G549" s="32">
        <v>0</v>
      </c>
      <c r="H549" s="31">
        <f>ROUND(F549*AO549,2)</f>
        <v>0</v>
      </c>
      <c r="I549" s="31">
        <f>ROUND(F549*AP549,2)</f>
        <v>0</v>
      </c>
      <c r="J549" s="31">
        <f>ROUND(F549*G549,2)</f>
        <v>0</v>
      </c>
      <c r="K549" s="33" t="s">
        <v>60</v>
      </c>
      <c r="Z549" s="31">
        <f>ROUND(IF(AQ549="5",BJ549,0),2)</f>
        <v>0</v>
      </c>
      <c r="AB549" s="31">
        <f>ROUND(IF(AQ549="1",BH549,0),2)</f>
        <v>0</v>
      </c>
      <c r="AC549" s="31">
        <f>ROUND(IF(AQ549="1",BI549,0),2)</f>
        <v>0</v>
      </c>
      <c r="AD549" s="31">
        <f>ROUND(IF(AQ549="7",BH549,0),2)</f>
        <v>0</v>
      </c>
      <c r="AE549" s="31">
        <f>ROUND(IF(AQ549="7",BI549,0),2)</f>
        <v>0</v>
      </c>
      <c r="AF549" s="31">
        <f>ROUND(IF(AQ549="2",BH549,0),2)</f>
        <v>0</v>
      </c>
      <c r="AG549" s="31">
        <f>ROUND(IF(AQ549="2",BI549,0),2)</f>
        <v>0</v>
      </c>
      <c r="AH549" s="31">
        <f>ROUND(IF(AQ549="0",BJ549,0),2)</f>
        <v>0</v>
      </c>
      <c r="AI549" s="11" t="s">
        <v>73</v>
      </c>
      <c r="AJ549" s="31">
        <f>IF(AN549=0,J549,0)</f>
        <v>0</v>
      </c>
      <c r="AK549" s="31">
        <f>IF(AN549=12,J549,0)</f>
        <v>0</v>
      </c>
      <c r="AL549" s="31">
        <f>IF(AN549=21,J549,0)</f>
        <v>0</v>
      </c>
      <c r="AN549" s="31">
        <v>21</v>
      </c>
      <c r="AO549" s="31">
        <f>G549*0</f>
        <v>0</v>
      </c>
      <c r="AP549" s="31">
        <f>G549*(1-0)</f>
        <v>0</v>
      </c>
      <c r="AQ549" s="34" t="s">
        <v>101</v>
      </c>
      <c r="AV549" s="31">
        <f>ROUND(AW549+AX549,2)</f>
        <v>0</v>
      </c>
      <c r="AW549" s="31">
        <f>ROUND(F549*AO549,2)</f>
        <v>0</v>
      </c>
      <c r="AX549" s="31">
        <f>ROUND(F549*AP549,2)</f>
        <v>0</v>
      </c>
      <c r="AY549" s="34" t="s">
        <v>1000</v>
      </c>
      <c r="AZ549" s="34" t="s">
        <v>1001</v>
      </c>
      <c r="BA549" s="11" t="s">
        <v>1002</v>
      </c>
      <c r="BC549" s="31">
        <f>AW549+AX549</f>
        <v>0</v>
      </c>
      <c r="BD549" s="31">
        <f>G549/(100-BE549)*100</f>
        <v>0</v>
      </c>
      <c r="BE549" s="31">
        <v>0</v>
      </c>
      <c r="BF549" s="31">
        <f>549</f>
        <v>549</v>
      </c>
      <c r="BH549" s="31">
        <f>F549*AO549</f>
        <v>0</v>
      </c>
      <c r="BI549" s="31">
        <f>F549*AP549</f>
        <v>0</v>
      </c>
      <c r="BJ549" s="31">
        <f>F549*G549</f>
        <v>0</v>
      </c>
      <c r="BK549" s="34" t="s">
        <v>64</v>
      </c>
      <c r="BL549" s="31">
        <v>721</v>
      </c>
      <c r="BW549" s="31">
        <v>21</v>
      </c>
      <c r="BX549" s="5" t="s">
        <v>1005</v>
      </c>
    </row>
    <row r="550" spans="1:76" x14ac:dyDescent="0.25">
      <c r="A550" s="35"/>
      <c r="C550" s="36" t="s">
        <v>1006</v>
      </c>
      <c r="D550" s="36" t="s">
        <v>1007</v>
      </c>
      <c r="F550" s="37">
        <v>1</v>
      </c>
      <c r="K550" s="38"/>
    </row>
    <row r="551" spans="1:76" x14ac:dyDescent="0.25">
      <c r="A551" s="2" t="s">
        <v>1008</v>
      </c>
      <c r="B551" s="3" t="s">
        <v>1009</v>
      </c>
      <c r="C551" s="112" t="s">
        <v>1010</v>
      </c>
      <c r="D551" s="107"/>
      <c r="E551" s="3" t="s">
        <v>81</v>
      </c>
      <c r="F551" s="31">
        <v>2</v>
      </c>
      <c r="G551" s="32">
        <v>0</v>
      </c>
      <c r="H551" s="31">
        <f t="shared" ref="H551:H564" si="22">ROUND(F551*AO551,2)</f>
        <v>0</v>
      </c>
      <c r="I551" s="31">
        <f t="shared" ref="I551:I564" si="23">ROUND(F551*AP551,2)</f>
        <v>0</v>
      </c>
      <c r="J551" s="31">
        <f t="shared" ref="J551:J564" si="24">ROUND(F551*G551,2)</f>
        <v>0</v>
      </c>
      <c r="K551" s="33" t="s">
        <v>60</v>
      </c>
      <c r="Z551" s="31">
        <f t="shared" ref="Z551:Z564" si="25">ROUND(IF(AQ551="5",BJ551,0),2)</f>
        <v>0</v>
      </c>
      <c r="AB551" s="31">
        <f t="shared" ref="AB551:AB564" si="26">ROUND(IF(AQ551="1",BH551,0),2)</f>
        <v>0</v>
      </c>
      <c r="AC551" s="31">
        <f t="shared" ref="AC551:AC564" si="27">ROUND(IF(AQ551="1",BI551,0),2)</f>
        <v>0</v>
      </c>
      <c r="AD551" s="31">
        <f t="shared" ref="AD551:AD564" si="28">ROUND(IF(AQ551="7",BH551,0),2)</f>
        <v>0</v>
      </c>
      <c r="AE551" s="31">
        <f t="shared" ref="AE551:AE564" si="29">ROUND(IF(AQ551="7",BI551,0),2)</f>
        <v>0</v>
      </c>
      <c r="AF551" s="31">
        <f t="shared" ref="AF551:AF564" si="30">ROUND(IF(AQ551="2",BH551,0),2)</f>
        <v>0</v>
      </c>
      <c r="AG551" s="31">
        <f t="shared" ref="AG551:AG564" si="31">ROUND(IF(AQ551="2",BI551,0),2)</f>
        <v>0</v>
      </c>
      <c r="AH551" s="31">
        <f t="shared" ref="AH551:AH564" si="32">ROUND(IF(AQ551="0",BJ551,0),2)</f>
        <v>0</v>
      </c>
      <c r="AI551" s="11" t="s">
        <v>73</v>
      </c>
      <c r="AJ551" s="31">
        <f t="shared" ref="AJ551:AJ564" si="33">IF(AN551=0,J551,0)</f>
        <v>0</v>
      </c>
      <c r="AK551" s="31">
        <f t="shared" ref="AK551:AK564" si="34">IF(AN551=12,J551,0)</f>
        <v>0</v>
      </c>
      <c r="AL551" s="31">
        <f t="shared" ref="AL551:AL564" si="35">IF(AN551=21,J551,0)</f>
        <v>0</v>
      </c>
      <c r="AN551" s="31">
        <v>21</v>
      </c>
      <c r="AO551" s="31">
        <f>G551*0</f>
        <v>0</v>
      </c>
      <c r="AP551" s="31">
        <f>G551*(1-0)</f>
        <v>0</v>
      </c>
      <c r="AQ551" s="34" t="s">
        <v>101</v>
      </c>
      <c r="AV551" s="31">
        <f t="shared" ref="AV551:AV564" si="36">ROUND(AW551+AX551,2)</f>
        <v>0</v>
      </c>
      <c r="AW551" s="31">
        <f t="shared" ref="AW551:AW564" si="37">ROUND(F551*AO551,2)</f>
        <v>0</v>
      </c>
      <c r="AX551" s="31">
        <f t="shared" ref="AX551:AX564" si="38">ROUND(F551*AP551,2)</f>
        <v>0</v>
      </c>
      <c r="AY551" s="34" t="s">
        <v>1000</v>
      </c>
      <c r="AZ551" s="34" t="s">
        <v>1001</v>
      </c>
      <c r="BA551" s="11" t="s">
        <v>1002</v>
      </c>
      <c r="BC551" s="31">
        <f t="shared" ref="BC551:BC564" si="39">AW551+AX551</f>
        <v>0</v>
      </c>
      <c r="BD551" s="31">
        <f t="shared" ref="BD551:BD564" si="40">G551/(100-BE551)*100</f>
        <v>0</v>
      </c>
      <c r="BE551" s="31">
        <v>0</v>
      </c>
      <c r="BF551" s="31">
        <f>551</f>
        <v>551</v>
      </c>
      <c r="BH551" s="31">
        <f t="shared" ref="BH551:BH564" si="41">F551*AO551</f>
        <v>0</v>
      </c>
      <c r="BI551" s="31">
        <f t="shared" ref="BI551:BI564" si="42">F551*AP551</f>
        <v>0</v>
      </c>
      <c r="BJ551" s="31">
        <f t="shared" ref="BJ551:BJ564" si="43">F551*G551</f>
        <v>0</v>
      </c>
      <c r="BK551" s="34" t="s">
        <v>64</v>
      </c>
      <c r="BL551" s="31">
        <v>721</v>
      </c>
      <c r="BW551" s="31">
        <v>21</v>
      </c>
      <c r="BX551" s="5" t="s">
        <v>1010</v>
      </c>
    </row>
    <row r="552" spans="1:76" x14ac:dyDescent="0.25">
      <c r="A552" s="2" t="s">
        <v>1011</v>
      </c>
      <c r="B552" s="3" t="s">
        <v>1012</v>
      </c>
      <c r="C552" s="112" t="s">
        <v>1013</v>
      </c>
      <c r="D552" s="107"/>
      <c r="E552" s="3" t="s">
        <v>81</v>
      </c>
      <c r="F552" s="31">
        <v>1</v>
      </c>
      <c r="G552" s="32">
        <v>0</v>
      </c>
      <c r="H552" s="31">
        <f t="shared" si="22"/>
        <v>0</v>
      </c>
      <c r="I552" s="31">
        <f t="shared" si="23"/>
        <v>0</v>
      </c>
      <c r="J552" s="31">
        <f t="shared" si="24"/>
        <v>0</v>
      </c>
      <c r="K552" s="33" t="s">
        <v>60</v>
      </c>
      <c r="Z552" s="31">
        <f t="shared" si="25"/>
        <v>0</v>
      </c>
      <c r="AB552" s="31">
        <f t="shared" si="26"/>
        <v>0</v>
      </c>
      <c r="AC552" s="31">
        <f t="shared" si="27"/>
        <v>0</v>
      </c>
      <c r="AD552" s="31">
        <f t="shared" si="28"/>
        <v>0</v>
      </c>
      <c r="AE552" s="31">
        <f t="shared" si="29"/>
        <v>0</v>
      </c>
      <c r="AF552" s="31">
        <f t="shared" si="30"/>
        <v>0</v>
      </c>
      <c r="AG552" s="31">
        <f t="shared" si="31"/>
        <v>0</v>
      </c>
      <c r="AH552" s="31">
        <f t="shared" si="32"/>
        <v>0</v>
      </c>
      <c r="AI552" s="11" t="s">
        <v>73</v>
      </c>
      <c r="AJ552" s="31">
        <f t="shared" si="33"/>
        <v>0</v>
      </c>
      <c r="AK552" s="31">
        <f t="shared" si="34"/>
        <v>0</v>
      </c>
      <c r="AL552" s="31">
        <f t="shared" si="35"/>
        <v>0</v>
      </c>
      <c r="AN552" s="31">
        <v>21</v>
      </c>
      <c r="AO552" s="31">
        <f>G552*0</f>
        <v>0</v>
      </c>
      <c r="AP552" s="31">
        <f>G552*(1-0)</f>
        <v>0</v>
      </c>
      <c r="AQ552" s="34" t="s">
        <v>101</v>
      </c>
      <c r="AV552" s="31">
        <f t="shared" si="36"/>
        <v>0</v>
      </c>
      <c r="AW552" s="31">
        <f t="shared" si="37"/>
        <v>0</v>
      </c>
      <c r="AX552" s="31">
        <f t="shared" si="38"/>
        <v>0</v>
      </c>
      <c r="AY552" s="34" t="s">
        <v>1000</v>
      </c>
      <c r="AZ552" s="34" t="s">
        <v>1001</v>
      </c>
      <c r="BA552" s="11" t="s">
        <v>1002</v>
      </c>
      <c r="BC552" s="31">
        <f t="shared" si="39"/>
        <v>0</v>
      </c>
      <c r="BD552" s="31">
        <f t="shared" si="40"/>
        <v>0</v>
      </c>
      <c r="BE552" s="31">
        <v>0</v>
      </c>
      <c r="BF552" s="31">
        <f>552</f>
        <v>552</v>
      </c>
      <c r="BH552" s="31">
        <f t="shared" si="41"/>
        <v>0</v>
      </c>
      <c r="BI552" s="31">
        <f t="shared" si="42"/>
        <v>0</v>
      </c>
      <c r="BJ552" s="31">
        <f t="shared" si="43"/>
        <v>0</v>
      </c>
      <c r="BK552" s="34" t="s">
        <v>64</v>
      </c>
      <c r="BL552" s="31">
        <v>721</v>
      </c>
      <c r="BW552" s="31">
        <v>21</v>
      </c>
      <c r="BX552" s="5" t="s">
        <v>1013</v>
      </c>
    </row>
    <row r="553" spans="1:76" x14ac:dyDescent="0.25">
      <c r="A553" s="2" t="s">
        <v>1014</v>
      </c>
      <c r="B553" s="3" t="s">
        <v>1015</v>
      </c>
      <c r="C553" s="112" t="s">
        <v>1016</v>
      </c>
      <c r="D553" s="107"/>
      <c r="E553" s="3" t="s">
        <v>81</v>
      </c>
      <c r="F553" s="31">
        <v>1</v>
      </c>
      <c r="G553" s="32">
        <v>0</v>
      </c>
      <c r="H553" s="31">
        <f t="shared" si="22"/>
        <v>0</v>
      </c>
      <c r="I553" s="31">
        <f t="shared" si="23"/>
        <v>0</v>
      </c>
      <c r="J553" s="31">
        <f t="shared" si="24"/>
        <v>0</v>
      </c>
      <c r="K553" s="33" t="s">
        <v>60</v>
      </c>
      <c r="Z553" s="31">
        <f t="shared" si="25"/>
        <v>0</v>
      </c>
      <c r="AB553" s="31">
        <f t="shared" si="26"/>
        <v>0</v>
      </c>
      <c r="AC553" s="31">
        <f t="shared" si="27"/>
        <v>0</v>
      </c>
      <c r="AD553" s="31">
        <f t="shared" si="28"/>
        <v>0</v>
      </c>
      <c r="AE553" s="31">
        <f t="shared" si="29"/>
        <v>0</v>
      </c>
      <c r="AF553" s="31">
        <f t="shared" si="30"/>
        <v>0</v>
      </c>
      <c r="AG553" s="31">
        <f t="shared" si="31"/>
        <v>0</v>
      </c>
      <c r="AH553" s="31">
        <f t="shared" si="32"/>
        <v>0</v>
      </c>
      <c r="AI553" s="11" t="s">
        <v>73</v>
      </c>
      <c r="AJ553" s="31">
        <f t="shared" si="33"/>
        <v>0</v>
      </c>
      <c r="AK553" s="31">
        <f t="shared" si="34"/>
        <v>0</v>
      </c>
      <c r="AL553" s="31">
        <f t="shared" si="35"/>
        <v>0</v>
      </c>
      <c r="AN553" s="31">
        <v>21</v>
      </c>
      <c r="AO553" s="31">
        <f>G553*0.151973367</f>
        <v>0</v>
      </c>
      <c r="AP553" s="31">
        <f>G553*(1-0.151973367)</f>
        <v>0</v>
      </c>
      <c r="AQ553" s="34" t="s">
        <v>101</v>
      </c>
      <c r="AV553" s="31">
        <f t="shared" si="36"/>
        <v>0</v>
      </c>
      <c r="AW553" s="31">
        <f t="shared" si="37"/>
        <v>0</v>
      </c>
      <c r="AX553" s="31">
        <f t="shared" si="38"/>
        <v>0</v>
      </c>
      <c r="AY553" s="34" t="s">
        <v>1000</v>
      </c>
      <c r="AZ553" s="34" t="s">
        <v>1001</v>
      </c>
      <c r="BA553" s="11" t="s">
        <v>1002</v>
      </c>
      <c r="BC553" s="31">
        <f t="shared" si="39"/>
        <v>0</v>
      </c>
      <c r="BD553" s="31">
        <f t="shared" si="40"/>
        <v>0</v>
      </c>
      <c r="BE553" s="31">
        <v>0</v>
      </c>
      <c r="BF553" s="31">
        <f>553</f>
        <v>553</v>
      </c>
      <c r="BH553" s="31">
        <f t="shared" si="41"/>
        <v>0</v>
      </c>
      <c r="BI553" s="31">
        <f t="shared" si="42"/>
        <v>0</v>
      </c>
      <c r="BJ553" s="31">
        <f t="shared" si="43"/>
        <v>0</v>
      </c>
      <c r="BK553" s="34" t="s">
        <v>64</v>
      </c>
      <c r="BL553" s="31">
        <v>721</v>
      </c>
      <c r="BW553" s="31">
        <v>21</v>
      </c>
      <c r="BX553" s="5" t="s">
        <v>1016</v>
      </c>
    </row>
    <row r="554" spans="1:76" x14ac:dyDescent="0.25">
      <c r="A554" s="39" t="s">
        <v>1017</v>
      </c>
      <c r="B554" s="40" t="s">
        <v>1018</v>
      </c>
      <c r="C554" s="135" t="s">
        <v>1019</v>
      </c>
      <c r="D554" s="136"/>
      <c r="E554" s="40" t="s">
        <v>81</v>
      </c>
      <c r="F554" s="42">
        <v>1</v>
      </c>
      <c r="G554" s="43">
        <v>0</v>
      </c>
      <c r="H554" s="42">
        <f t="shared" si="22"/>
        <v>0</v>
      </c>
      <c r="I554" s="42">
        <f t="shared" si="23"/>
        <v>0</v>
      </c>
      <c r="J554" s="42">
        <f t="shared" si="24"/>
        <v>0</v>
      </c>
      <c r="K554" s="44" t="s">
        <v>60</v>
      </c>
      <c r="Z554" s="31">
        <f t="shared" si="25"/>
        <v>0</v>
      </c>
      <c r="AB554" s="31">
        <f t="shared" si="26"/>
        <v>0</v>
      </c>
      <c r="AC554" s="31">
        <f t="shared" si="27"/>
        <v>0</v>
      </c>
      <c r="AD554" s="31">
        <f t="shared" si="28"/>
        <v>0</v>
      </c>
      <c r="AE554" s="31">
        <f t="shared" si="29"/>
        <v>0</v>
      </c>
      <c r="AF554" s="31">
        <f t="shared" si="30"/>
        <v>0</v>
      </c>
      <c r="AG554" s="31">
        <f t="shared" si="31"/>
        <v>0</v>
      </c>
      <c r="AH554" s="31">
        <f t="shared" si="32"/>
        <v>0</v>
      </c>
      <c r="AI554" s="11" t="s">
        <v>73</v>
      </c>
      <c r="AJ554" s="42">
        <f t="shared" si="33"/>
        <v>0</v>
      </c>
      <c r="AK554" s="42">
        <f t="shared" si="34"/>
        <v>0</v>
      </c>
      <c r="AL554" s="42">
        <f t="shared" si="35"/>
        <v>0</v>
      </c>
      <c r="AN554" s="31">
        <v>21</v>
      </c>
      <c r="AO554" s="31">
        <f>G554*1</f>
        <v>0</v>
      </c>
      <c r="AP554" s="31">
        <f>G554*(1-1)</f>
        <v>0</v>
      </c>
      <c r="AQ554" s="45" t="s">
        <v>101</v>
      </c>
      <c r="AV554" s="31">
        <f t="shared" si="36"/>
        <v>0</v>
      </c>
      <c r="AW554" s="31">
        <f t="shared" si="37"/>
        <v>0</v>
      </c>
      <c r="AX554" s="31">
        <f t="shared" si="38"/>
        <v>0</v>
      </c>
      <c r="AY554" s="34" t="s">
        <v>1000</v>
      </c>
      <c r="AZ554" s="34" t="s">
        <v>1001</v>
      </c>
      <c r="BA554" s="11" t="s">
        <v>1002</v>
      </c>
      <c r="BC554" s="31">
        <f t="shared" si="39"/>
        <v>0</v>
      </c>
      <c r="BD554" s="31">
        <f t="shared" si="40"/>
        <v>0</v>
      </c>
      <c r="BE554" s="31">
        <v>0</v>
      </c>
      <c r="BF554" s="31">
        <f>554</f>
        <v>554</v>
      </c>
      <c r="BH554" s="42">
        <f t="shared" si="41"/>
        <v>0</v>
      </c>
      <c r="BI554" s="42">
        <f t="shared" si="42"/>
        <v>0</v>
      </c>
      <c r="BJ554" s="42">
        <f t="shared" si="43"/>
        <v>0</v>
      </c>
      <c r="BK554" s="45" t="s">
        <v>70</v>
      </c>
      <c r="BL554" s="31">
        <v>721</v>
      </c>
      <c r="BW554" s="31">
        <v>21</v>
      </c>
      <c r="BX554" s="41" t="s">
        <v>1019</v>
      </c>
    </row>
    <row r="555" spans="1:76" x14ac:dyDescent="0.25">
      <c r="A555" s="2" t="s">
        <v>1020</v>
      </c>
      <c r="B555" s="3" t="s">
        <v>1021</v>
      </c>
      <c r="C555" s="112" t="s">
        <v>1022</v>
      </c>
      <c r="D555" s="107"/>
      <c r="E555" s="3" t="s">
        <v>215</v>
      </c>
      <c r="F555" s="31">
        <v>1.8</v>
      </c>
      <c r="G555" s="32">
        <v>0</v>
      </c>
      <c r="H555" s="31">
        <f t="shared" si="22"/>
        <v>0</v>
      </c>
      <c r="I555" s="31">
        <f t="shared" si="23"/>
        <v>0</v>
      </c>
      <c r="J555" s="31">
        <f t="shared" si="24"/>
        <v>0</v>
      </c>
      <c r="K555" s="33" t="s">
        <v>60</v>
      </c>
      <c r="Z555" s="31">
        <f t="shared" si="25"/>
        <v>0</v>
      </c>
      <c r="AB555" s="31">
        <f t="shared" si="26"/>
        <v>0</v>
      </c>
      <c r="AC555" s="31">
        <f t="shared" si="27"/>
        <v>0</v>
      </c>
      <c r="AD555" s="31">
        <f t="shared" si="28"/>
        <v>0</v>
      </c>
      <c r="AE555" s="31">
        <f t="shared" si="29"/>
        <v>0</v>
      </c>
      <c r="AF555" s="31">
        <f t="shared" si="30"/>
        <v>0</v>
      </c>
      <c r="AG555" s="31">
        <f t="shared" si="31"/>
        <v>0</v>
      </c>
      <c r="AH555" s="31">
        <f t="shared" si="32"/>
        <v>0</v>
      </c>
      <c r="AI555" s="11" t="s">
        <v>73</v>
      </c>
      <c r="AJ555" s="31">
        <f t="shared" si="33"/>
        <v>0</v>
      </c>
      <c r="AK555" s="31">
        <f t="shared" si="34"/>
        <v>0</v>
      </c>
      <c r="AL555" s="31">
        <f t="shared" si="35"/>
        <v>0</v>
      </c>
      <c r="AN555" s="31">
        <v>21</v>
      </c>
      <c r="AO555" s="31">
        <f>G555*0.306447188</f>
        <v>0</v>
      </c>
      <c r="AP555" s="31">
        <f>G555*(1-0.306447188)</f>
        <v>0</v>
      </c>
      <c r="AQ555" s="34" t="s">
        <v>101</v>
      </c>
      <c r="AV555" s="31">
        <f t="shared" si="36"/>
        <v>0</v>
      </c>
      <c r="AW555" s="31">
        <f t="shared" si="37"/>
        <v>0</v>
      </c>
      <c r="AX555" s="31">
        <f t="shared" si="38"/>
        <v>0</v>
      </c>
      <c r="AY555" s="34" t="s">
        <v>1000</v>
      </c>
      <c r="AZ555" s="34" t="s">
        <v>1001</v>
      </c>
      <c r="BA555" s="11" t="s">
        <v>1002</v>
      </c>
      <c r="BC555" s="31">
        <f t="shared" si="39"/>
        <v>0</v>
      </c>
      <c r="BD555" s="31">
        <f t="shared" si="40"/>
        <v>0</v>
      </c>
      <c r="BE555" s="31">
        <v>0</v>
      </c>
      <c r="BF555" s="31">
        <f>555</f>
        <v>555</v>
      </c>
      <c r="BH555" s="31">
        <f t="shared" si="41"/>
        <v>0</v>
      </c>
      <c r="BI555" s="31">
        <f t="shared" si="42"/>
        <v>0</v>
      </c>
      <c r="BJ555" s="31">
        <f t="shared" si="43"/>
        <v>0</v>
      </c>
      <c r="BK555" s="34" t="s">
        <v>64</v>
      </c>
      <c r="BL555" s="31">
        <v>721</v>
      </c>
      <c r="BW555" s="31">
        <v>21</v>
      </c>
      <c r="BX555" s="5" t="s">
        <v>1022</v>
      </c>
    </row>
    <row r="556" spans="1:76" x14ac:dyDescent="0.25">
      <c r="A556" s="2" t="s">
        <v>1023</v>
      </c>
      <c r="B556" s="3" t="s">
        <v>1024</v>
      </c>
      <c r="C556" s="112" t="s">
        <v>1025</v>
      </c>
      <c r="D556" s="107"/>
      <c r="E556" s="3" t="s">
        <v>215</v>
      </c>
      <c r="F556" s="31">
        <v>0.5</v>
      </c>
      <c r="G556" s="32">
        <v>0</v>
      </c>
      <c r="H556" s="31">
        <f t="shared" si="22"/>
        <v>0</v>
      </c>
      <c r="I556" s="31">
        <f t="shared" si="23"/>
        <v>0</v>
      </c>
      <c r="J556" s="31">
        <f t="shared" si="24"/>
        <v>0</v>
      </c>
      <c r="K556" s="33" t="s">
        <v>60</v>
      </c>
      <c r="Z556" s="31">
        <f t="shared" si="25"/>
        <v>0</v>
      </c>
      <c r="AB556" s="31">
        <f t="shared" si="26"/>
        <v>0</v>
      </c>
      <c r="AC556" s="31">
        <f t="shared" si="27"/>
        <v>0</v>
      </c>
      <c r="AD556" s="31">
        <f t="shared" si="28"/>
        <v>0</v>
      </c>
      <c r="AE556" s="31">
        <f t="shared" si="29"/>
        <v>0</v>
      </c>
      <c r="AF556" s="31">
        <f t="shared" si="30"/>
        <v>0</v>
      </c>
      <c r="AG556" s="31">
        <f t="shared" si="31"/>
        <v>0</v>
      </c>
      <c r="AH556" s="31">
        <f t="shared" si="32"/>
        <v>0</v>
      </c>
      <c r="AI556" s="11" t="s">
        <v>73</v>
      </c>
      <c r="AJ556" s="31">
        <f t="shared" si="33"/>
        <v>0</v>
      </c>
      <c r="AK556" s="31">
        <f t="shared" si="34"/>
        <v>0</v>
      </c>
      <c r="AL556" s="31">
        <f t="shared" si="35"/>
        <v>0</v>
      </c>
      <c r="AN556" s="31">
        <v>21</v>
      </c>
      <c r="AO556" s="31">
        <f>G556*0.259176277</f>
        <v>0</v>
      </c>
      <c r="AP556" s="31">
        <f>G556*(1-0.259176277)</f>
        <v>0</v>
      </c>
      <c r="AQ556" s="34" t="s">
        <v>101</v>
      </c>
      <c r="AV556" s="31">
        <f t="shared" si="36"/>
        <v>0</v>
      </c>
      <c r="AW556" s="31">
        <f t="shared" si="37"/>
        <v>0</v>
      </c>
      <c r="AX556" s="31">
        <f t="shared" si="38"/>
        <v>0</v>
      </c>
      <c r="AY556" s="34" t="s">
        <v>1000</v>
      </c>
      <c r="AZ556" s="34" t="s">
        <v>1001</v>
      </c>
      <c r="BA556" s="11" t="s">
        <v>1002</v>
      </c>
      <c r="BC556" s="31">
        <f t="shared" si="39"/>
        <v>0</v>
      </c>
      <c r="BD556" s="31">
        <f t="shared" si="40"/>
        <v>0</v>
      </c>
      <c r="BE556" s="31">
        <v>0</v>
      </c>
      <c r="BF556" s="31">
        <f>556</f>
        <v>556</v>
      </c>
      <c r="BH556" s="31">
        <f t="shared" si="41"/>
        <v>0</v>
      </c>
      <c r="BI556" s="31">
        <f t="shared" si="42"/>
        <v>0</v>
      </c>
      <c r="BJ556" s="31">
        <f t="shared" si="43"/>
        <v>0</v>
      </c>
      <c r="BK556" s="34" t="s">
        <v>64</v>
      </c>
      <c r="BL556" s="31">
        <v>721</v>
      </c>
      <c r="BW556" s="31">
        <v>21</v>
      </c>
      <c r="BX556" s="5" t="s">
        <v>1025</v>
      </c>
    </row>
    <row r="557" spans="1:76" x14ac:dyDescent="0.25">
      <c r="A557" s="2" t="s">
        <v>1026</v>
      </c>
      <c r="B557" s="3" t="s">
        <v>1027</v>
      </c>
      <c r="C557" s="112" t="s">
        <v>1028</v>
      </c>
      <c r="D557" s="107"/>
      <c r="E557" s="3" t="s">
        <v>215</v>
      </c>
      <c r="F557" s="31">
        <v>7</v>
      </c>
      <c r="G557" s="32">
        <v>0</v>
      </c>
      <c r="H557" s="31">
        <f t="shared" si="22"/>
        <v>0</v>
      </c>
      <c r="I557" s="31">
        <f t="shared" si="23"/>
        <v>0</v>
      </c>
      <c r="J557" s="31">
        <f t="shared" si="24"/>
        <v>0</v>
      </c>
      <c r="K557" s="33" t="s">
        <v>60</v>
      </c>
      <c r="Z557" s="31">
        <f t="shared" si="25"/>
        <v>0</v>
      </c>
      <c r="AB557" s="31">
        <f t="shared" si="26"/>
        <v>0</v>
      </c>
      <c r="AC557" s="31">
        <f t="shared" si="27"/>
        <v>0</v>
      </c>
      <c r="AD557" s="31">
        <f t="shared" si="28"/>
        <v>0</v>
      </c>
      <c r="AE557" s="31">
        <f t="shared" si="29"/>
        <v>0</v>
      </c>
      <c r="AF557" s="31">
        <f t="shared" si="30"/>
        <v>0</v>
      </c>
      <c r="AG557" s="31">
        <f t="shared" si="31"/>
        <v>0</v>
      </c>
      <c r="AH557" s="31">
        <f t="shared" si="32"/>
        <v>0</v>
      </c>
      <c r="AI557" s="11" t="s">
        <v>73</v>
      </c>
      <c r="AJ557" s="31">
        <f t="shared" si="33"/>
        <v>0</v>
      </c>
      <c r="AK557" s="31">
        <f t="shared" si="34"/>
        <v>0</v>
      </c>
      <c r="AL557" s="31">
        <f t="shared" si="35"/>
        <v>0</v>
      </c>
      <c r="AN557" s="31">
        <v>21</v>
      </c>
      <c r="AO557" s="31">
        <f>G557*0.268268645</f>
        <v>0</v>
      </c>
      <c r="AP557" s="31">
        <f>G557*(1-0.268268645)</f>
        <v>0</v>
      </c>
      <c r="AQ557" s="34" t="s">
        <v>101</v>
      </c>
      <c r="AV557" s="31">
        <f t="shared" si="36"/>
        <v>0</v>
      </c>
      <c r="AW557" s="31">
        <f t="shared" si="37"/>
        <v>0</v>
      </c>
      <c r="AX557" s="31">
        <f t="shared" si="38"/>
        <v>0</v>
      </c>
      <c r="AY557" s="34" t="s">
        <v>1000</v>
      </c>
      <c r="AZ557" s="34" t="s">
        <v>1001</v>
      </c>
      <c r="BA557" s="11" t="s">
        <v>1002</v>
      </c>
      <c r="BC557" s="31">
        <f t="shared" si="39"/>
        <v>0</v>
      </c>
      <c r="BD557" s="31">
        <f t="shared" si="40"/>
        <v>0</v>
      </c>
      <c r="BE557" s="31">
        <v>0</v>
      </c>
      <c r="BF557" s="31">
        <f>557</f>
        <v>557</v>
      </c>
      <c r="BH557" s="31">
        <f t="shared" si="41"/>
        <v>0</v>
      </c>
      <c r="BI557" s="31">
        <f t="shared" si="42"/>
        <v>0</v>
      </c>
      <c r="BJ557" s="31">
        <f t="shared" si="43"/>
        <v>0</v>
      </c>
      <c r="BK557" s="34" t="s">
        <v>64</v>
      </c>
      <c r="BL557" s="31">
        <v>721</v>
      </c>
      <c r="BW557" s="31">
        <v>21</v>
      </c>
      <c r="BX557" s="5" t="s">
        <v>1028</v>
      </c>
    </row>
    <row r="558" spans="1:76" x14ac:dyDescent="0.25">
      <c r="A558" s="39" t="s">
        <v>1029</v>
      </c>
      <c r="B558" s="40" t="s">
        <v>1030</v>
      </c>
      <c r="C558" s="135" t="s">
        <v>1031</v>
      </c>
      <c r="D558" s="136"/>
      <c r="E558" s="40" t="s">
        <v>81</v>
      </c>
      <c r="F558" s="42">
        <v>1</v>
      </c>
      <c r="G558" s="43">
        <v>0</v>
      </c>
      <c r="H558" s="42">
        <f t="shared" si="22"/>
        <v>0</v>
      </c>
      <c r="I558" s="42">
        <f t="shared" si="23"/>
        <v>0</v>
      </c>
      <c r="J558" s="42">
        <f t="shared" si="24"/>
        <v>0</v>
      </c>
      <c r="K558" s="44" t="s">
        <v>60</v>
      </c>
      <c r="Z558" s="31">
        <f t="shared" si="25"/>
        <v>0</v>
      </c>
      <c r="AB558" s="31">
        <f t="shared" si="26"/>
        <v>0</v>
      </c>
      <c r="AC558" s="31">
        <f t="shared" si="27"/>
        <v>0</v>
      </c>
      <c r="AD558" s="31">
        <f t="shared" si="28"/>
        <v>0</v>
      </c>
      <c r="AE558" s="31">
        <f t="shared" si="29"/>
        <v>0</v>
      </c>
      <c r="AF558" s="31">
        <f t="shared" si="30"/>
        <v>0</v>
      </c>
      <c r="AG558" s="31">
        <f t="shared" si="31"/>
        <v>0</v>
      </c>
      <c r="AH558" s="31">
        <f t="shared" si="32"/>
        <v>0</v>
      </c>
      <c r="AI558" s="11" t="s">
        <v>73</v>
      </c>
      <c r="AJ558" s="42">
        <f t="shared" si="33"/>
        <v>0</v>
      </c>
      <c r="AK558" s="42">
        <f t="shared" si="34"/>
        <v>0</v>
      </c>
      <c r="AL558" s="42">
        <f t="shared" si="35"/>
        <v>0</v>
      </c>
      <c r="AN558" s="31">
        <v>21</v>
      </c>
      <c r="AO558" s="31">
        <f>G558*1</f>
        <v>0</v>
      </c>
      <c r="AP558" s="31">
        <f>G558*(1-1)</f>
        <v>0</v>
      </c>
      <c r="AQ558" s="45" t="s">
        <v>101</v>
      </c>
      <c r="AV558" s="31">
        <f t="shared" si="36"/>
        <v>0</v>
      </c>
      <c r="AW558" s="31">
        <f t="shared" si="37"/>
        <v>0</v>
      </c>
      <c r="AX558" s="31">
        <f t="shared" si="38"/>
        <v>0</v>
      </c>
      <c r="AY558" s="34" t="s">
        <v>1000</v>
      </c>
      <c r="AZ558" s="34" t="s">
        <v>1001</v>
      </c>
      <c r="BA558" s="11" t="s">
        <v>1002</v>
      </c>
      <c r="BC558" s="31">
        <f t="shared" si="39"/>
        <v>0</v>
      </c>
      <c r="BD558" s="31">
        <f t="shared" si="40"/>
        <v>0</v>
      </c>
      <c r="BE558" s="31">
        <v>0</v>
      </c>
      <c r="BF558" s="31">
        <f>558</f>
        <v>558</v>
      </c>
      <c r="BH558" s="42">
        <f t="shared" si="41"/>
        <v>0</v>
      </c>
      <c r="BI558" s="42">
        <f t="shared" si="42"/>
        <v>0</v>
      </c>
      <c r="BJ558" s="42">
        <f t="shared" si="43"/>
        <v>0</v>
      </c>
      <c r="BK558" s="45" t="s">
        <v>70</v>
      </c>
      <c r="BL558" s="31">
        <v>721</v>
      </c>
      <c r="BW558" s="31">
        <v>21</v>
      </c>
      <c r="BX558" s="41" t="s">
        <v>1031</v>
      </c>
    </row>
    <row r="559" spans="1:76" x14ac:dyDescent="0.25">
      <c r="A559" s="39" t="s">
        <v>1032</v>
      </c>
      <c r="B559" s="40" t="s">
        <v>1033</v>
      </c>
      <c r="C559" s="135" t="s">
        <v>1034</v>
      </c>
      <c r="D559" s="136"/>
      <c r="E559" s="40" t="s">
        <v>81</v>
      </c>
      <c r="F559" s="42">
        <v>1</v>
      </c>
      <c r="G559" s="43">
        <v>0</v>
      </c>
      <c r="H559" s="42">
        <f t="shared" si="22"/>
        <v>0</v>
      </c>
      <c r="I559" s="42">
        <f t="shared" si="23"/>
        <v>0</v>
      </c>
      <c r="J559" s="42">
        <f t="shared" si="24"/>
        <v>0</v>
      </c>
      <c r="K559" s="44" t="s">
        <v>60</v>
      </c>
      <c r="Z559" s="31">
        <f t="shared" si="25"/>
        <v>0</v>
      </c>
      <c r="AB559" s="31">
        <f t="shared" si="26"/>
        <v>0</v>
      </c>
      <c r="AC559" s="31">
        <f t="shared" si="27"/>
        <v>0</v>
      </c>
      <c r="AD559" s="31">
        <f t="shared" si="28"/>
        <v>0</v>
      </c>
      <c r="AE559" s="31">
        <f t="shared" si="29"/>
        <v>0</v>
      </c>
      <c r="AF559" s="31">
        <f t="shared" si="30"/>
        <v>0</v>
      </c>
      <c r="AG559" s="31">
        <f t="shared" si="31"/>
        <v>0</v>
      </c>
      <c r="AH559" s="31">
        <f t="shared" si="32"/>
        <v>0</v>
      </c>
      <c r="AI559" s="11" t="s">
        <v>73</v>
      </c>
      <c r="AJ559" s="42">
        <f t="shared" si="33"/>
        <v>0</v>
      </c>
      <c r="AK559" s="42">
        <f t="shared" si="34"/>
        <v>0</v>
      </c>
      <c r="AL559" s="42">
        <f t="shared" si="35"/>
        <v>0</v>
      </c>
      <c r="AN559" s="31">
        <v>21</v>
      </c>
      <c r="AO559" s="31">
        <f>G559*1</f>
        <v>0</v>
      </c>
      <c r="AP559" s="31">
        <f>G559*(1-1)</f>
        <v>0</v>
      </c>
      <c r="AQ559" s="45" t="s">
        <v>101</v>
      </c>
      <c r="AV559" s="31">
        <f t="shared" si="36"/>
        <v>0</v>
      </c>
      <c r="AW559" s="31">
        <f t="shared" si="37"/>
        <v>0</v>
      </c>
      <c r="AX559" s="31">
        <f t="shared" si="38"/>
        <v>0</v>
      </c>
      <c r="AY559" s="34" t="s">
        <v>1000</v>
      </c>
      <c r="AZ559" s="34" t="s">
        <v>1001</v>
      </c>
      <c r="BA559" s="11" t="s">
        <v>1002</v>
      </c>
      <c r="BC559" s="31">
        <f t="shared" si="39"/>
        <v>0</v>
      </c>
      <c r="BD559" s="31">
        <f t="shared" si="40"/>
        <v>0</v>
      </c>
      <c r="BE559" s="31">
        <v>0</v>
      </c>
      <c r="BF559" s="31">
        <f>559</f>
        <v>559</v>
      </c>
      <c r="BH559" s="42">
        <f t="shared" si="41"/>
        <v>0</v>
      </c>
      <c r="BI559" s="42">
        <f t="shared" si="42"/>
        <v>0</v>
      </c>
      <c r="BJ559" s="42">
        <f t="shared" si="43"/>
        <v>0</v>
      </c>
      <c r="BK559" s="45" t="s">
        <v>70</v>
      </c>
      <c r="BL559" s="31">
        <v>721</v>
      </c>
      <c r="BW559" s="31">
        <v>21</v>
      </c>
      <c r="BX559" s="41" t="s">
        <v>1034</v>
      </c>
    </row>
    <row r="560" spans="1:76" x14ac:dyDescent="0.25">
      <c r="A560" s="2" t="s">
        <v>1035</v>
      </c>
      <c r="B560" s="3" t="s">
        <v>1036</v>
      </c>
      <c r="C560" s="112" t="s">
        <v>1037</v>
      </c>
      <c r="D560" s="107"/>
      <c r="E560" s="3" t="s">
        <v>215</v>
      </c>
      <c r="F560" s="31">
        <v>1.2</v>
      </c>
      <c r="G560" s="32">
        <v>0</v>
      </c>
      <c r="H560" s="31">
        <f t="shared" si="22"/>
        <v>0</v>
      </c>
      <c r="I560" s="31">
        <f t="shared" si="23"/>
        <v>0</v>
      </c>
      <c r="J560" s="31">
        <f t="shared" si="24"/>
        <v>0</v>
      </c>
      <c r="K560" s="33" t="s">
        <v>60</v>
      </c>
      <c r="Z560" s="31">
        <f t="shared" si="25"/>
        <v>0</v>
      </c>
      <c r="AB560" s="31">
        <f t="shared" si="26"/>
        <v>0</v>
      </c>
      <c r="AC560" s="31">
        <f t="shared" si="27"/>
        <v>0</v>
      </c>
      <c r="AD560" s="31">
        <f t="shared" si="28"/>
        <v>0</v>
      </c>
      <c r="AE560" s="31">
        <f t="shared" si="29"/>
        <v>0</v>
      </c>
      <c r="AF560" s="31">
        <f t="shared" si="30"/>
        <v>0</v>
      </c>
      <c r="AG560" s="31">
        <f t="shared" si="31"/>
        <v>0</v>
      </c>
      <c r="AH560" s="31">
        <f t="shared" si="32"/>
        <v>0</v>
      </c>
      <c r="AI560" s="11" t="s">
        <v>73</v>
      </c>
      <c r="AJ560" s="31">
        <f t="shared" si="33"/>
        <v>0</v>
      </c>
      <c r="AK560" s="31">
        <f t="shared" si="34"/>
        <v>0</v>
      </c>
      <c r="AL560" s="31">
        <f t="shared" si="35"/>
        <v>0</v>
      </c>
      <c r="AN560" s="31">
        <v>21</v>
      </c>
      <c r="AO560" s="31">
        <f>G560*0.244082569</f>
        <v>0</v>
      </c>
      <c r="AP560" s="31">
        <f>G560*(1-0.244082569)</f>
        <v>0</v>
      </c>
      <c r="AQ560" s="34" t="s">
        <v>101</v>
      </c>
      <c r="AV560" s="31">
        <f t="shared" si="36"/>
        <v>0</v>
      </c>
      <c r="AW560" s="31">
        <f t="shared" si="37"/>
        <v>0</v>
      </c>
      <c r="AX560" s="31">
        <f t="shared" si="38"/>
        <v>0</v>
      </c>
      <c r="AY560" s="34" t="s">
        <v>1000</v>
      </c>
      <c r="AZ560" s="34" t="s">
        <v>1001</v>
      </c>
      <c r="BA560" s="11" t="s">
        <v>1002</v>
      </c>
      <c r="BC560" s="31">
        <f t="shared" si="39"/>
        <v>0</v>
      </c>
      <c r="BD560" s="31">
        <f t="shared" si="40"/>
        <v>0</v>
      </c>
      <c r="BE560" s="31">
        <v>0</v>
      </c>
      <c r="BF560" s="31">
        <f>560</f>
        <v>560</v>
      </c>
      <c r="BH560" s="31">
        <f t="shared" si="41"/>
        <v>0</v>
      </c>
      <c r="BI560" s="31">
        <f t="shared" si="42"/>
        <v>0</v>
      </c>
      <c r="BJ560" s="31">
        <f t="shared" si="43"/>
        <v>0</v>
      </c>
      <c r="BK560" s="34" t="s">
        <v>64</v>
      </c>
      <c r="BL560" s="31">
        <v>721</v>
      </c>
      <c r="BW560" s="31">
        <v>21</v>
      </c>
      <c r="BX560" s="5" t="s">
        <v>1037</v>
      </c>
    </row>
    <row r="561" spans="1:76" x14ac:dyDescent="0.25">
      <c r="A561" s="2" t="s">
        <v>1038</v>
      </c>
      <c r="B561" s="3" t="s">
        <v>1039</v>
      </c>
      <c r="C561" s="112" t="s">
        <v>1040</v>
      </c>
      <c r="D561" s="107"/>
      <c r="E561" s="3" t="s">
        <v>215</v>
      </c>
      <c r="F561" s="31">
        <v>0.5</v>
      </c>
      <c r="G561" s="32">
        <v>0</v>
      </c>
      <c r="H561" s="31">
        <f t="shared" si="22"/>
        <v>0</v>
      </c>
      <c r="I561" s="31">
        <f t="shared" si="23"/>
        <v>0</v>
      </c>
      <c r="J561" s="31">
        <f t="shared" si="24"/>
        <v>0</v>
      </c>
      <c r="K561" s="33" t="s">
        <v>60</v>
      </c>
      <c r="Z561" s="31">
        <f t="shared" si="25"/>
        <v>0</v>
      </c>
      <c r="AB561" s="31">
        <f t="shared" si="26"/>
        <v>0</v>
      </c>
      <c r="AC561" s="31">
        <f t="shared" si="27"/>
        <v>0</v>
      </c>
      <c r="AD561" s="31">
        <f t="shared" si="28"/>
        <v>0</v>
      </c>
      <c r="AE561" s="31">
        <f t="shared" si="29"/>
        <v>0</v>
      </c>
      <c r="AF561" s="31">
        <f t="shared" si="30"/>
        <v>0</v>
      </c>
      <c r="AG561" s="31">
        <f t="shared" si="31"/>
        <v>0</v>
      </c>
      <c r="AH561" s="31">
        <f t="shared" si="32"/>
        <v>0</v>
      </c>
      <c r="AI561" s="11" t="s">
        <v>73</v>
      </c>
      <c r="AJ561" s="31">
        <f t="shared" si="33"/>
        <v>0</v>
      </c>
      <c r="AK561" s="31">
        <f t="shared" si="34"/>
        <v>0</v>
      </c>
      <c r="AL561" s="31">
        <f t="shared" si="35"/>
        <v>0</v>
      </c>
      <c r="AN561" s="31">
        <v>21</v>
      </c>
      <c r="AO561" s="31">
        <f>G561*0.349406286</f>
        <v>0</v>
      </c>
      <c r="AP561" s="31">
        <f>G561*(1-0.349406286)</f>
        <v>0</v>
      </c>
      <c r="AQ561" s="34" t="s">
        <v>101</v>
      </c>
      <c r="AV561" s="31">
        <f t="shared" si="36"/>
        <v>0</v>
      </c>
      <c r="AW561" s="31">
        <f t="shared" si="37"/>
        <v>0</v>
      </c>
      <c r="AX561" s="31">
        <f t="shared" si="38"/>
        <v>0</v>
      </c>
      <c r="AY561" s="34" t="s">
        <v>1000</v>
      </c>
      <c r="AZ561" s="34" t="s">
        <v>1001</v>
      </c>
      <c r="BA561" s="11" t="s">
        <v>1002</v>
      </c>
      <c r="BC561" s="31">
        <f t="shared" si="39"/>
        <v>0</v>
      </c>
      <c r="BD561" s="31">
        <f t="shared" si="40"/>
        <v>0</v>
      </c>
      <c r="BE561" s="31">
        <v>0</v>
      </c>
      <c r="BF561" s="31">
        <f>561</f>
        <v>561</v>
      </c>
      <c r="BH561" s="31">
        <f t="shared" si="41"/>
        <v>0</v>
      </c>
      <c r="BI561" s="31">
        <f t="shared" si="42"/>
        <v>0</v>
      </c>
      <c r="BJ561" s="31">
        <f t="shared" si="43"/>
        <v>0</v>
      </c>
      <c r="BK561" s="34" t="s">
        <v>64</v>
      </c>
      <c r="BL561" s="31">
        <v>721</v>
      </c>
      <c r="BW561" s="31">
        <v>21</v>
      </c>
      <c r="BX561" s="5" t="s">
        <v>1040</v>
      </c>
    </row>
    <row r="562" spans="1:76" x14ac:dyDescent="0.25">
      <c r="A562" s="39" t="s">
        <v>1041</v>
      </c>
      <c r="B562" s="40" t="s">
        <v>1042</v>
      </c>
      <c r="C562" s="135" t="s">
        <v>1043</v>
      </c>
      <c r="D562" s="136"/>
      <c r="E562" s="40" t="s">
        <v>81</v>
      </c>
      <c r="F562" s="42">
        <v>1</v>
      </c>
      <c r="G562" s="43">
        <v>0</v>
      </c>
      <c r="H562" s="42">
        <f t="shared" si="22"/>
        <v>0</v>
      </c>
      <c r="I562" s="42">
        <f t="shared" si="23"/>
        <v>0</v>
      </c>
      <c r="J562" s="42">
        <f t="shared" si="24"/>
        <v>0</v>
      </c>
      <c r="K562" s="44" t="s">
        <v>60</v>
      </c>
      <c r="Z562" s="31">
        <f t="shared" si="25"/>
        <v>0</v>
      </c>
      <c r="AB562" s="31">
        <f t="shared" si="26"/>
        <v>0</v>
      </c>
      <c r="AC562" s="31">
        <f t="shared" si="27"/>
        <v>0</v>
      </c>
      <c r="AD562" s="31">
        <f t="shared" si="28"/>
        <v>0</v>
      </c>
      <c r="AE562" s="31">
        <f t="shared" si="29"/>
        <v>0</v>
      </c>
      <c r="AF562" s="31">
        <f t="shared" si="30"/>
        <v>0</v>
      </c>
      <c r="AG562" s="31">
        <f t="shared" si="31"/>
        <v>0</v>
      </c>
      <c r="AH562" s="31">
        <f t="shared" si="32"/>
        <v>0</v>
      </c>
      <c r="AI562" s="11" t="s">
        <v>73</v>
      </c>
      <c r="AJ562" s="42">
        <f t="shared" si="33"/>
        <v>0</v>
      </c>
      <c r="AK562" s="42">
        <f t="shared" si="34"/>
        <v>0</v>
      </c>
      <c r="AL562" s="42">
        <f t="shared" si="35"/>
        <v>0</v>
      </c>
      <c r="AN562" s="31">
        <v>21</v>
      </c>
      <c r="AO562" s="31">
        <f>G562*1</f>
        <v>0</v>
      </c>
      <c r="AP562" s="31">
        <f>G562*(1-1)</f>
        <v>0</v>
      </c>
      <c r="AQ562" s="45" t="s">
        <v>101</v>
      </c>
      <c r="AV562" s="31">
        <f t="shared" si="36"/>
        <v>0</v>
      </c>
      <c r="AW562" s="31">
        <f t="shared" si="37"/>
        <v>0</v>
      </c>
      <c r="AX562" s="31">
        <f t="shared" si="38"/>
        <v>0</v>
      </c>
      <c r="AY562" s="34" t="s">
        <v>1000</v>
      </c>
      <c r="AZ562" s="34" t="s">
        <v>1001</v>
      </c>
      <c r="BA562" s="11" t="s">
        <v>1002</v>
      </c>
      <c r="BC562" s="31">
        <f t="shared" si="39"/>
        <v>0</v>
      </c>
      <c r="BD562" s="31">
        <f t="shared" si="40"/>
        <v>0</v>
      </c>
      <c r="BE562" s="31">
        <v>0</v>
      </c>
      <c r="BF562" s="31">
        <f>562</f>
        <v>562</v>
      </c>
      <c r="BH562" s="42">
        <f t="shared" si="41"/>
        <v>0</v>
      </c>
      <c r="BI562" s="42">
        <f t="shared" si="42"/>
        <v>0</v>
      </c>
      <c r="BJ562" s="42">
        <f t="shared" si="43"/>
        <v>0</v>
      </c>
      <c r="BK562" s="45" t="s">
        <v>70</v>
      </c>
      <c r="BL562" s="31">
        <v>721</v>
      </c>
      <c r="BW562" s="31">
        <v>21</v>
      </c>
      <c r="BX562" s="41" t="s">
        <v>1043</v>
      </c>
    </row>
    <row r="563" spans="1:76" x14ac:dyDescent="0.25">
      <c r="A563" s="39" t="s">
        <v>1044</v>
      </c>
      <c r="B563" s="40" t="s">
        <v>1045</v>
      </c>
      <c r="C563" s="135" t="s">
        <v>1046</v>
      </c>
      <c r="D563" s="136"/>
      <c r="E563" s="40" t="s">
        <v>81</v>
      </c>
      <c r="F563" s="42">
        <v>1</v>
      </c>
      <c r="G563" s="43">
        <v>0</v>
      </c>
      <c r="H563" s="42">
        <f t="shared" si="22"/>
        <v>0</v>
      </c>
      <c r="I563" s="42">
        <f t="shared" si="23"/>
        <v>0</v>
      </c>
      <c r="J563" s="42">
        <f t="shared" si="24"/>
        <v>0</v>
      </c>
      <c r="K563" s="44" t="s">
        <v>60</v>
      </c>
      <c r="Z563" s="31">
        <f t="shared" si="25"/>
        <v>0</v>
      </c>
      <c r="AB563" s="31">
        <f t="shared" si="26"/>
        <v>0</v>
      </c>
      <c r="AC563" s="31">
        <f t="shared" si="27"/>
        <v>0</v>
      </c>
      <c r="AD563" s="31">
        <f t="shared" si="28"/>
        <v>0</v>
      </c>
      <c r="AE563" s="31">
        <f t="shared" si="29"/>
        <v>0</v>
      </c>
      <c r="AF563" s="31">
        <f t="shared" si="30"/>
        <v>0</v>
      </c>
      <c r="AG563" s="31">
        <f t="shared" si="31"/>
        <v>0</v>
      </c>
      <c r="AH563" s="31">
        <f t="shared" si="32"/>
        <v>0</v>
      </c>
      <c r="AI563" s="11" t="s">
        <v>73</v>
      </c>
      <c r="AJ563" s="42">
        <f t="shared" si="33"/>
        <v>0</v>
      </c>
      <c r="AK563" s="42">
        <f t="shared" si="34"/>
        <v>0</v>
      </c>
      <c r="AL563" s="42">
        <f t="shared" si="35"/>
        <v>0</v>
      </c>
      <c r="AN563" s="31">
        <v>21</v>
      </c>
      <c r="AO563" s="31">
        <f>G563*1</f>
        <v>0</v>
      </c>
      <c r="AP563" s="31">
        <f>G563*(1-1)</f>
        <v>0</v>
      </c>
      <c r="AQ563" s="45" t="s">
        <v>101</v>
      </c>
      <c r="AV563" s="31">
        <f t="shared" si="36"/>
        <v>0</v>
      </c>
      <c r="AW563" s="31">
        <f t="shared" si="37"/>
        <v>0</v>
      </c>
      <c r="AX563" s="31">
        <f t="shared" si="38"/>
        <v>0</v>
      </c>
      <c r="AY563" s="34" t="s">
        <v>1000</v>
      </c>
      <c r="AZ563" s="34" t="s">
        <v>1001</v>
      </c>
      <c r="BA563" s="11" t="s">
        <v>1002</v>
      </c>
      <c r="BC563" s="31">
        <f t="shared" si="39"/>
        <v>0</v>
      </c>
      <c r="BD563" s="31">
        <f t="shared" si="40"/>
        <v>0</v>
      </c>
      <c r="BE563" s="31">
        <v>0</v>
      </c>
      <c r="BF563" s="31">
        <f>563</f>
        <v>563</v>
      </c>
      <c r="BH563" s="42">
        <f t="shared" si="41"/>
        <v>0</v>
      </c>
      <c r="BI563" s="42">
        <f t="shared" si="42"/>
        <v>0</v>
      </c>
      <c r="BJ563" s="42">
        <f t="shared" si="43"/>
        <v>0</v>
      </c>
      <c r="BK563" s="45" t="s">
        <v>70</v>
      </c>
      <c r="BL563" s="31">
        <v>721</v>
      </c>
      <c r="BW563" s="31">
        <v>21</v>
      </c>
      <c r="BX563" s="41" t="s">
        <v>1046</v>
      </c>
    </row>
    <row r="564" spans="1:76" x14ac:dyDescent="0.25">
      <c r="A564" s="2" t="s">
        <v>1047</v>
      </c>
      <c r="B564" s="3" t="s">
        <v>1048</v>
      </c>
      <c r="C564" s="112" t="s">
        <v>1049</v>
      </c>
      <c r="D564" s="107"/>
      <c r="E564" s="3" t="s">
        <v>81</v>
      </c>
      <c r="F564" s="31">
        <v>1</v>
      </c>
      <c r="G564" s="32">
        <v>0</v>
      </c>
      <c r="H564" s="31">
        <f t="shared" si="22"/>
        <v>0</v>
      </c>
      <c r="I564" s="31">
        <f t="shared" si="23"/>
        <v>0</v>
      </c>
      <c r="J564" s="31">
        <f t="shared" si="24"/>
        <v>0</v>
      </c>
      <c r="K564" s="33" t="s">
        <v>60</v>
      </c>
      <c r="Z564" s="31">
        <f t="shared" si="25"/>
        <v>0</v>
      </c>
      <c r="AB564" s="31">
        <f t="shared" si="26"/>
        <v>0</v>
      </c>
      <c r="AC564" s="31">
        <f t="shared" si="27"/>
        <v>0</v>
      </c>
      <c r="AD564" s="31">
        <f t="shared" si="28"/>
        <v>0</v>
      </c>
      <c r="AE564" s="31">
        <f t="shared" si="29"/>
        <v>0</v>
      </c>
      <c r="AF564" s="31">
        <f t="shared" si="30"/>
        <v>0</v>
      </c>
      <c r="AG564" s="31">
        <f t="shared" si="31"/>
        <v>0</v>
      </c>
      <c r="AH564" s="31">
        <f t="shared" si="32"/>
        <v>0</v>
      </c>
      <c r="AI564" s="11" t="s">
        <v>73</v>
      </c>
      <c r="AJ564" s="31">
        <f t="shared" si="33"/>
        <v>0</v>
      </c>
      <c r="AK564" s="31">
        <f t="shared" si="34"/>
        <v>0</v>
      </c>
      <c r="AL564" s="31">
        <f t="shared" si="35"/>
        <v>0</v>
      </c>
      <c r="AN564" s="31">
        <v>21</v>
      </c>
      <c r="AO564" s="31">
        <f>G564*0</f>
        <v>0</v>
      </c>
      <c r="AP564" s="31">
        <f>G564*(1-0)</f>
        <v>0</v>
      </c>
      <c r="AQ564" s="34" t="s">
        <v>101</v>
      </c>
      <c r="AV564" s="31">
        <f t="shared" si="36"/>
        <v>0</v>
      </c>
      <c r="AW564" s="31">
        <f t="shared" si="37"/>
        <v>0</v>
      </c>
      <c r="AX564" s="31">
        <f t="shared" si="38"/>
        <v>0</v>
      </c>
      <c r="AY564" s="34" t="s">
        <v>1000</v>
      </c>
      <c r="AZ564" s="34" t="s">
        <v>1001</v>
      </c>
      <c r="BA564" s="11" t="s">
        <v>1002</v>
      </c>
      <c r="BC564" s="31">
        <f t="shared" si="39"/>
        <v>0</v>
      </c>
      <c r="BD564" s="31">
        <f t="shared" si="40"/>
        <v>0</v>
      </c>
      <c r="BE564" s="31">
        <v>0</v>
      </c>
      <c r="BF564" s="31">
        <f>564</f>
        <v>564</v>
      </c>
      <c r="BH564" s="31">
        <f t="shared" si="41"/>
        <v>0</v>
      </c>
      <c r="BI564" s="31">
        <f t="shared" si="42"/>
        <v>0</v>
      </c>
      <c r="BJ564" s="31">
        <f t="shared" si="43"/>
        <v>0</v>
      </c>
      <c r="BK564" s="34" t="s">
        <v>64</v>
      </c>
      <c r="BL564" s="31">
        <v>721</v>
      </c>
      <c r="BW564" s="31">
        <v>21</v>
      </c>
      <c r="BX564" s="5" t="s">
        <v>1049</v>
      </c>
    </row>
    <row r="565" spans="1:76" x14ac:dyDescent="0.25">
      <c r="A565" s="35"/>
      <c r="C565" s="36" t="s">
        <v>56</v>
      </c>
      <c r="D565" s="36" t="s">
        <v>1050</v>
      </c>
      <c r="F565" s="37">
        <v>1</v>
      </c>
      <c r="K565" s="38"/>
    </row>
    <row r="566" spans="1:76" x14ac:dyDescent="0.25">
      <c r="A566" s="2" t="s">
        <v>1051</v>
      </c>
      <c r="B566" s="3" t="s">
        <v>1052</v>
      </c>
      <c r="C566" s="112" t="s">
        <v>1053</v>
      </c>
      <c r="D566" s="107"/>
      <c r="E566" s="3" t="s">
        <v>81</v>
      </c>
      <c r="F566" s="31">
        <v>2</v>
      </c>
      <c r="G566" s="32">
        <v>0</v>
      </c>
      <c r="H566" s="31">
        <f>ROUND(F566*AO566,2)</f>
        <v>0</v>
      </c>
      <c r="I566" s="31">
        <f>ROUND(F566*AP566,2)</f>
        <v>0</v>
      </c>
      <c r="J566" s="31">
        <f>ROUND(F566*G566,2)</f>
        <v>0</v>
      </c>
      <c r="K566" s="33" t="s">
        <v>60</v>
      </c>
      <c r="Z566" s="31">
        <f>ROUND(IF(AQ566="5",BJ566,0),2)</f>
        <v>0</v>
      </c>
      <c r="AB566" s="31">
        <f>ROUND(IF(AQ566="1",BH566,0),2)</f>
        <v>0</v>
      </c>
      <c r="AC566" s="31">
        <f>ROUND(IF(AQ566="1",BI566,0),2)</f>
        <v>0</v>
      </c>
      <c r="AD566" s="31">
        <f>ROUND(IF(AQ566="7",BH566,0),2)</f>
        <v>0</v>
      </c>
      <c r="AE566" s="31">
        <f>ROUND(IF(AQ566="7",BI566,0),2)</f>
        <v>0</v>
      </c>
      <c r="AF566" s="31">
        <f>ROUND(IF(AQ566="2",BH566,0),2)</f>
        <v>0</v>
      </c>
      <c r="AG566" s="31">
        <f>ROUND(IF(AQ566="2",BI566,0),2)</f>
        <v>0</v>
      </c>
      <c r="AH566" s="31">
        <f>ROUND(IF(AQ566="0",BJ566,0),2)</f>
        <v>0</v>
      </c>
      <c r="AI566" s="11" t="s">
        <v>73</v>
      </c>
      <c r="AJ566" s="31">
        <f>IF(AN566=0,J566,0)</f>
        <v>0</v>
      </c>
      <c r="AK566" s="31">
        <f>IF(AN566=12,J566,0)</f>
        <v>0</v>
      </c>
      <c r="AL566" s="31">
        <f>IF(AN566=21,J566,0)</f>
        <v>0</v>
      </c>
      <c r="AN566" s="31">
        <v>21</v>
      </c>
      <c r="AO566" s="31">
        <f>G566*0</f>
        <v>0</v>
      </c>
      <c r="AP566" s="31">
        <f>G566*(1-0)</f>
        <v>0</v>
      </c>
      <c r="AQ566" s="34" t="s">
        <v>101</v>
      </c>
      <c r="AV566" s="31">
        <f>ROUND(AW566+AX566,2)</f>
        <v>0</v>
      </c>
      <c r="AW566" s="31">
        <f>ROUND(F566*AO566,2)</f>
        <v>0</v>
      </c>
      <c r="AX566" s="31">
        <f>ROUND(F566*AP566,2)</f>
        <v>0</v>
      </c>
      <c r="AY566" s="34" t="s">
        <v>1000</v>
      </c>
      <c r="AZ566" s="34" t="s">
        <v>1001</v>
      </c>
      <c r="BA566" s="11" t="s">
        <v>1002</v>
      </c>
      <c r="BC566" s="31">
        <f>AW566+AX566</f>
        <v>0</v>
      </c>
      <c r="BD566" s="31">
        <f>G566/(100-BE566)*100</f>
        <v>0</v>
      </c>
      <c r="BE566" s="31">
        <v>0</v>
      </c>
      <c r="BF566" s="31">
        <f>566</f>
        <v>566</v>
      </c>
      <c r="BH566" s="31">
        <f>F566*AO566</f>
        <v>0</v>
      </c>
      <c r="BI566" s="31">
        <f>F566*AP566</f>
        <v>0</v>
      </c>
      <c r="BJ566" s="31">
        <f>F566*G566</f>
        <v>0</v>
      </c>
      <c r="BK566" s="34" t="s">
        <v>64</v>
      </c>
      <c r="BL566" s="31">
        <v>721</v>
      </c>
      <c r="BW566" s="31">
        <v>21</v>
      </c>
      <c r="BX566" s="5" t="s">
        <v>1053</v>
      </c>
    </row>
    <row r="567" spans="1:76" x14ac:dyDescent="0.25">
      <c r="A567" s="35"/>
      <c r="C567" s="36" t="s">
        <v>1054</v>
      </c>
      <c r="D567" s="36" t="s">
        <v>1055</v>
      </c>
      <c r="F567" s="37">
        <v>2</v>
      </c>
      <c r="K567" s="38"/>
    </row>
    <row r="568" spans="1:76" x14ac:dyDescent="0.25">
      <c r="A568" s="2" t="s">
        <v>1056</v>
      </c>
      <c r="B568" s="3" t="s">
        <v>1057</v>
      </c>
      <c r="C568" s="112" t="s">
        <v>1058</v>
      </c>
      <c r="D568" s="107"/>
      <c r="E568" s="3" t="s">
        <v>81</v>
      </c>
      <c r="F568" s="31">
        <v>2</v>
      </c>
      <c r="G568" s="32">
        <v>0</v>
      </c>
      <c r="H568" s="31">
        <f>ROUND(F568*AO568,2)</f>
        <v>0</v>
      </c>
      <c r="I568" s="31">
        <f>ROUND(F568*AP568,2)</f>
        <v>0</v>
      </c>
      <c r="J568" s="31">
        <f>ROUND(F568*G568,2)</f>
        <v>0</v>
      </c>
      <c r="K568" s="33" t="s">
        <v>60</v>
      </c>
      <c r="Z568" s="31">
        <f>ROUND(IF(AQ568="5",BJ568,0),2)</f>
        <v>0</v>
      </c>
      <c r="AB568" s="31">
        <f>ROUND(IF(AQ568="1",BH568,0),2)</f>
        <v>0</v>
      </c>
      <c r="AC568" s="31">
        <f>ROUND(IF(AQ568="1",BI568,0),2)</f>
        <v>0</v>
      </c>
      <c r="AD568" s="31">
        <f>ROUND(IF(AQ568="7",BH568,0),2)</f>
        <v>0</v>
      </c>
      <c r="AE568" s="31">
        <f>ROUND(IF(AQ568="7",BI568,0),2)</f>
        <v>0</v>
      </c>
      <c r="AF568" s="31">
        <f>ROUND(IF(AQ568="2",BH568,0),2)</f>
        <v>0</v>
      </c>
      <c r="AG568" s="31">
        <f>ROUND(IF(AQ568="2",BI568,0),2)</f>
        <v>0</v>
      </c>
      <c r="AH568" s="31">
        <f>ROUND(IF(AQ568="0",BJ568,0),2)</f>
        <v>0</v>
      </c>
      <c r="AI568" s="11" t="s">
        <v>73</v>
      </c>
      <c r="AJ568" s="31">
        <f>IF(AN568=0,J568,0)</f>
        <v>0</v>
      </c>
      <c r="AK568" s="31">
        <f>IF(AN568=12,J568,0)</f>
        <v>0</v>
      </c>
      <c r="AL568" s="31">
        <f>IF(AN568=21,J568,0)</f>
        <v>0</v>
      </c>
      <c r="AN568" s="31">
        <v>21</v>
      </c>
      <c r="AO568" s="31">
        <f>G568*0</f>
        <v>0</v>
      </c>
      <c r="AP568" s="31">
        <f>G568*(1-0)</f>
        <v>0</v>
      </c>
      <c r="AQ568" s="34" t="s">
        <v>101</v>
      </c>
      <c r="AV568" s="31">
        <f>ROUND(AW568+AX568,2)</f>
        <v>0</v>
      </c>
      <c r="AW568" s="31">
        <f>ROUND(F568*AO568,2)</f>
        <v>0</v>
      </c>
      <c r="AX568" s="31">
        <f>ROUND(F568*AP568,2)</f>
        <v>0</v>
      </c>
      <c r="AY568" s="34" t="s">
        <v>1000</v>
      </c>
      <c r="AZ568" s="34" t="s">
        <v>1001</v>
      </c>
      <c r="BA568" s="11" t="s">
        <v>1002</v>
      </c>
      <c r="BC568" s="31">
        <f>AW568+AX568</f>
        <v>0</v>
      </c>
      <c r="BD568" s="31">
        <f>G568/(100-BE568)*100</f>
        <v>0</v>
      </c>
      <c r="BE568" s="31">
        <v>0</v>
      </c>
      <c r="BF568" s="31">
        <f>568</f>
        <v>568</v>
      </c>
      <c r="BH568" s="31">
        <f>F568*AO568</f>
        <v>0</v>
      </c>
      <c r="BI568" s="31">
        <f>F568*AP568</f>
        <v>0</v>
      </c>
      <c r="BJ568" s="31">
        <f>F568*G568</f>
        <v>0</v>
      </c>
      <c r="BK568" s="34" t="s">
        <v>64</v>
      </c>
      <c r="BL568" s="31">
        <v>721</v>
      </c>
      <c r="BW568" s="31">
        <v>21</v>
      </c>
      <c r="BX568" s="5" t="s">
        <v>1058</v>
      </c>
    </row>
    <row r="569" spans="1:76" x14ac:dyDescent="0.25">
      <c r="A569" s="35"/>
      <c r="C569" s="36" t="s">
        <v>1054</v>
      </c>
      <c r="D569" s="36" t="s">
        <v>1059</v>
      </c>
      <c r="F569" s="37">
        <v>2</v>
      </c>
      <c r="K569" s="38"/>
    </row>
    <row r="570" spans="1:76" x14ac:dyDescent="0.25">
      <c r="A570" s="2" t="s">
        <v>1060</v>
      </c>
      <c r="B570" s="3" t="s">
        <v>1061</v>
      </c>
      <c r="C570" s="112" t="s">
        <v>1062</v>
      </c>
      <c r="D570" s="107"/>
      <c r="E570" s="3" t="s">
        <v>81</v>
      </c>
      <c r="F570" s="31">
        <v>2</v>
      </c>
      <c r="G570" s="32">
        <v>0</v>
      </c>
      <c r="H570" s="31">
        <f>ROUND(F570*AO570,2)</f>
        <v>0</v>
      </c>
      <c r="I570" s="31">
        <f>ROUND(F570*AP570,2)</f>
        <v>0</v>
      </c>
      <c r="J570" s="31">
        <f>ROUND(F570*G570,2)</f>
        <v>0</v>
      </c>
      <c r="K570" s="33" t="s">
        <v>60</v>
      </c>
      <c r="Z570" s="31">
        <f>ROUND(IF(AQ570="5",BJ570,0),2)</f>
        <v>0</v>
      </c>
      <c r="AB570" s="31">
        <f>ROUND(IF(AQ570="1",BH570,0),2)</f>
        <v>0</v>
      </c>
      <c r="AC570" s="31">
        <f>ROUND(IF(AQ570="1",BI570,0),2)</f>
        <v>0</v>
      </c>
      <c r="AD570" s="31">
        <f>ROUND(IF(AQ570="7",BH570,0),2)</f>
        <v>0</v>
      </c>
      <c r="AE570" s="31">
        <f>ROUND(IF(AQ570="7",BI570,0),2)</f>
        <v>0</v>
      </c>
      <c r="AF570" s="31">
        <f>ROUND(IF(AQ570="2",BH570,0),2)</f>
        <v>0</v>
      </c>
      <c r="AG570" s="31">
        <f>ROUND(IF(AQ570="2",BI570,0),2)</f>
        <v>0</v>
      </c>
      <c r="AH570" s="31">
        <f>ROUND(IF(AQ570="0",BJ570,0),2)</f>
        <v>0</v>
      </c>
      <c r="AI570" s="11" t="s">
        <v>73</v>
      </c>
      <c r="AJ570" s="31">
        <f>IF(AN570=0,J570,0)</f>
        <v>0</v>
      </c>
      <c r="AK570" s="31">
        <f>IF(AN570=12,J570,0)</f>
        <v>0</v>
      </c>
      <c r="AL570" s="31">
        <f>IF(AN570=21,J570,0)</f>
        <v>0</v>
      </c>
      <c r="AN570" s="31">
        <v>21</v>
      </c>
      <c r="AO570" s="31">
        <f>G570*0</f>
        <v>0</v>
      </c>
      <c r="AP570" s="31">
        <f>G570*(1-0)</f>
        <v>0</v>
      </c>
      <c r="AQ570" s="34" t="s">
        <v>101</v>
      </c>
      <c r="AV570" s="31">
        <f>ROUND(AW570+AX570,2)</f>
        <v>0</v>
      </c>
      <c r="AW570" s="31">
        <f>ROUND(F570*AO570,2)</f>
        <v>0</v>
      </c>
      <c r="AX570" s="31">
        <f>ROUND(F570*AP570,2)</f>
        <v>0</v>
      </c>
      <c r="AY570" s="34" t="s">
        <v>1000</v>
      </c>
      <c r="AZ570" s="34" t="s">
        <v>1001</v>
      </c>
      <c r="BA570" s="11" t="s">
        <v>1002</v>
      </c>
      <c r="BC570" s="31">
        <f>AW570+AX570</f>
        <v>0</v>
      </c>
      <c r="BD570" s="31">
        <f>G570/(100-BE570)*100</f>
        <v>0</v>
      </c>
      <c r="BE570" s="31">
        <v>0</v>
      </c>
      <c r="BF570" s="31">
        <f>570</f>
        <v>570</v>
      </c>
      <c r="BH570" s="31">
        <f>F570*AO570</f>
        <v>0</v>
      </c>
      <c r="BI570" s="31">
        <f>F570*AP570</f>
        <v>0</v>
      </c>
      <c r="BJ570" s="31">
        <f>F570*G570</f>
        <v>0</v>
      </c>
      <c r="BK570" s="34" t="s">
        <v>64</v>
      </c>
      <c r="BL570" s="31">
        <v>721</v>
      </c>
      <c r="BW570" s="31">
        <v>21</v>
      </c>
      <c r="BX570" s="5" t="s">
        <v>1062</v>
      </c>
    </row>
    <row r="571" spans="1:76" x14ac:dyDescent="0.25">
      <c r="A571" s="35"/>
      <c r="C571" s="36" t="s">
        <v>1054</v>
      </c>
      <c r="D571" s="36" t="s">
        <v>1063</v>
      </c>
      <c r="F571" s="37">
        <v>2</v>
      </c>
      <c r="K571" s="38"/>
    </row>
    <row r="572" spans="1:76" x14ac:dyDescent="0.25">
      <c r="A572" s="2" t="s">
        <v>1064</v>
      </c>
      <c r="B572" s="3" t="s">
        <v>1065</v>
      </c>
      <c r="C572" s="112" t="s">
        <v>1066</v>
      </c>
      <c r="D572" s="107"/>
      <c r="E572" s="3" t="s">
        <v>215</v>
      </c>
      <c r="F572" s="31">
        <v>11</v>
      </c>
      <c r="G572" s="32">
        <v>0</v>
      </c>
      <c r="H572" s="31">
        <f>ROUND(F572*AO572,2)</f>
        <v>0</v>
      </c>
      <c r="I572" s="31">
        <f>ROUND(F572*AP572,2)</f>
        <v>0</v>
      </c>
      <c r="J572" s="31">
        <f>ROUND(F572*G572,2)</f>
        <v>0</v>
      </c>
      <c r="K572" s="33" t="s">
        <v>60</v>
      </c>
      <c r="Z572" s="31">
        <f>ROUND(IF(AQ572="5",BJ572,0),2)</f>
        <v>0</v>
      </c>
      <c r="AB572" s="31">
        <f>ROUND(IF(AQ572="1",BH572,0),2)</f>
        <v>0</v>
      </c>
      <c r="AC572" s="31">
        <f>ROUND(IF(AQ572="1",BI572,0),2)</f>
        <v>0</v>
      </c>
      <c r="AD572" s="31">
        <f>ROUND(IF(AQ572="7",BH572,0),2)</f>
        <v>0</v>
      </c>
      <c r="AE572" s="31">
        <f>ROUND(IF(AQ572="7",BI572,0),2)</f>
        <v>0</v>
      </c>
      <c r="AF572" s="31">
        <f>ROUND(IF(AQ572="2",BH572,0),2)</f>
        <v>0</v>
      </c>
      <c r="AG572" s="31">
        <f>ROUND(IF(AQ572="2",BI572,0),2)</f>
        <v>0</v>
      </c>
      <c r="AH572" s="31">
        <f>ROUND(IF(AQ572="0",BJ572,0),2)</f>
        <v>0</v>
      </c>
      <c r="AI572" s="11" t="s">
        <v>73</v>
      </c>
      <c r="AJ572" s="31">
        <f>IF(AN572=0,J572,0)</f>
        <v>0</v>
      </c>
      <c r="AK572" s="31">
        <f>IF(AN572=12,J572,0)</f>
        <v>0</v>
      </c>
      <c r="AL572" s="31">
        <f>IF(AN572=21,J572,0)</f>
        <v>0</v>
      </c>
      <c r="AN572" s="31">
        <v>21</v>
      </c>
      <c r="AO572" s="31">
        <f>G572*0</f>
        <v>0</v>
      </c>
      <c r="AP572" s="31">
        <f>G572*(1-0)</f>
        <v>0</v>
      </c>
      <c r="AQ572" s="34" t="s">
        <v>101</v>
      </c>
      <c r="AV572" s="31">
        <f>ROUND(AW572+AX572,2)</f>
        <v>0</v>
      </c>
      <c r="AW572" s="31">
        <f>ROUND(F572*AO572,2)</f>
        <v>0</v>
      </c>
      <c r="AX572" s="31">
        <f>ROUND(F572*AP572,2)</f>
        <v>0</v>
      </c>
      <c r="AY572" s="34" t="s">
        <v>1000</v>
      </c>
      <c r="AZ572" s="34" t="s">
        <v>1001</v>
      </c>
      <c r="BA572" s="11" t="s">
        <v>1002</v>
      </c>
      <c r="BC572" s="31">
        <f>AW572+AX572</f>
        <v>0</v>
      </c>
      <c r="BD572" s="31">
        <f>G572/(100-BE572)*100</f>
        <v>0</v>
      </c>
      <c r="BE572" s="31">
        <v>0</v>
      </c>
      <c r="BF572" s="31">
        <f>572</f>
        <v>572</v>
      </c>
      <c r="BH572" s="31">
        <f>F572*AO572</f>
        <v>0</v>
      </c>
      <c r="BI572" s="31">
        <f>F572*AP572</f>
        <v>0</v>
      </c>
      <c r="BJ572" s="31">
        <f>F572*G572</f>
        <v>0</v>
      </c>
      <c r="BK572" s="34" t="s">
        <v>64</v>
      </c>
      <c r="BL572" s="31">
        <v>721</v>
      </c>
      <c r="BW572" s="31">
        <v>21</v>
      </c>
      <c r="BX572" s="5" t="s">
        <v>1066</v>
      </c>
    </row>
    <row r="573" spans="1:76" x14ac:dyDescent="0.25">
      <c r="A573" s="35"/>
      <c r="C573" s="36" t="s">
        <v>1067</v>
      </c>
      <c r="D573" s="36" t="s">
        <v>52</v>
      </c>
      <c r="F573" s="37">
        <v>11</v>
      </c>
      <c r="K573" s="38"/>
    </row>
    <row r="574" spans="1:76" x14ac:dyDescent="0.25">
      <c r="A574" s="2" t="s">
        <v>1068</v>
      </c>
      <c r="B574" s="3" t="s">
        <v>1069</v>
      </c>
      <c r="C574" s="112" t="s">
        <v>1070</v>
      </c>
      <c r="D574" s="107"/>
      <c r="E574" s="3" t="s">
        <v>276</v>
      </c>
      <c r="F574" s="31">
        <v>1.891E-2</v>
      </c>
      <c r="G574" s="32">
        <v>0</v>
      </c>
      <c r="H574" s="31">
        <f>ROUND(F574*AO574,2)</f>
        <v>0</v>
      </c>
      <c r="I574" s="31">
        <f>ROUND(F574*AP574,2)</f>
        <v>0</v>
      </c>
      <c r="J574" s="31">
        <f>ROUND(F574*G574,2)</f>
        <v>0</v>
      </c>
      <c r="K574" s="33" t="s">
        <v>60</v>
      </c>
      <c r="Z574" s="31">
        <f>ROUND(IF(AQ574="5",BJ574,0),2)</f>
        <v>0</v>
      </c>
      <c r="AB574" s="31">
        <f>ROUND(IF(AQ574="1",BH574,0),2)</f>
        <v>0</v>
      </c>
      <c r="AC574" s="31">
        <f>ROUND(IF(AQ574="1",BI574,0),2)</f>
        <v>0</v>
      </c>
      <c r="AD574" s="31">
        <f>ROUND(IF(AQ574="7",BH574,0),2)</f>
        <v>0</v>
      </c>
      <c r="AE574" s="31">
        <f>ROUND(IF(AQ574="7",BI574,0),2)</f>
        <v>0</v>
      </c>
      <c r="AF574" s="31">
        <f>ROUND(IF(AQ574="2",BH574,0),2)</f>
        <v>0</v>
      </c>
      <c r="AG574" s="31">
        <f>ROUND(IF(AQ574="2",BI574,0),2)</f>
        <v>0</v>
      </c>
      <c r="AH574" s="31">
        <f>ROUND(IF(AQ574="0",BJ574,0),2)</f>
        <v>0</v>
      </c>
      <c r="AI574" s="11" t="s">
        <v>73</v>
      </c>
      <c r="AJ574" s="31">
        <f>IF(AN574=0,J574,0)</f>
        <v>0</v>
      </c>
      <c r="AK574" s="31">
        <f>IF(AN574=12,J574,0)</f>
        <v>0</v>
      </c>
      <c r="AL574" s="31">
        <f>IF(AN574=21,J574,0)</f>
        <v>0</v>
      </c>
      <c r="AN574" s="31">
        <v>21</v>
      </c>
      <c r="AO574" s="31">
        <f>G574*0</f>
        <v>0</v>
      </c>
      <c r="AP574" s="31">
        <f>G574*(1-0)</f>
        <v>0</v>
      </c>
      <c r="AQ574" s="34" t="s">
        <v>85</v>
      </c>
      <c r="AV574" s="31">
        <f>ROUND(AW574+AX574,2)</f>
        <v>0</v>
      </c>
      <c r="AW574" s="31">
        <f>ROUND(F574*AO574,2)</f>
        <v>0</v>
      </c>
      <c r="AX574" s="31">
        <f>ROUND(F574*AP574,2)</f>
        <v>0</v>
      </c>
      <c r="AY574" s="34" t="s">
        <v>1000</v>
      </c>
      <c r="AZ574" s="34" t="s">
        <v>1001</v>
      </c>
      <c r="BA574" s="11" t="s">
        <v>1002</v>
      </c>
      <c r="BC574" s="31">
        <f>AW574+AX574</f>
        <v>0</v>
      </c>
      <c r="BD574" s="31">
        <f>G574/(100-BE574)*100</f>
        <v>0</v>
      </c>
      <c r="BE574" s="31">
        <v>0</v>
      </c>
      <c r="BF574" s="31">
        <f>574</f>
        <v>574</v>
      </c>
      <c r="BH574" s="31">
        <f>F574*AO574</f>
        <v>0</v>
      </c>
      <c r="BI574" s="31">
        <f>F574*AP574</f>
        <v>0</v>
      </c>
      <c r="BJ574" s="31">
        <f>F574*G574</f>
        <v>0</v>
      </c>
      <c r="BK574" s="34" t="s">
        <v>64</v>
      </c>
      <c r="BL574" s="31">
        <v>721</v>
      </c>
      <c r="BW574" s="31">
        <v>21</v>
      </c>
      <c r="BX574" s="5" t="s">
        <v>1070</v>
      </c>
    </row>
    <row r="575" spans="1:76" x14ac:dyDescent="0.25">
      <c r="A575" s="26" t="s">
        <v>52</v>
      </c>
      <c r="B575" s="27" t="s">
        <v>1071</v>
      </c>
      <c r="C575" s="133" t="s">
        <v>1072</v>
      </c>
      <c r="D575" s="134"/>
      <c r="E575" s="28" t="s">
        <v>4</v>
      </c>
      <c r="F575" s="28" t="s">
        <v>4</v>
      </c>
      <c r="G575" s="29" t="s">
        <v>4</v>
      </c>
      <c r="H575" s="1">
        <f>SUM(H576:H615)</f>
        <v>0</v>
      </c>
      <c r="I575" s="1">
        <f>SUM(I576:I615)</f>
        <v>0</v>
      </c>
      <c r="J575" s="1">
        <f>SUM(J576:J615)</f>
        <v>0</v>
      </c>
      <c r="K575" s="30" t="s">
        <v>52</v>
      </c>
      <c r="AI575" s="11" t="s">
        <v>73</v>
      </c>
      <c r="AS575" s="1">
        <f>SUM(AJ576:AJ615)</f>
        <v>0</v>
      </c>
      <c r="AT575" s="1">
        <f>SUM(AK576:AK615)</f>
        <v>0</v>
      </c>
      <c r="AU575" s="1">
        <f>SUM(AL576:AL615)</f>
        <v>0</v>
      </c>
    </row>
    <row r="576" spans="1:76" x14ac:dyDescent="0.25">
      <c r="A576" s="2" t="s">
        <v>1073</v>
      </c>
      <c r="B576" s="3" t="s">
        <v>1074</v>
      </c>
      <c r="C576" s="112" t="s">
        <v>1075</v>
      </c>
      <c r="D576" s="107"/>
      <c r="E576" s="3" t="s">
        <v>215</v>
      </c>
      <c r="F576" s="31">
        <v>9</v>
      </c>
      <c r="G576" s="32">
        <v>0</v>
      </c>
      <c r="H576" s="31">
        <f>ROUND(F576*AO576,2)</f>
        <v>0</v>
      </c>
      <c r="I576" s="31">
        <f>ROUND(F576*AP576,2)</f>
        <v>0</v>
      </c>
      <c r="J576" s="31">
        <f>ROUND(F576*G576,2)</f>
        <v>0</v>
      </c>
      <c r="K576" s="33" t="s">
        <v>60</v>
      </c>
      <c r="Z576" s="31">
        <f>ROUND(IF(AQ576="5",BJ576,0),2)</f>
        <v>0</v>
      </c>
      <c r="AB576" s="31">
        <f>ROUND(IF(AQ576="1",BH576,0),2)</f>
        <v>0</v>
      </c>
      <c r="AC576" s="31">
        <f>ROUND(IF(AQ576="1",BI576,0),2)</f>
        <v>0</v>
      </c>
      <c r="AD576" s="31">
        <f>ROUND(IF(AQ576="7",BH576,0),2)</f>
        <v>0</v>
      </c>
      <c r="AE576" s="31">
        <f>ROUND(IF(AQ576="7",BI576,0),2)</f>
        <v>0</v>
      </c>
      <c r="AF576" s="31">
        <f>ROUND(IF(AQ576="2",BH576,0),2)</f>
        <v>0</v>
      </c>
      <c r="AG576" s="31">
        <f>ROUND(IF(AQ576="2",BI576,0),2)</f>
        <v>0</v>
      </c>
      <c r="AH576" s="31">
        <f>ROUND(IF(AQ576="0",BJ576,0),2)</f>
        <v>0</v>
      </c>
      <c r="AI576" s="11" t="s">
        <v>73</v>
      </c>
      <c r="AJ576" s="31">
        <f>IF(AN576=0,J576,0)</f>
        <v>0</v>
      </c>
      <c r="AK576" s="31">
        <f>IF(AN576=12,J576,0)</f>
        <v>0</v>
      </c>
      <c r="AL576" s="31">
        <f>IF(AN576=21,J576,0)</f>
        <v>0</v>
      </c>
      <c r="AN576" s="31">
        <v>21</v>
      </c>
      <c r="AO576" s="31">
        <f>G576*0</f>
        <v>0</v>
      </c>
      <c r="AP576" s="31">
        <f>G576*(1-0)</f>
        <v>0</v>
      </c>
      <c r="AQ576" s="34" t="s">
        <v>101</v>
      </c>
      <c r="AV576" s="31">
        <f>ROUND(AW576+AX576,2)</f>
        <v>0</v>
      </c>
      <c r="AW576" s="31">
        <f>ROUND(F576*AO576,2)</f>
        <v>0</v>
      </c>
      <c r="AX576" s="31">
        <f>ROUND(F576*AP576,2)</f>
        <v>0</v>
      </c>
      <c r="AY576" s="34" t="s">
        <v>1076</v>
      </c>
      <c r="AZ576" s="34" t="s">
        <v>1001</v>
      </c>
      <c r="BA576" s="11" t="s">
        <v>1002</v>
      </c>
      <c r="BC576" s="31">
        <f>AW576+AX576</f>
        <v>0</v>
      </c>
      <c r="BD576" s="31">
        <f>G576/(100-BE576)*100</f>
        <v>0</v>
      </c>
      <c r="BE576" s="31">
        <v>0</v>
      </c>
      <c r="BF576" s="31">
        <f>576</f>
        <v>576</v>
      </c>
      <c r="BH576" s="31">
        <f>F576*AO576</f>
        <v>0</v>
      </c>
      <c r="BI576" s="31">
        <f>F576*AP576</f>
        <v>0</v>
      </c>
      <c r="BJ576" s="31">
        <f>F576*G576</f>
        <v>0</v>
      </c>
      <c r="BK576" s="34" t="s">
        <v>64</v>
      </c>
      <c r="BL576" s="31">
        <v>722</v>
      </c>
      <c r="BW576" s="31">
        <v>21</v>
      </c>
      <c r="BX576" s="5" t="s">
        <v>1075</v>
      </c>
    </row>
    <row r="577" spans="1:76" x14ac:dyDescent="0.25">
      <c r="A577" s="35"/>
      <c r="C577" s="36" t="s">
        <v>1077</v>
      </c>
      <c r="D577" s="36" t="s">
        <v>52</v>
      </c>
      <c r="F577" s="37">
        <v>9</v>
      </c>
      <c r="K577" s="38"/>
    </row>
    <row r="578" spans="1:76" x14ac:dyDescent="0.25">
      <c r="A578" s="2" t="s">
        <v>1078</v>
      </c>
      <c r="B578" s="3" t="s">
        <v>1079</v>
      </c>
      <c r="C578" s="112" t="s">
        <v>1080</v>
      </c>
      <c r="D578" s="107"/>
      <c r="E578" s="3" t="s">
        <v>81</v>
      </c>
      <c r="F578" s="31">
        <v>3</v>
      </c>
      <c r="G578" s="32">
        <v>0</v>
      </c>
      <c r="H578" s="31">
        <f>ROUND(F578*AO578,2)</f>
        <v>0</v>
      </c>
      <c r="I578" s="31">
        <f>ROUND(F578*AP578,2)</f>
        <v>0</v>
      </c>
      <c r="J578" s="31">
        <f>ROUND(F578*G578,2)</f>
        <v>0</v>
      </c>
      <c r="K578" s="33" t="s">
        <v>60</v>
      </c>
      <c r="Z578" s="31">
        <f>ROUND(IF(AQ578="5",BJ578,0),2)</f>
        <v>0</v>
      </c>
      <c r="AB578" s="31">
        <f>ROUND(IF(AQ578="1",BH578,0),2)</f>
        <v>0</v>
      </c>
      <c r="AC578" s="31">
        <f>ROUND(IF(AQ578="1",BI578,0),2)</f>
        <v>0</v>
      </c>
      <c r="AD578" s="31">
        <f>ROUND(IF(AQ578="7",BH578,0),2)</f>
        <v>0</v>
      </c>
      <c r="AE578" s="31">
        <f>ROUND(IF(AQ578="7",BI578,0),2)</f>
        <v>0</v>
      </c>
      <c r="AF578" s="31">
        <f>ROUND(IF(AQ578="2",BH578,0),2)</f>
        <v>0</v>
      </c>
      <c r="AG578" s="31">
        <f>ROUND(IF(AQ578="2",BI578,0),2)</f>
        <v>0</v>
      </c>
      <c r="AH578" s="31">
        <f>ROUND(IF(AQ578="0",BJ578,0),2)</f>
        <v>0</v>
      </c>
      <c r="AI578" s="11" t="s">
        <v>73</v>
      </c>
      <c r="AJ578" s="31">
        <f>IF(AN578=0,J578,0)</f>
        <v>0</v>
      </c>
      <c r="AK578" s="31">
        <f>IF(AN578=12,J578,0)</f>
        <v>0</v>
      </c>
      <c r="AL578" s="31">
        <f>IF(AN578=21,J578,0)</f>
        <v>0</v>
      </c>
      <c r="AN578" s="31">
        <v>21</v>
      </c>
      <c r="AO578" s="31">
        <f>G578*0</f>
        <v>0</v>
      </c>
      <c r="AP578" s="31">
        <f>G578*(1-0)</f>
        <v>0</v>
      </c>
      <c r="AQ578" s="34" t="s">
        <v>101</v>
      </c>
      <c r="AV578" s="31">
        <f>ROUND(AW578+AX578,2)</f>
        <v>0</v>
      </c>
      <c r="AW578" s="31">
        <f>ROUND(F578*AO578,2)</f>
        <v>0</v>
      </c>
      <c r="AX578" s="31">
        <f>ROUND(F578*AP578,2)</f>
        <v>0</v>
      </c>
      <c r="AY578" s="34" t="s">
        <v>1076</v>
      </c>
      <c r="AZ578" s="34" t="s">
        <v>1001</v>
      </c>
      <c r="BA578" s="11" t="s">
        <v>1002</v>
      </c>
      <c r="BC578" s="31">
        <f>AW578+AX578</f>
        <v>0</v>
      </c>
      <c r="BD578" s="31">
        <f>G578/(100-BE578)*100</f>
        <v>0</v>
      </c>
      <c r="BE578" s="31">
        <v>0</v>
      </c>
      <c r="BF578" s="31">
        <f>578</f>
        <v>578</v>
      </c>
      <c r="BH578" s="31">
        <f>F578*AO578</f>
        <v>0</v>
      </c>
      <c r="BI578" s="31">
        <f>F578*AP578</f>
        <v>0</v>
      </c>
      <c r="BJ578" s="31">
        <f>F578*G578</f>
        <v>0</v>
      </c>
      <c r="BK578" s="34" t="s">
        <v>64</v>
      </c>
      <c r="BL578" s="31">
        <v>722</v>
      </c>
      <c r="BW578" s="31">
        <v>21</v>
      </c>
      <c r="BX578" s="5" t="s">
        <v>1080</v>
      </c>
    </row>
    <row r="579" spans="1:76" x14ac:dyDescent="0.25">
      <c r="A579" s="2" t="s">
        <v>1081</v>
      </c>
      <c r="B579" s="3" t="s">
        <v>1082</v>
      </c>
      <c r="C579" s="112" t="s">
        <v>1083</v>
      </c>
      <c r="D579" s="107"/>
      <c r="E579" s="3" t="s">
        <v>81</v>
      </c>
      <c r="F579" s="31">
        <v>3</v>
      </c>
      <c r="G579" s="32">
        <v>0</v>
      </c>
      <c r="H579" s="31">
        <f>ROUND(F579*AO579,2)</f>
        <v>0</v>
      </c>
      <c r="I579" s="31">
        <f>ROUND(F579*AP579,2)</f>
        <v>0</v>
      </c>
      <c r="J579" s="31">
        <f>ROUND(F579*G579,2)</f>
        <v>0</v>
      </c>
      <c r="K579" s="33" t="s">
        <v>60</v>
      </c>
      <c r="Z579" s="31">
        <f>ROUND(IF(AQ579="5",BJ579,0),2)</f>
        <v>0</v>
      </c>
      <c r="AB579" s="31">
        <f>ROUND(IF(AQ579="1",BH579,0),2)</f>
        <v>0</v>
      </c>
      <c r="AC579" s="31">
        <f>ROUND(IF(AQ579="1",BI579,0),2)</f>
        <v>0</v>
      </c>
      <c r="AD579" s="31">
        <f>ROUND(IF(AQ579="7",BH579,0),2)</f>
        <v>0</v>
      </c>
      <c r="AE579" s="31">
        <f>ROUND(IF(AQ579="7",BI579,0),2)</f>
        <v>0</v>
      </c>
      <c r="AF579" s="31">
        <f>ROUND(IF(AQ579="2",BH579,0),2)</f>
        <v>0</v>
      </c>
      <c r="AG579" s="31">
        <f>ROUND(IF(AQ579="2",BI579,0),2)</f>
        <v>0</v>
      </c>
      <c r="AH579" s="31">
        <f>ROUND(IF(AQ579="0",BJ579,0),2)</f>
        <v>0</v>
      </c>
      <c r="AI579" s="11" t="s">
        <v>73</v>
      </c>
      <c r="AJ579" s="31">
        <f>IF(AN579=0,J579,0)</f>
        <v>0</v>
      </c>
      <c r="AK579" s="31">
        <f>IF(AN579=12,J579,0)</f>
        <v>0</v>
      </c>
      <c r="AL579" s="31">
        <f>IF(AN579=21,J579,0)</f>
        <v>0</v>
      </c>
      <c r="AN579" s="31">
        <v>21</v>
      </c>
      <c r="AO579" s="31">
        <f>G579*0</f>
        <v>0</v>
      </c>
      <c r="AP579" s="31">
        <f>G579*(1-0)</f>
        <v>0</v>
      </c>
      <c r="AQ579" s="34" t="s">
        <v>101</v>
      </c>
      <c r="AV579" s="31">
        <f>ROUND(AW579+AX579,2)</f>
        <v>0</v>
      </c>
      <c r="AW579" s="31">
        <f>ROUND(F579*AO579,2)</f>
        <v>0</v>
      </c>
      <c r="AX579" s="31">
        <f>ROUND(F579*AP579,2)</f>
        <v>0</v>
      </c>
      <c r="AY579" s="34" t="s">
        <v>1076</v>
      </c>
      <c r="AZ579" s="34" t="s">
        <v>1001</v>
      </c>
      <c r="BA579" s="11" t="s">
        <v>1002</v>
      </c>
      <c r="BC579" s="31">
        <f>AW579+AX579</f>
        <v>0</v>
      </c>
      <c r="BD579" s="31">
        <f>G579/(100-BE579)*100</f>
        <v>0</v>
      </c>
      <c r="BE579" s="31">
        <v>0</v>
      </c>
      <c r="BF579" s="31">
        <f>579</f>
        <v>579</v>
      </c>
      <c r="BH579" s="31">
        <f>F579*AO579</f>
        <v>0</v>
      </c>
      <c r="BI579" s="31">
        <f>F579*AP579</f>
        <v>0</v>
      </c>
      <c r="BJ579" s="31">
        <f>F579*G579</f>
        <v>0</v>
      </c>
      <c r="BK579" s="34" t="s">
        <v>64</v>
      </c>
      <c r="BL579" s="31">
        <v>722</v>
      </c>
      <c r="BW579" s="31">
        <v>21</v>
      </c>
      <c r="BX579" s="5" t="s">
        <v>1083</v>
      </c>
    </row>
    <row r="580" spans="1:76" x14ac:dyDescent="0.25">
      <c r="A580" s="2" t="s">
        <v>1084</v>
      </c>
      <c r="B580" s="3" t="s">
        <v>1085</v>
      </c>
      <c r="C580" s="112" t="s">
        <v>1086</v>
      </c>
      <c r="D580" s="107"/>
      <c r="E580" s="3" t="s">
        <v>81</v>
      </c>
      <c r="F580" s="31">
        <v>1</v>
      </c>
      <c r="G580" s="32">
        <v>0</v>
      </c>
      <c r="H580" s="31">
        <f>ROUND(F580*AO580,2)</f>
        <v>0</v>
      </c>
      <c r="I580" s="31">
        <f>ROUND(F580*AP580,2)</f>
        <v>0</v>
      </c>
      <c r="J580" s="31">
        <f>ROUND(F580*G580,2)</f>
        <v>0</v>
      </c>
      <c r="K580" s="33" t="s">
        <v>60</v>
      </c>
      <c r="Z580" s="31">
        <f>ROUND(IF(AQ580="5",BJ580,0),2)</f>
        <v>0</v>
      </c>
      <c r="AB580" s="31">
        <f>ROUND(IF(AQ580="1",BH580,0),2)</f>
        <v>0</v>
      </c>
      <c r="AC580" s="31">
        <f>ROUND(IF(AQ580="1",BI580,0),2)</f>
        <v>0</v>
      </c>
      <c r="AD580" s="31">
        <f>ROUND(IF(AQ580="7",BH580,0),2)</f>
        <v>0</v>
      </c>
      <c r="AE580" s="31">
        <f>ROUND(IF(AQ580="7",BI580,0),2)</f>
        <v>0</v>
      </c>
      <c r="AF580" s="31">
        <f>ROUND(IF(AQ580="2",BH580,0),2)</f>
        <v>0</v>
      </c>
      <c r="AG580" s="31">
        <f>ROUND(IF(AQ580="2",BI580,0),2)</f>
        <v>0</v>
      </c>
      <c r="AH580" s="31">
        <f>ROUND(IF(AQ580="0",BJ580,0),2)</f>
        <v>0</v>
      </c>
      <c r="AI580" s="11" t="s">
        <v>73</v>
      </c>
      <c r="AJ580" s="31">
        <f>IF(AN580=0,J580,0)</f>
        <v>0</v>
      </c>
      <c r="AK580" s="31">
        <f>IF(AN580=12,J580,0)</f>
        <v>0</v>
      </c>
      <c r="AL580" s="31">
        <f>IF(AN580=21,J580,0)</f>
        <v>0</v>
      </c>
      <c r="AN580" s="31">
        <v>21</v>
      </c>
      <c r="AO580" s="31">
        <f>G580*0.068405063</f>
        <v>0</v>
      </c>
      <c r="AP580" s="31">
        <f>G580*(1-0.068405063)</f>
        <v>0</v>
      </c>
      <c r="AQ580" s="34" t="s">
        <v>101</v>
      </c>
      <c r="AV580" s="31">
        <f>ROUND(AW580+AX580,2)</f>
        <v>0</v>
      </c>
      <c r="AW580" s="31">
        <f>ROUND(F580*AO580,2)</f>
        <v>0</v>
      </c>
      <c r="AX580" s="31">
        <f>ROUND(F580*AP580,2)</f>
        <v>0</v>
      </c>
      <c r="AY580" s="34" t="s">
        <v>1076</v>
      </c>
      <c r="AZ580" s="34" t="s">
        <v>1001</v>
      </c>
      <c r="BA580" s="11" t="s">
        <v>1002</v>
      </c>
      <c r="BC580" s="31">
        <f>AW580+AX580</f>
        <v>0</v>
      </c>
      <c r="BD580" s="31">
        <f>G580/(100-BE580)*100</f>
        <v>0</v>
      </c>
      <c r="BE580" s="31">
        <v>0</v>
      </c>
      <c r="BF580" s="31">
        <f>580</f>
        <v>580</v>
      </c>
      <c r="BH580" s="31">
        <f>F580*AO580</f>
        <v>0</v>
      </c>
      <c r="BI580" s="31">
        <f>F580*AP580</f>
        <v>0</v>
      </c>
      <c r="BJ580" s="31">
        <f>F580*G580</f>
        <v>0</v>
      </c>
      <c r="BK580" s="34" t="s">
        <v>64</v>
      </c>
      <c r="BL580" s="31">
        <v>722</v>
      </c>
      <c r="BW580" s="31">
        <v>21</v>
      </c>
      <c r="BX580" s="5" t="s">
        <v>1086</v>
      </c>
    </row>
    <row r="581" spans="1:76" x14ac:dyDescent="0.25">
      <c r="A581" s="2" t="s">
        <v>1087</v>
      </c>
      <c r="B581" s="3" t="s">
        <v>1088</v>
      </c>
      <c r="C581" s="112" t="s">
        <v>1089</v>
      </c>
      <c r="D581" s="107"/>
      <c r="E581" s="3" t="s">
        <v>215</v>
      </c>
      <c r="F581" s="31">
        <v>10</v>
      </c>
      <c r="G581" s="32">
        <v>0</v>
      </c>
      <c r="H581" s="31">
        <f>ROUND(F581*AO581,2)</f>
        <v>0</v>
      </c>
      <c r="I581" s="31">
        <f>ROUND(F581*AP581,2)</f>
        <v>0</v>
      </c>
      <c r="J581" s="31">
        <f>ROUND(F581*G581,2)</f>
        <v>0</v>
      </c>
      <c r="K581" s="33" t="s">
        <v>60</v>
      </c>
      <c r="Z581" s="31">
        <f>ROUND(IF(AQ581="5",BJ581,0),2)</f>
        <v>0</v>
      </c>
      <c r="AB581" s="31">
        <f>ROUND(IF(AQ581="1",BH581,0),2)</f>
        <v>0</v>
      </c>
      <c r="AC581" s="31">
        <f>ROUND(IF(AQ581="1",BI581,0),2)</f>
        <v>0</v>
      </c>
      <c r="AD581" s="31">
        <f>ROUND(IF(AQ581="7",BH581,0),2)</f>
        <v>0</v>
      </c>
      <c r="AE581" s="31">
        <f>ROUND(IF(AQ581="7",BI581,0),2)</f>
        <v>0</v>
      </c>
      <c r="AF581" s="31">
        <f>ROUND(IF(AQ581="2",BH581,0),2)</f>
        <v>0</v>
      </c>
      <c r="AG581" s="31">
        <f>ROUND(IF(AQ581="2",BI581,0),2)</f>
        <v>0</v>
      </c>
      <c r="AH581" s="31">
        <f>ROUND(IF(AQ581="0",BJ581,0),2)</f>
        <v>0</v>
      </c>
      <c r="AI581" s="11" t="s">
        <v>73</v>
      </c>
      <c r="AJ581" s="31">
        <f>IF(AN581=0,J581,0)</f>
        <v>0</v>
      </c>
      <c r="AK581" s="31">
        <f>IF(AN581=12,J581,0)</f>
        <v>0</v>
      </c>
      <c r="AL581" s="31">
        <f>IF(AN581=21,J581,0)</f>
        <v>0</v>
      </c>
      <c r="AN581" s="31">
        <v>21</v>
      </c>
      <c r="AO581" s="31">
        <f>G581*0.362434211</f>
        <v>0</v>
      </c>
      <c r="AP581" s="31">
        <f>G581*(1-0.362434211)</f>
        <v>0</v>
      </c>
      <c r="AQ581" s="34" t="s">
        <v>101</v>
      </c>
      <c r="AV581" s="31">
        <f>ROUND(AW581+AX581,2)</f>
        <v>0</v>
      </c>
      <c r="AW581" s="31">
        <f>ROUND(F581*AO581,2)</f>
        <v>0</v>
      </c>
      <c r="AX581" s="31">
        <f>ROUND(F581*AP581,2)</f>
        <v>0</v>
      </c>
      <c r="AY581" s="34" t="s">
        <v>1076</v>
      </c>
      <c r="AZ581" s="34" t="s">
        <v>1001</v>
      </c>
      <c r="BA581" s="11" t="s">
        <v>1002</v>
      </c>
      <c r="BC581" s="31">
        <f>AW581+AX581</f>
        <v>0</v>
      </c>
      <c r="BD581" s="31">
        <f>G581/(100-BE581)*100</f>
        <v>0</v>
      </c>
      <c r="BE581" s="31">
        <v>0</v>
      </c>
      <c r="BF581" s="31">
        <f>581</f>
        <v>581</v>
      </c>
      <c r="BH581" s="31">
        <f>F581*AO581</f>
        <v>0</v>
      </c>
      <c r="BI581" s="31">
        <f>F581*AP581</f>
        <v>0</v>
      </c>
      <c r="BJ581" s="31">
        <f>F581*G581</f>
        <v>0</v>
      </c>
      <c r="BK581" s="34" t="s">
        <v>64</v>
      </c>
      <c r="BL581" s="31">
        <v>722</v>
      </c>
      <c r="BW581" s="31">
        <v>21</v>
      </c>
      <c r="BX581" s="5" t="s">
        <v>1089</v>
      </c>
    </row>
    <row r="582" spans="1:76" x14ac:dyDescent="0.25">
      <c r="A582" s="39" t="s">
        <v>1090</v>
      </c>
      <c r="B582" s="40" t="s">
        <v>1091</v>
      </c>
      <c r="C582" s="135" t="s">
        <v>1092</v>
      </c>
      <c r="D582" s="136"/>
      <c r="E582" s="40" t="s">
        <v>81</v>
      </c>
      <c r="F582" s="42">
        <v>4</v>
      </c>
      <c r="G582" s="43">
        <v>0</v>
      </c>
      <c r="H582" s="42">
        <f>ROUND(F582*AO582,2)</f>
        <v>0</v>
      </c>
      <c r="I582" s="42">
        <f>ROUND(F582*AP582,2)</f>
        <v>0</v>
      </c>
      <c r="J582" s="42">
        <f>ROUND(F582*G582,2)</f>
        <v>0</v>
      </c>
      <c r="K582" s="44" t="s">
        <v>60</v>
      </c>
      <c r="Z582" s="31">
        <f>ROUND(IF(AQ582="5",BJ582,0),2)</f>
        <v>0</v>
      </c>
      <c r="AB582" s="31">
        <f>ROUND(IF(AQ582="1",BH582,0),2)</f>
        <v>0</v>
      </c>
      <c r="AC582" s="31">
        <f>ROUND(IF(AQ582="1",BI582,0),2)</f>
        <v>0</v>
      </c>
      <c r="AD582" s="31">
        <f>ROUND(IF(AQ582="7",BH582,0),2)</f>
        <v>0</v>
      </c>
      <c r="AE582" s="31">
        <f>ROUND(IF(AQ582="7",BI582,0),2)</f>
        <v>0</v>
      </c>
      <c r="AF582" s="31">
        <f>ROUND(IF(AQ582="2",BH582,0),2)</f>
        <v>0</v>
      </c>
      <c r="AG582" s="31">
        <f>ROUND(IF(AQ582="2",BI582,0),2)</f>
        <v>0</v>
      </c>
      <c r="AH582" s="31">
        <f>ROUND(IF(AQ582="0",BJ582,0),2)</f>
        <v>0</v>
      </c>
      <c r="AI582" s="11" t="s">
        <v>73</v>
      </c>
      <c r="AJ582" s="42">
        <f>IF(AN582=0,J582,0)</f>
        <v>0</v>
      </c>
      <c r="AK582" s="42">
        <f>IF(AN582=12,J582,0)</f>
        <v>0</v>
      </c>
      <c r="AL582" s="42">
        <f>IF(AN582=21,J582,0)</f>
        <v>0</v>
      </c>
      <c r="AN582" s="31">
        <v>21</v>
      </c>
      <c r="AO582" s="31">
        <f>G582*1</f>
        <v>0</v>
      </c>
      <c r="AP582" s="31">
        <f>G582*(1-1)</f>
        <v>0</v>
      </c>
      <c r="AQ582" s="45" t="s">
        <v>101</v>
      </c>
      <c r="AV582" s="31">
        <f>ROUND(AW582+AX582,2)</f>
        <v>0</v>
      </c>
      <c r="AW582" s="31">
        <f>ROUND(F582*AO582,2)</f>
        <v>0</v>
      </c>
      <c r="AX582" s="31">
        <f>ROUND(F582*AP582,2)</f>
        <v>0</v>
      </c>
      <c r="AY582" s="34" t="s">
        <v>1076</v>
      </c>
      <c r="AZ582" s="34" t="s">
        <v>1001</v>
      </c>
      <c r="BA582" s="11" t="s">
        <v>1002</v>
      </c>
      <c r="BC582" s="31">
        <f>AW582+AX582</f>
        <v>0</v>
      </c>
      <c r="BD582" s="31">
        <f>G582/(100-BE582)*100</f>
        <v>0</v>
      </c>
      <c r="BE582" s="31">
        <v>0</v>
      </c>
      <c r="BF582" s="31">
        <f>582</f>
        <v>582</v>
      </c>
      <c r="BH582" s="42">
        <f>F582*AO582</f>
        <v>0</v>
      </c>
      <c r="BI582" s="42">
        <f>F582*AP582</f>
        <v>0</v>
      </c>
      <c r="BJ582" s="42">
        <f>F582*G582</f>
        <v>0</v>
      </c>
      <c r="BK582" s="45" t="s">
        <v>70</v>
      </c>
      <c r="BL582" s="31">
        <v>722</v>
      </c>
      <c r="BW582" s="31">
        <v>21</v>
      </c>
      <c r="BX582" s="41" t="s">
        <v>1092</v>
      </c>
    </row>
    <row r="583" spans="1:76" x14ac:dyDescent="0.25">
      <c r="A583" s="35"/>
      <c r="C583" s="36" t="s">
        <v>78</v>
      </c>
      <c r="D583" s="36" t="s">
        <v>1093</v>
      </c>
      <c r="F583" s="37">
        <v>4</v>
      </c>
      <c r="K583" s="38"/>
    </row>
    <row r="584" spans="1:76" x14ac:dyDescent="0.25">
      <c r="A584" s="2" t="s">
        <v>1094</v>
      </c>
      <c r="B584" s="3" t="s">
        <v>1095</v>
      </c>
      <c r="C584" s="112" t="s">
        <v>1096</v>
      </c>
      <c r="D584" s="107"/>
      <c r="E584" s="3" t="s">
        <v>215</v>
      </c>
      <c r="F584" s="31">
        <v>7.5</v>
      </c>
      <c r="G584" s="32">
        <v>0</v>
      </c>
      <c r="H584" s="31">
        <f>ROUND(F584*AO584,2)</f>
        <v>0</v>
      </c>
      <c r="I584" s="31">
        <f>ROUND(F584*AP584,2)</f>
        <v>0</v>
      </c>
      <c r="J584" s="31">
        <f>ROUND(F584*G584,2)</f>
        <v>0</v>
      </c>
      <c r="K584" s="33" t="s">
        <v>60</v>
      </c>
      <c r="Z584" s="31">
        <f>ROUND(IF(AQ584="5",BJ584,0),2)</f>
        <v>0</v>
      </c>
      <c r="AB584" s="31">
        <f>ROUND(IF(AQ584="1",BH584,0),2)</f>
        <v>0</v>
      </c>
      <c r="AC584" s="31">
        <f>ROUND(IF(AQ584="1",BI584,0),2)</f>
        <v>0</v>
      </c>
      <c r="AD584" s="31">
        <f>ROUND(IF(AQ584="7",BH584,0),2)</f>
        <v>0</v>
      </c>
      <c r="AE584" s="31">
        <f>ROUND(IF(AQ584="7",BI584,0),2)</f>
        <v>0</v>
      </c>
      <c r="AF584" s="31">
        <f>ROUND(IF(AQ584="2",BH584,0),2)</f>
        <v>0</v>
      </c>
      <c r="AG584" s="31">
        <f>ROUND(IF(AQ584="2",BI584,0),2)</f>
        <v>0</v>
      </c>
      <c r="AH584" s="31">
        <f>ROUND(IF(AQ584="0",BJ584,0),2)</f>
        <v>0</v>
      </c>
      <c r="AI584" s="11" t="s">
        <v>73</v>
      </c>
      <c r="AJ584" s="31">
        <f>IF(AN584=0,J584,0)</f>
        <v>0</v>
      </c>
      <c r="AK584" s="31">
        <f>IF(AN584=12,J584,0)</f>
        <v>0</v>
      </c>
      <c r="AL584" s="31">
        <f>IF(AN584=21,J584,0)</f>
        <v>0</v>
      </c>
      <c r="AN584" s="31">
        <v>21</v>
      </c>
      <c r="AO584" s="31">
        <f>G584*0.441651132</f>
        <v>0</v>
      </c>
      <c r="AP584" s="31">
        <f>G584*(1-0.441651132)</f>
        <v>0</v>
      </c>
      <c r="AQ584" s="34" t="s">
        <v>101</v>
      </c>
      <c r="AV584" s="31">
        <f>ROUND(AW584+AX584,2)</f>
        <v>0</v>
      </c>
      <c r="AW584" s="31">
        <f>ROUND(F584*AO584,2)</f>
        <v>0</v>
      </c>
      <c r="AX584" s="31">
        <f>ROUND(F584*AP584,2)</f>
        <v>0</v>
      </c>
      <c r="AY584" s="34" t="s">
        <v>1076</v>
      </c>
      <c r="AZ584" s="34" t="s">
        <v>1001</v>
      </c>
      <c r="BA584" s="11" t="s">
        <v>1002</v>
      </c>
      <c r="BC584" s="31">
        <f>AW584+AX584</f>
        <v>0</v>
      </c>
      <c r="BD584" s="31">
        <f>G584/(100-BE584)*100</f>
        <v>0</v>
      </c>
      <c r="BE584" s="31">
        <v>0</v>
      </c>
      <c r="BF584" s="31">
        <f>584</f>
        <v>584</v>
      </c>
      <c r="BH584" s="31">
        <f>F584*AO584</f>
        <v>0</v>
      </c>
      <c r="BI584" s="31">
        <f>F584*AP584</f>
        <v>0</v>
      </c>
      <c r="BJ584" s="31">
        <f>F584*G584</f>
        <v>0</v>
      </c>
      <c r="BK584" s="34" t="s">
        <v>64</v>
      </c>
      <c r="BL584" s="31">
        <v>722</v>
      </c>
      <c r="BW584" s="31">
        <v>21</v>
      </c>
      <c r="BX584" s="5" t="s">
        <v>1096</v>
      </c>
    </row>
    <row r="585" spans="1:76" x14ac:dyDescent="0.25">
      <c r="A585" s="2" t="s">
        <v>1097</v>
      </c>
      <c r="B585" s="3" t="s">
        <v>1098</v>
      </c>
      <c r="C585" s="112" t="s">
        <v>1099</v>
      </c>
      <c r="D585" s="107"/>
      <c r="E585" s="3" t="s">
        <v>215</v>
      </c>
      <c r="F585" s="31">
        <v>11</v>
      </c>
      <c r="G585" s="32">
        <v>0</v>
      </c>
      <c r="H585" s="31">
        <f>ROUND(F585*AO585,2)</f>
        <v>0</v>
      </c>
      <c r="I585" s="31">
        <f>ROUND(F585*AP585,2)</f>
        <v>0</v>
      </c>
      <c r="J585" s="31">
        <f>ROUND(F585*G585,2)</f>
        <v>0</v>
      </c>
      <c r="K585" s="33" t="s">
        <v>60</v>
      </c>
      <c r="Z585" s="31">
        <f>ROUND(IF(AQ585="5",BJ585,0),2)</f>
        <v>0</v>
      </c>
      <c r="AB585" s="31">
        <f>ROUND(IF(AQ585="1",BH585,0),2)</f>
        <v>0</v>
      </c>
      <c r="AC585" s="31">
        <f>ROUND(IF(AQ585="1",BI585,0),2)</f>
        <v>0</v>
      </c>
      <c r="AD585" s="31">
        <f>ROUND(IF(AQ585="7",BH585,0),2)</f>
        <v>0</v>
      </c>
      <c r="AE585" s="31">
        <f>ROUND(IF(AQ585="7",BI585,0),2)</f>
        <v>0</v>
      </c>
      <c r="AF585" s="31">
        <f>ROUND(IF(AQ585="2",BH585,0),2)</f>
        <v>0</v>
      </c>
      <c r="AG585" s="31">
        <f>ROUND(IF(AQ585="2",BI585,0),2)</f>
        <v>0</v>
      </c>
      <c r="AH585" s="31">
        <f>ROUND(IF(AQ585="0",BJ585,0),2)</f>
        <v>0</v>
      </c>
      <c r="AI585" s="11" t="s">
        <v>73</v>
      </c>
      <c r="AJ585" s="31">
        <f>IF(AN585=0,J585,0)</f>
        <v>0</v>
      </c>
      <c r="AK585" s="31">
        <f>IF(AN585=12,J585,0)</f>
        <v>0</v>
      </c>
      <c r="AL585" s="31">
        <f>IF(AN585=21,J585,0)</f>
        <v>0</v>
      </c>
      <c r="AN585" s="31">
        <v>21</v>
      </c>
      <c r="AO585" s="31">
        <f>G585*0.493975659</f>
        <v>0</v>
      </c>
      <c r="AP585" s="31">
        <f>G585*(1-0.493975659)</f>
        <v>0</v>
      </c>
      <c r="AQ585" s="34" t="s">
        <v>101</v>
      </c>
      <c r="AV585" s="31">
        <f>ROUND(AW585+AX585,2)</f>
        <v>0</v>
      </c>
      <c r="AW585" s="31">
        <f>ROUND(F585*AO585,2)</f>
        <v>0</v>
      </c>
      <c r="AX585" s="31">
        <f>ROUND(F585*AP585,2)</f>
        <v>0</v>
      </c>
      <c r="AY585" s="34" t="s">
        <v>1076</v>
      </c>
      <c r="AZ585" s="34" t="s">
        <v>1001</v>
      </c>
      <c r="BA585" s="11" t="s">
        <v>1002</v>
      </c>
      <c r="BC585" s="31">
        <f>AW585+AX585</f>
        <v>0</v>
      </c>
      <c r="BD585" s="31">
        <f>G585/(100-BE585)*100</f>
        <v>0</v>
      </c>
      <c r="BE585" s="31">
        <v>0</v>
      </c>
      <c r="BF585" s="31">
        <f>585</f>
        <v>585</v>
      </c>
      <c r="BH585" s="31">
        <f>F585*AO585</f>
        <v>0</v>
      </c>
      <c r="BI585" s="31">
        <f>F585*AP585</f>
        <v>0</v>
      </c>
      <c r="BJ585" s="31">
        <f>F585*G585</f>
        <v>0</v>
      </c>
      <c r="BK585" s="34" t="s">
        <v>64</v>
      </c>
      <c r="BL585" s="31">
        <v>722</v>
      </c>
      <c r="BW585" s="31">
        <v>21</v>
      </c>
      <c r="BX585" s="5" t="s">
        <v>1099</v>
      </c>
    </row>
    <row r="586" spans="1:76" x14ac:dyDescent="0.25">
      <c r="A586" s="2" t="s">
        <v>1100</v>
      </c>
      <c r="B586" s="3" t="s">
        <v>1101</v>
      </c>
      <c r="C586" s="112" t="s">
        <v>1102</v>
      </c>
      <c r="D586" s="107"/>
      <c r="E586" s="3" t="s">
        <v>215</v>
      </c>
      <c r="F586" s="31">
        <v>2.5</v>
      </c>
      <c r="G586" s="32">
        <v>0</v>
      </c>
      <c r="H586" s="31">
        <f>ROUND(F586*AO586,2)</f>
        <v>0</v>
      </c>
      <c r="I586" s="31">
        <f>ROUND(F586*AP586,2)</f>
        <v>0</v>
      </c>
      <c r="J586" s="31">
        <f>ROUND(F586*G586,2)</f>
        <v>0</v>
      </c>
      <c r="K586" s="33" t="s">
        <v>60</v>
      </c>
      <c r="Z586" s="31">
        <f>ROUND(IF(AQ586="5",BJ586,0),2)</f>
        <v>0</v>
      </c>
      <c r="AB586" s="31">
        <f>ROUND(IF(AQ586="1",BH586,0),2)</f>
        <v>0</v>
      </c>
      <c r="AC586" s="31">
        <f>ROUND(IF(AQ586="1",BI586,0),2)</f>
        <v>0</v>
      </c>
      <c r="AD586" s="31">
        <f>ROUND(IF(AQ586="7",BH586,0),2)</f>
        <v>0</v>
      </c>
      <c r="AE586" s="31">
        <f>ROUND(IF(AQ586="7",BI586,0),2)</f>
        <v>0</v>
      </c>
      <c r="AF586" s="31">
        <f>ROUND(IF(AQ586="2",BH586,0),2)</f>
        <v>0</v>
      </c>
      <c r="AG586" s="31">
        <f>ROUND(IF(AQ586="2",BI586,0),2)</f>
        <v>0</v>
      </c>
      <c r="AH586" s="31">
        <f>ROUND(IF(AQ586="0",BJ586,0),2)</f>
        <v>0</v>
      </c>
      <c r="AI586" s="11" t="s">
        <v>73</v>
      </c>
      <c r="AJ586" s="31">
        <f>IF(AN586=0,J586,0)</f>
        <v>0</v>
      </c>
      <c r="AK586" s="31">
        <f>IF(AN586=12,J586,0)</f>
        <v>0</v>
      </c>
      <c r="AL586" s="31">
        <f>IF(AN586=21,J586,0)</f>
        <v>0</v>
      </c>
      <c r="AN586" s="31">
        <v>21</v>
      </c>
      <c r="AO586" s="31">
        <f>G586*0.248615385</f>
        <v>0</v>
      </c>
      <c r="AP586" s="31">
        <f>G586*(1-0.248615385)</f>
        <v>0</v>
      </c>
      <c r="AQ586" s="34" t="s">
        <v>101</v>
      </c>
      <c r="AV586" s="31">
        <f>ROUND(AW586+AX586,2)</f>
        <v>0</v>
      </c>
      <c r="AW586" s="31">
        <f>ROUND(F586*AO586,2)</f>
        <v>0</v>
      </c>
      <c r="AX586" s="31">
        <f>ROUND(F586*AP586,2)</f>
        <v>0</v>
      </c>
      <c r="AY586" s="34" t="s">
        <v>1076</v>
      </c>
      <c r="AZ586" s="34" t="s">
        <v>1001</v>
      </c>
      <c r="BA586" s="11" t="s">
        <v>1002</v>
      </c>
      <c r="BC586" s="31">
        <f>AW586+AX586</f>
        <v>0</v>
      </c>
      <c r="BD586" s="31">
        <f>G586/(100-BE586)*100</f>
        <v>0</v>
      </c>
      <c r="BE586" s="31">
        <v>0</v>
      </c>
      <c r="BF586" s="31">
        <f>586</f>
        <v>586</v>
      </c>
      <c r="BH586" s="31">
        <f>F586*AO586</f>
        <v>0</v>
      </c>
      <c r="BI586" s="31">
        <f>F586*AP586</f>
        <v>0</v>
      </c>
      <c r="BJ586" s="31">
        <f>F586*G586</f>
        <v>0</v>
      </c>
      <c r="BK586" s="34" t="s">
        <v>64</v>
      </c>
      <c r="BL586" s="31">
        <v>722</v>
      </c>
      <c r="BW586" s="31">
        <v>21</v>
      </c>
      <c r="BX586" s="5" t="s">
        <v>1102</v>
      </c>
    </row>
    <row r="587" spans="1:76" ht="13.5" customHeight="1" x14ac:dyDescent="0.25">
      <c r="A587" s="35"/>
      <c r="C587" s="137" t="s">
        <v>1103</v>
      </c>
      <c r="D587" s="138"/>
      <c r="E587" s="138"/>
      <c r="F587" s="138"/>
      <c r="G587" s="139"/>
      <c r="H587" s="138"/>
      <c r="I587" s="138"/>
      <c r="J587" s="138"/>
      <c r="K587" s="140"/>
    </row>
    <row r="588" spans="1:76" x14ac:dyDescent="0.25">
      <c r="A588" s="2" t="s">
        <v>1104</v>
      </c>
      <c r="B588" s="3" t="s">
        <v>1105</v>
      </c>
      <c r="C588" s="112" t="s">
        <v>1102</v>
      </c>
      <c r="D588" s="107"/>
      <c r="E588" s="3" t="s">
        <v>215</v>
      </c>
      <c r="F588" s="31">
        <v>5</v>
      </c>
      <c r="G588" s="32">
        <v>0</v>
      </c>
      <c r="H588" s="31">
        <f>ROUND(F588*AO588,2)</f>
        <v>0</v>
      </c>
      <c r="I588" s="31">
        <f>ROUND(F588*AP588,2)</f>
        <v>0</v>
      </c>
      <c r="J588" s="31">
        <f>ROUND(F588*G588,2)</f>
        <v>0</v>
      </c>
      <c r="K588" s="33" t="s">
        <v>60</v>
      </c>
      <c r="Z588" s="31">
        <f>ROUND(IF(AQ588="5",BJ588,0),2)</f>
        <v>0</v>
      </c>
      <c r="AB588" s="31">
        <f>ROUND(IF(AQ588="1",BH588,0),2)</f>
        <v>0</v>
      </c>
      <c r="AC588" s="31">
        <f>ROUND(IF(AQ588="1",BI588,0),2)</f>
        <v>0</v>
      </c>
      <c r="AD588" s="31">
        <f>ROUND(IF(AQ588="7",BH588,0),2)</f>
        <v>0</v>
      </c>
      <c r="AE588" s="31">
        <f>ROUND(IF(AQ588="7",BI588,0),2)</f>
        <v>0</v>
      </c>
      <c r="AF588" s="31">
        <f>ROUND(IF(AQ588="2",BH588,0),2)</f>
        <v>0</v>
      </c>
      <c r="AG588" s="31">
        <f>ROUND(IF(AQ588="2",BI588,0),2)</f>
        <v>0</v>
      </c>
      <c r="AH588" s="31">
        <f>ROUND(IF(AQ588="0",BJ588,0),2)</f>
        <v>0</v>
      </c>
      <c r="AI588" s="11" t="s">
        <v>73</v>
      </c>
      <c r="AJ588" s="31">
        <f>IF(AN588=0,J588,0)</f>
        <v>0</v>
      </c>
      <c r="AK588" s="31">
        <f>IF(AN588=12,J588,0)</f>
        <v>0</v>
      </c>
      <c r="AL588" s="31">
        <f>IF(AN588=21,J588,0)</f>
        <v>0</v>
      </c>
      <c r="AN588" s="31">
        <v>21</v>
      </c>
      <c r="AO588" s="31">
        <f>G588*0.269339207</f>
        <v>0</v>
      </c>
      <c r="AP588" s="31">
        <f>G588*(1-0.269339207)</f>
        <v>0</v>
      </c>
      <c r="AQ588" s="34" t="s">
        <v>101</v>
      </c>
      <c r="AV588" s="31">
        <f>ROUND(AW588+AX588,2)</f>
        <v>0</v>
      </c>
      <c r="AW588" s="31">
        <f>ROUND(F588*AO588,2)</f>
        <v>0</v>
      </c>
      <c r="AX588" s="31">
        <f>ROUND(F588*AP588,2)</f>
        <v>0</v>
      </c>
      <c r="AY588" s="34" t="s">
        <v>1076</v>
      </c>
      <c r="AZ588" s="34" t="s">
        <v>1001</v>
      </c>
      <c r="BA588" s="11" t="s">
        <v>1002</v>
      </c>
      <c r="BC588" s="31">
        <f>AW588+AX588</f>
        <v>0</v>
      </c>
      <c r="BD588" s="31">
        <f>G588/(100-BE588)*100</f>
        <v>0</v>
      </c>
      <c r="BE588" s="31">
        <v>0</v>
      </c>
      <c r="BF588" s="31">
        <f>588</f>
        <v>588</v>
      </c>
      <c r="BH588" s="31">
        <f>F588*AO588</f>
        <v>0</v>
      </c>
      <c r="BI588" s="31">
        <f>F588*AP588</f>
        <v>0</v>
      </c>
      <c r="BJ588" s="31">
        <f>F588*G588</f>
        <v>0</v>
      </c>
      <c r="BK588" s="34" t="s">
        <v>64</v>
      </c>
      <c r="BL588" s="31">
        <v>722</v>
      </c>
      <c r="BW588" s="31">
        <v>21</v>
      </c>
      <c r="BX588" s="5" t="s">
        <v>1102</v>
      </c>
    </row>
    <row r="589" spans="1:76" ht="13.5" customHeight="1" x14ac:dyDescent="0.25">
      <c r="A589" s="35"/>
      <c r="C589" s="137" t="s">
        <v>1106</v>
      </c>
      <c r="D589" s="138"/>
      <c r="E589" s="138"/>
      <c r="F589" s="138"/>
      <c r="G589" s="139"/>
      <c r="H589" s="138"/>
      <c r="I589" s="138"/>
      <c r="J589" s="138"/>
      <c r="K589" s="140"/>
    </row>
    <row r="590" spans="1:76" x14ac:dyDescent="0.25">
      <c r="A590" s="2" t="s">
        <v>1107</v>
      </c>
      <c r="B590" s="3" t="s">
        <v>1108</v>
      </c>
      <c r="C590" s="112" t="s">
        <v>1102</v>
      </c>
      <c r="D590" s="107"/>
      <c r="E590" s="3" t="s">
        <v>215</v>
      </c>
      <c r="F590" s="31">
        <v>7.5</v>
      </c>
      <c r="G590" s="32">
        <v>0</v>
      </c>
      <c r="H590" s="31">
        <f>ROUND(F590*AO590,2)</f>
        <v>0</v>
      </c>
      <c r="I590" s="31">
        <f>ROUND(F590*AP590,2)</f>
        <v>0</v>
      </c>
      <c r="J590" s="31">
        <f>ROUND(F590*G590,2)</f>
        <v>0</v>
      </c>
      <c r="K590" s="33" t="s">
        <v>60</v>
      </c>
      <c r="Z590" s="31">
        <f>ROUND(IF(AQ590="5",BJ590,0),2)</f>
        <v>0</v>
      </c>
      <c r="AB590" s="31">
        <f>ROUND(IF(AQ590="1",BH590,0),2)</f>
        <v>0</v>
      </c>
      <c r="AC590" s="31">
        <f>ROUND(IF(AQ590="1",BI590,0),2)</f>
        <v>0</v>
      </c>
      <c r="AD590" s="31">
        <f>ROUND(IF(AQ590="7",BH590,0),2)</f>
        <v>0</v>
      </c>
      <c r="AE590" s="31">
        <f>ROUND(IF(AQ590="7",BI590,0),2)</f>
        <v>0</v>
      </c>
      <c r="AF590" s="31">
        <f>ROUND(IF(AQ590="2",BH590,0),2)</f>
        <v>0</v>
      </c>
      <c r="AG590" s="31">
        <f>ROUND(IF(AQ590="2",BI590,0),2)</f>
        <v>0</v>
      </c>
      <c r="AH590" s="31">
        <f>ROUND(IF(AQ590="0",BJ590,0),2)</f>
        <v>0</v>
      </c>
      <c r="AI590" s="11" t="s">
        <v>73</v>
      </c>
      <c r="AJ590" s="31">
        <f>IF(AN590=0,J590,0)</f>
        <v>0</v>
      </c>
      <c r="AK590" s="31">
        <f>IF(AN590=12,J590,0)</f>
        <v>0</v>
      </c>
      <c r="AL590" s="31">
        <f>IF(AN590=21,J590,0)</f>
        <v>0</v>
      </c>
      <c r="AN590" s="31">
        <v>21</v>
      </c>
      <c r="AO590" s="31">
        <f>G590*0.288197327</f>
        <v>0</v>
      </c>
      <c r="AP590" s="31">
        <f>G590*(1-0.288197327)</f>
        <v>0</v>
      </c>
      <c r="AQ590" s="34" t="s">
        <v>101</v>
      </c>
      <c r="AV590" s="31">
        <f>ROUND(AW590+AX590,2)</f>
        <v>0</v>
      </c>
      <c r="AW590" s="31">
        <f>ROUND(F590*AO590,2)</f>
        <v>0</v>
      </c>
      <c r="AX590" s="31">
        <f>ROUND(F590*AP590,2)</f>
        <v>0</v>
      </c>
      <c r="AY590" s="34" t="s">
        <v>1076</v>
      </c>
      <c r="AZ590" s="34" t="s">
        <v>1001</v>
      </c>
      <c r="BA590" s="11" t="s">
        <v>1002</v>
      </c>
      <c r="BC590" s="31">
        <f>AW590+AX590</f>
        <v>0</v>
      </c>
      <c r="BD590" s="31">
        <f>G590/(100-BE590)*100</f>
        <v>0</v>
      </c>
      <c r="BE590" s="31">
        <v>0</v>
      </c>
      <c r="BF590" s="31">
        <f>590</f>
        <v>590</v>
      </c>
      <c r="BH590" s="31">
        <f>F590*AO590</f>
        <v>0</v>
      </c>
      <c r="BI590" s="31">
        <f>F590*AP590</f>
        <v>0</v>
      </c>
      <c r="BJ590" s="31">
        <f>F590*G590</f>
        <v>0</v>
      </c>
      <c r="BK590" s="34" t="s">
        <v>64</v>
      </c>
      <c r="BL590" s="31">
        <v>722</v>
      </c>
      <c r="BW590" s="31">
        <v>21</v>
      </c>
      <c r="BX590" s="5" t="s">
        <v>1102</v>
      </c>
    </row>
    <row r="591" spans="1:76" ht="13.5" customHeight="1" x14ac:dyDescent="0.25">
      <c r="A591" s="35"/>
      <c r="C591" s="137" t="s">
        <v>1109</v>
      </c>
      <c r="D591" s="138"/>
      <c r="E591" s="138"/>
      <c r="F591" s="138"/>
      <c r="G591" s="139"/>
      <c r="H591" s="138"/>
      <c r="I591" s="138"/>
      <c r="J591" s="138"/>
      <c r="K591" s="140"/>
    </row>
    <row r="592" spans="1:76" x14ac:dyDescent="0.25">
      <c r="A592" s="2" t="s">
        <v>1110</v>
      </c>
      <c r="B592" s="3" t="s">
        <v>1111</v>
      </c>
      <c r="C592" s="112" t="s">
        <v>1112</v>
      </c>
      <c r="D592" s="107"/>
      <c r="E592" s="3" t="s">
        <v>215</v>
      </c>
      <c r="F592" s="31">
        <v>7.5</v>
      </c>
      <c r="G592" s="32">
        <v>0</v>
      </c>
      <c r="H592" s="31">
        <f>ROUND(F592*AO592,2)</f>
        <v>0</v>
      </c>
      <c r="I592" s="31">
        <f>ROUND(F592*AP592,2)</f>
        <v>0</v>
      </c>
      <c r="J592" s="31">
        <f>ROUND(F592*G592,2)</f>
        <v>0</v>
      </c>
      <c r="K592" s="33" t="s">
        <v>60</v>
      </c>
      <c r="Z592" s="31">
        <f>ROUND(IF(AQ592="5",BJ592,0),2)</f>
        <v>0</v>
      </c>
      <c r="AB592" s="31">
        <f>ROUND(IF(AQ592="1",BH592,0),2)</f>
        <v>0</v>
      </c>
      <c r="AC592" s="31">
        <f>ROUND(IF(AQ592="1",BI592,0),2)</f>
        <v>0</v>
      </c>
      <c r="AD592" s="31">
        <f>ROUND(IF(AQ592="7",BH592,0),2)</f>
        <v>0</v>
      </c>
      <c r="AE592" s="31">
        <f>ROUND(IF(AQ592="7",BI592,0),2)</f>
        <v>0</v>
      </c>
      <c r="AF592" s="31">
        <f>ROUND(IF(AQ592="2",BH592,0),2)</f>
        <v>0</v>
      </c>
      <c r="AG592" s="31">
        <f>ROUND(IF(AQ592="2",BI592,0),2)</f>
        <v>0</v>
      </c>
      <c r="AH592" s="31">
        <f>ROUND(IF(AQ592="0",BJ592,0),2)</f>
        <v>0</v>
      </c>
      <c r="AI592" s="11" t="s">
        <v>73</v>
      </c>
      <c r="AJ592" s="31">
        <f>IF(AN592=0,J592,0)</f>
        <v>0</v>
      </c>
      <c r="AK592" s="31">
        <f>IF(AN592=12,J592,0)</f>
        <v>0</v>
      </c>
      <c r="AL592" s="31">
        <f>IF(AN592=21,J592,0)</f>
        <v>0</v>
      </c>
      <c r="AN592" s="31">
        <v>21</v>
      </c>
      <c r="AO592" s="31">
        <f>G592*0.374722013</f>
        <v>0</v>
      </c>
      <c r="AP592" s="31">
        <f>G592*(1-0.374722013)</f>
        <v>0</v>
      </c>
      <c r="AQ592" s="34" t="s">
        <v>101</v>
      </c>
      <c r="AV592" s="31">
        <f>ROUND(AW592+AX592,2)</f>
        <v>0</v>
      </c>
      <c r="AW592" s="31">
        <f>ROUND(F592*AO592,2)</f>
        <v>0</v>
      </c>
      <c r="AX592" s="31">
        <f>ROUND(F592*AP592,2)</f>
        <v>0</v>
      </c>
      <c r="AY592" s="34" t="s">
        <v>1076</v>
      </c>
      <c r="AZ592" s="34" t="s">
        <v>1001</v>
      </c>
      <c r="BA592" s="11" t="s">
        <v>1002</v>
      </c>
      <c r="BC592" s="31">
        <f>AW592+AX592</f>
        <v>0</v>
      </c>
      <c r="BD592" s="31">
        <f>G592/(100-BE592)*100</f>
        <v>0</v>
      </c>
      <c r="BE592" s="31">
        <v>0</v>
      </c>
      <c r="BF592" s="31">
        <f>592</f>
        <v>592</v>
      </c>
      <c r="BH592" s="31">
        <f>F592*AO592</f>
        <v>0</v>
      </c>
      <c r="BI592" s="31">
        <f>F592*AP592</f>
        <v>0</v>
      </c>
      <c r="BJ592" s="31">
        <f>F592*G592</f>
        <v>0</v>
      </c>
      <c r="BK592" s="34" t="s">
        <v>64</v>
      </c>
      <c r="BL592" s="31">
        <v>722</v>
      </c>
      <c r="BW592" s="31">
        <v>21</v>
      </c>
      <c r="BX592" s="5" t="s">
        <v>1112</v>
      </c>
    </row>
    <row r="593" spans="1:76" ht="13.5" customHeight="1" x14ac:dyDescent="0.25">
      <c r="A593" s="35"/>
      <c r="C593" s="137" t="s">
        <v>1103</v>
      </c>
      <c r="D593" s="138"/>
      <c r="E593" s="138"/>
      <c r="F593" s="138"/>
      <c r="G593" s="139"/>
      <c r="H593" s="138"/>
      <c r="I593" s="138"/>
      <c r="J593" s="138"/>
      <c r="K593" s="140"/>
    </row>
    <row r="594" spans="1:76" x14ac:dyDescent="0.25">
      <c r="A594" s="2" t="s">
        <v>1113</v>
      </c>
      <c r="B594" s="3" t="s">
        <v>1114</v>
      </c>
      <c r="C594" s="112" t="s">
        <v>1112</v>
      </c>
      <c r="D594" s="107"/>
      <c r="E594" s="3" t="s">
        <v>215</v>
      </c>
      <c r="F594" s="31">
        <v>6</v>
      </c>
      <c r="G594" s="32">
        <v>0</v>
      </c>
      <c r="H594" s="31">
        <f>ROUND(F594*AO594,2)</f>
        <v>0</v>
      </c>
      <c r="I594" s="31">
        <f>ROUND(F594*AP594,2)</f>
        <v>0</v>
      </c>
      <c r="J594" s="31">
        <f>ROUND(F594*G594,2)</f>
        <v>0</v>
      </c>
      <c r="K594" s="33" t="s">
        <v>60</v>
      </c>
      <c r="Z594" s="31">
        <f>ROUND(IF(AQ594="5",BJ594,0),2)</f>
        <v>0</v>
      </c>
      <c r="AB594" s="31">
        <f>ROUND(IF(AQ594="1",BH594,0),2)</f>
        <v>0</v>
      </c>
      <c r="AC594" s="31">
        <f>ROUND(IF(AQ594="1",BI594,0),2)</f>
        <v>0</v>
      </c>
      <c r="AD594" s="31">
        <f>ROUND(IF(AQ594="7",BH594,0),2)</f>
        <v>0</v>
      </c>
      <c r="AE594" s="31">
        <f>ROUND(IF(AQ594="7",BI594,0),2)</f>
        <v>0</v>
      </c>
      <c r="AF594" s="31">
        <f>ROUND(IF(AQ594="2",BH594,0),2)</f>
        <v>0</v>
      </c>
      <c r="AG594" s="31">
        <f>ROUND(IF(AQ594="2",BI594,0),2)</f>
        <v>0</v>
      </c>
      <c r="AH594" s="31">
        <f>ROUND(IF(AQ594="0",BJ594,0),2)</f>
        <v>0</v>
      </c>
      <c r="AI594" s="11" t="s">
        <v>73</v>
      </c>
      <c r="AJ594" s="31">
        <f>IF(AN594=0,J594,0)</f>
        <v>0</v>
      </c>
      <c r="AK594" s="31">
        <f>IF(AN594=12,J594,0)</f>
        <v>0</v>
      </c>
      <c r="AL594" s="31">
        <f>IF(AN594=21,J594,0)</f>
        <v>0</v>
      </c>
      <c r="AN594" s="31">
        <v>21</v>
      </c>
      <c r="AO594" s="31">
        <f>G594*0.403956835</f>
        <v>0</v>
      </c>
      <c r="AP594" s="31">
        <f>G594*(1-0.403956835)</f>
        <v>0</v>
      </c>
      <c r="AQ594" s="34" t="s">
        <v>101</v>
      </c>
      <c r="AV594" s="31">
        <f>ROUND(AW594+AX594,2)</f>
        <v>0</v>
      </c>
      <c r="AW594" s="31">
        <f>ROUND(F594*AO594,2)</f>
        <v>0</v>
      </c>
      <c r="AX594" s="31">
        <f>ROUND(F594*AP594,2)</f>
        <v>0</v>
      </c>
      <c r="AY594" s="34" t="s">
        <v>1076</v>
      </c>
      <c r="AZ594" s="34" t="s">
        <v>1001</v>
      </c>
      <c r="BA594" s="11" t="s">
        <v>1002</v>
      </c>
      <c r="BC594" s="31">
        <f>AW594+AX594</f>
        <v>0</v>
      </c>
      <c r="BD594" s="31">
        <f>G594/(100-BE594)*100</f>
        <v>0</v>
      </c>
      <c r="BE594" s="31">
        <v>0</v>
      </c>
      <c r="BF594" s="31">
        <f>594</f>
        <v>594</v>
      </c>
      <c r="BH594" s="31">
        <f>F594*AO594</f>
        <v>0</v>
      </c>
      <c r="BI594" s="31">
        <f>F594*AP594</f>
        <v>0</v>
      </c>
      <c r="BJ594" s="31">
        <f>F594*G594</f>
        <v>0</v>
      </c>
      <c r="BK594" s="34" t="s">
        <v>64</v>
      </c>
      <c r="BL594" s="31">
        <v>722</v>
      </c>
      <c r="BW594" s="31">
        <v>21</v>
      </c>
      <c r="BX594" s="5" t="s">
        <v>1112</v>
      </c>
    </row>
    <row r="595" spans="1:76" ht="13.5" customHeight="1" x14ac:dyDescent="0.25">
      <c r="A595" s="35"/>
      <c r="C595" s="137" t="s">
        <v>1106</v>
      </c>
      <c r="D595" s="138"/>
      <c r="E595" s="138"/>
      <c r="F595" s="138"/>
      <c r="G595" s="139"/>
      <c r="H595" s="138"/>
      <c r="I595" s="138"/>
      <c r="J595" s="138"/>
      <c r="K595" s="140"/>
    </row>
    <row r="596" spans="1:76" x14ac:dyDescent="0.25">
      <c r="A596" s="2" t="s">
        <v>1115</v>
      </c>
      <c r="B596" s="3" t="s">
        <v>1116</v>
      </c>
      <c r="C596" s="112" t="s">
        <v>1117</v>
      </c>
      <c r="D596" s="107"/>
      <c r="E596" s="3" t="s">
        <v>1118</v>
      </c>
      <c r="F596" s="31">
        <v>1</v>
      </c>
      <c r="G596" s="32">
        <v>0</v>
      </c>
      <c r="H596" s="31">
        <f>ROUND(F596*AO596,2)</f>
        <v>0</v>
      </c>
      <c r="I596" s="31">
        <f>ROUND(F596*AP596,2)</f>
        <v>0</v>
      </c>
      <c r="J596" s="31">
        <f>ROUND(F596*G596,2)</f>
        <v>0</v>
      </c>
      <c r="K596" s="33" t="s">
        <v>60</v>
      </c>
      <c r="Z596" s="31">
        <f>ROUND(IF(AQ596="5",BJ596,0),2)</f>
        <v>0</v>
      </c>
      <c r="AB596" s="31">
        <f>ROUND(IF(AQ596="1",BH596,0),2)</f>
        <v>0</v>
      </c>
      <c r="AC596" s="31">
        <f>ROUND(IF(AQ596="1",BI596,0),2)</f>
        <v>0</v>
      </c>
      <c r="AD596" s="31">
        <f>ROUND(IF(AQ596="7",BH596,0),2)</f>
        <v>0</v>
      </c>
      <c r="AE596" s="31">
        <f>ROUND(IF(AQ596="7",BI596,0),2)</f>
        <v>0</v>
      </c>
      <c r="AF596" s="31">
        <f>ROUND(IF(AQ596="2",BH596,0),2)</f>
        <v>0</v>
      </c>
      <c r="AG596" s="31">
        <f>ROUND(IF(AQ596="2",BI596,0),2)</f>
        <v>0</v>
      </c>
      <c r="AH596" s="31">
        <f>ROUND(IF(AQ596="0",BJ596,0),2)</f>
        <v>0</v>
      </c>
      <c r="AI596" s="11" t="s">
        <v>73</v>
      </c>
      <c r="AJ596" s="31">
        <f>IF(AN596=0,J596,0)</f>
        <v>0</v>
      </c>
      <c r="AK596" s="31">
        <f>IF(AN596=12,J596,0)</f>
        <v>0</v>
      </c>
      <c r="AL596" s="31">
        <f>IF(AN596=21,J596,0)</f>
        <v>0</v>
      </c>
      <c r="AN596" s="31">
        <v>21</v>
      </c>
      <c r="AO596" s="31">
        <f>G596*0.642888275</f>
        <v>0</v>
      </c>
      <c r="AP596" s="31">
        <f>G596*(1-0.642888275)</f>
        <v>0</v>
      </c>
      <c r="AQ596" s="34" t="s">
        <v>101</v>
      </c>
      <c r="AV596" s="31">
        <f>ROUND(AW596+AX596,2)</f>
        <v>0</v>
      </c>
      <c r="AW596" s="31">
        <f>ROUND(F596*AO596,2)</f>
        <v>0</v>
      </c>
      <c r="AX596" s="31">
        <f>ROUND(F596*AP596,2)</f>
        <v>0</v>
      </c>
      <c r="AY596" s="34" t="s">
        <v>1076</v>
      </c>
      <c r="AZ596" s="34" t="s">
        <v>1001</v>
      </c>
      <c r="BA596" s="11" t="s">
        <v>1002</v>
      </c>
      <c r="BC596" s="31">
        <f>AW596+AX596</f>
        <v>0</v>
      </c>
      <c r="BD596" s="31">
        <f>G596/(100-BE596)*100</f>
        <v>0</v>
      </c>
      <c r="BE596" s="31">
        <v>0</v>
      </c>
      <c r="BF596" s="31">
        <f>596</f>
        <v>596</v>
      </c>
      <c r="BH596" s="31">
        <f>F596*AO596</f>
        <v>0</v>
      </c>
      <c r="BI596" s="31">
        <f>F596*AP596</f>
        <v>0</v>
      </c>
      <c r="BJ596" s="31">
        <f>F596*G596</f>
        <v>0</v>
      </c>
      <c r="BK596" s="34" t="s">
        <v>64</v>
      </c>
      <c r="BL596" s="31">
        <v>722</v>
      </c>
      <c r="BW596" s="31">
        <v>21</v>
      </c>
      <c r="BX596" s="5" t="s">
        <v>1117</v>
      </c>
    </row>
    <row r="597" spans="1:76" x14ac:dyDescent="0.25">
      <c r="A597" s="35"/>
      <c r="C597" s="36" t="s">
        <v>56</v>
      </c>
      <c r="D597" s="36" t="s">
        <v>1119</v>
      </c>
      <c r="F597" s="37">
        <v>1</v>
      </c>
      <c r="K597" s="38"/>
    </row>
    <row r="598" spans="1:76" x14ac:dyDescent="0.25">
      <c r="A598" s="2" t="s">
        <v>1120</v>
      </c>
      <c r="B598" s="3" t="s">
        <v>1121</v>
      </c>
      <c r="C598" s="112" t="s">
        <v>1122</v>
      </c>
      <c r="D598" s="107"/>
      <c r="E598" s="3" t="s">
        <v>81</v>
      </c>
      <c r="F598" s="31">
        <v>4</v>
      </c>
      <c r="G598" s="32">
        <v>0</v>
      </c>
      <c r="H598" s="31">
        <f t="shared" ref="H598:H603" si="44">ROUND(F598*AO598,2)</f>
        <v>0</v>
      </c>
      <c r="I598" s="31">
        <f t="shared" ref="I598:I603" si="45">ROUND(F598*AP598,2)</f>
        <v>0</v>
      </c>
      <c r="J598" s="31">
        <f t="shared" ref="J598:J603" si="46">ROUND(F598*G598,2)</f>
        <v>0</v>
      </c>
      <c r="K598" s="33" t="s">
        <v>60</v>
      </c>
      <c r="Z598" s="31">
        <f t="shared" ref="Z598:Z603" si="47">ROUND(IF(AQ598="5",BJ598,0),2)</f>
        <v>0</v>
      </c>
      <c r="AB598" s="31">
        <f t="shared" ref="AB598:AB603" si="48">ROUND(IF(AQ598="1",BH598,0),2)</f>
        <v>0</v>
      </c>
      <c r="AC598" s="31">
        <f t="shared" ref="AC598:AC603" si="49">ROUND(IF(AQ598="1",BI598,0),2)</f>
        <v>0</v>
      </c>
      <c r="AD598" s="31">
        <f t="shared" ref="AD598:AD603" si="50">ROUND(IF(AQ598="7",BH598,0),2)</f>
        <v>0</v>
      </c>
      <c r="AE598" s="31">
        <f t="shared" ref="AE598:AE603" si="51">ROUND(IF(AQ598="7",BI598,0),2)</f>
        <v>0</v>
      </c>
      <c r="AF598" s="31">
        <f t="shared" ref="AF598:AF603" si="52">ROUND(IF(AQ598="2",BH598,0),2)</f>
        <v>0</v>
      </c>
      <c r="AG598" s="31">
        <f t="shared" ref="AG598:AG603" si="53">ROUND(IF(AQ598="2",BI598,0),2)</f>
        <v>0</v>
      </c>
      <c r="AH598" s="31">
        <f t="shared" ref="AH598:AH603" si="54">ROUND(IF(AQ598="0",BJ598,0),2)</f>
        <v>0</v>
      </c>
      <c r="AI598" s="11" t="s">
        <v>73</v>
      </c>
      <c r="AJ598" s="31">
        <f t="shared" ref="AJ598:AJ603" si="55">IF(AN598=0,J598,0)</f>
        <v>0</v>
      </c>
      <c r="AK598" s="31">
        <f t="shared" ref="AK598:AK603" si="56">IF(AN598=12,J598,0)</f>
        <v>0</v>
      </c>
      <c r="AL598" s="31">
        <f t="shared" ref="AL598:AL603" si="57">IF(AN598=21,J598,0)</f>
        <v>0</v>
      </c>
      <c r="AN598" s="31">
        <v>21</v>
      </c>
      <c r="AO598" s="31">
        <f>G598*0</f>
        <v>0</v>
      </c>
      <c r="AP598" s="31">
        <f>G598*(1-0)</f>
        <v>0</v>
      </c>
      <c r="AQ598" s="34" t="s">
        <v>101</v>
      </c>
      <c r="AV598" s="31">
        <f t="shared" ref="AV598:AV603" si="58">ROUND(AW598+AX598,2)</f>
        <v>0</v>
      </c>
      <c r="AW598" s="31">
        <f t="shared" ref="AW598:AW603" si="59">ROUND(F598*AO598,2)</f>
        <v>0</v>
      </c>
      <c r="AX598" s="31">
        <f t="shared" ref="AX598:AX603" si="60">ROUND(F598*AP598,2)</f>
        <v>0</v>
      </c>
      <c r="AY598" s="34" t="s">
        <v>1076</v>
      </c>
      <c r="AZ598" s="34" t="s">
        <v>1001</v>
      </c>
      <c r="BA598" s="11" t="s">
        <v>1002</v>
      </c>
      <c r="BC598" s="31">
        <f t="shared" ref="BC598:BC603" si="61">AW598+AX598</f>
        <v>0</v>
      </c>
      <c r="BD598" s="31">
        <f t="shared" ref="BD598:BD603" si="62">G598/(100-BE598)*100</f>
        <v>0</v>
      </c>
      <c r="BE598" s="31">
        <v>0</v>
      </c>
      <c r="BF598" s="31">
        <f>598</f>
        <v>598</v>
      </c>
      <c r="BH598" s="31">
        <f t="shared" ref="BH598:BH603" si="63">F598*AO598</f>
        <v>0</v>
      </c>
      <c r="BI598" s="31">
        <f t="shared" ref="BI598:BI603" si="64">F598*AP598</f>
        <v>0</v>
      </c>
      <c r="BJ598" s="31">
        <f t="shared" ref="BJ598:BJ603" si="65">F598*G598</f>
        <v>0</v>
      </c>
      <c r="BK598" s="34" t="s">
        <v>64</v>
      </c>
      <c r="BL598" s="31">
        <v>722</v>
      </c>
      <c r="BW598" s="31">
        <v>21</v>
      </c>
      <c r="BX598" s="5" t="s">
        <v>1122</v>
      </c>
    </row>
    <row r="599" spans="1:76" x14ac:dyDescent="0.25">
      <c r="A599" s="2" t="s">
        <v>1123</v>
      </c>
      <c r="B599" s="3" t="s">
        <v>1124</v>
      </c>
      <c r="C599" s="112" t="s">
        <v>1125</v>
      </c>
      <c r="D599" s="107"/>
      <c r="E599" s="3" t="s">
        <v>81</v>
      </c>
      <c r="F599" s="31">
        <v>2</v>
      </c>
      <c r="G599" s="32">
        <v>0</v>
      </c>
      <c r="H599" s="31">
        <f t="shared" si="44"/>
        <v>0</v>
      </c>
      <c r="I599" s="31">
        <f t="shared" si="45"/>
        <v>0</v>
      </c>
      <c r="J599" s="31">
        <f t="shared" si="46"/>
        <v>0</v>
      </c>
      <c r="K599" s="33" t="s">
        <v>60</v>
      </c>
      <c r="Z599" s="31">
        <f t="shared" si="47"/>
        <v>0</v>
      </c>
      <c r="AB599" s="31">
        <f t="shared" si="48"/>
        <v>0</v>
      </c>
      <c r="AC599" s="31">
        <f t="shared" si="49"/>
        <v>0</v>
      </c>
      <c r="AD599" s="31">
        <f t="shared" si="50"/>
        <v>0</v>
      </c>
      <c r="AE599" s="31">
        <f t="shared" si="51"/>
        <v>0</v>
      </c>
      <c r="AF599" s="31">
        <f t="shared" si="52"/>
        <v>0</v>
      </c>
      <c r="AG599" s="31">
        <f t="shared" si="53"/>
        <v>0</v>
      </c>
      <c r="AH599" s="31">
        <f t="shared" si="54"/>
        <v>0</v>
      </c>
      <c r="AI599" s="11" t="s">
        <v>73</v>
      </c>
      <c r="AJ599" s="31">
        <f t="shared" si="55"/>
        <v>0</v>
      </c>
      <c r="AK599" s="31">
        <f t="shared" si="56"/>
        <v>0</v>
      </c>
      <c r="AL599" s="31">
        <f t="shared" si="57"/>
        <v>0</v>
      </c>
      <c r="AN599" s="31">
        <v>21</v>
      </c>
      <c r="AO599" s="31">
        <f>G599*0</f>
        <v>0</v>
      </c>
      <c r="AP599" s="31">
        <f>G599*(1-0)</f>
        <v>0</v>
      </c>
      <c r="AQ599" s="34" t="s">
        <v>101</v>
      </c>
      <c r="AV599" s="31">
        <f t="shared" si="58"/>
        <v>0</v>
      </c>
      <c r="AW599" s="31">
        <f t="shared" si="59"/>
        <v>0</v>
      </c>
      <c r="AX599" s="31">
        <f t="shared" si="60"/>
        <v>0</v>
      </c>
      <c r="AY599" s="34" t="s">
        <v>1076</v>
      </c>
      <c r="AZ599" s="34" t="s">
        <v>1001</v>
      </c>
      <c r="BA599" s="11" t="s">
        <v>1002</v>
      </c>
      <c r="BC599" s="31">
        <f t="shared" si="61"/>
        <v>0</v>
      </c>
      <c r="BD599" s="31">
        <f t="shared" si="62"/>
        <v>0</v>
      </c>
      <c r="BE599" s="31">
        <v>0</v>
      </c>
      <c r="BF599" s="31">
        <f>599</f>
        <v>599</v>
      </c>
      <c r="BH599" s="31">
        <f t="shared" si="63"/>
        <v>0</v>
      </c>
      <c r="BI599" s="31">
        <f t="shared" si="64"/>
        <v>0</v>
      </c>
      <c r="BJ599" s="31">
        <f t="shared" si="65"/>
        <v>0</v>
      </c>
      <c r="BK599" s="34" t="s">
        <v>64</v>
      </c>
      <c r="BL599" s="31">
        <v>722</v>
      </c>
      <c r="BW599" s="31">
        <v>21</v>
      </c>
      <c r="BX599" s="5" t="s">
        <v>1125</v>
      </c>
    </row>
    <row r="600" spans="1:76" x14ac:dyDescent="0.25">
      <c r="A600" s="2" t="s">
        <v>1126</v>
      </c>
      <c r="B600" s="3" t="s">
        <v>1127</v>
      </c>
      <c r="C600" s="112" t="s">
        <v>1128</v>
      </c>
      <c r="D600" s="107"/>
      <c r="E600" s="3" t="s">
        <v>81</v>
      </c>
      <c r="F600" s="31">
        <v>8</v>
      </c>
      <c r="G600" s="32">
        <v>0</v>
      </c>
      <c r="H600" s="31">
        <f t="shared" si="44"/>
        <v>0</v>
      </c>
      <c r="I600" s="31">
        <f t="shared" si="45"/>
        <v>0</v>
      </c>
      <c r="J600" s="31">
        <f t="shared" si="46"/>
        <v>0</v>
      </c>
      <c r="K600" s="33" t="s">
        <v>60</v>
      </c>
      <c r="Z600" s="31">
        <f t="shared" si="47"/>
        <v>0</v>
      </c>
      <c r="AB600" s="31">
        <f t="shared" si="48"/>
        <v>0</v>
      </c>
      <c r="AC600" s="31">
        <f t="shared" si="49"/>
        <v>0</v>
      </c>
      <c r="AD600" s="31">
        <f t="shared" si="50"/>
        <v>0</v>
      </c>
      <c r="AE600" s="31">
        <f t="shared" si="51"/>
        <v>0</v>
      </c>
      <c r="AF600" s="31">
        <f t="shared" si="52"/>
        <v>0</v>
      </c>
      <c r="AG600" s="31">
        <f t="shared" si="53"/>
        <v>0</v>
      </c>
      <c r="AH600" s="31">
        <f t="shared" si="54"/>
        <v>0</v>
      </c>
      <c r="AI600" s="11" t="s">
        <v>73</v>
      </c>
      <c r="AJ600" s="31">
        <f t="shared" si="55"/>
        <v>0</v>
      </c>
      <c r="AK600" s="31">
        <f t="shared" si="56"/>
        <v>0</v>
      </c>
      <c r="AL600" s="31">
        <f t="shared" si="57"/>
        <v>0</v>
      </c>
      <c r="AN600" s="31">
        <v>21</v>
      </c>
      <c r="AO600" s="31">
        <f>G600*0</f>
        <v>0</v>
      </c>
      <c r="AP600" s="31">
        <f>G600*(1-0)</f>
        <v>0</v>
      </c>
      <c r="AQ600" s="34" t="s">
        <v>101</v>
      </c>
      <c r="AV600" s="31">
        <f t="shared" si="58"/>
        <v>0</v>
      </c>
      <c r="AW600" s="31">
        <f t="shared" si="59"/>
        <v>0</v>
      </c>
      <c r="AX600" s="31">
        <f t="shared" si="60"/>
        <v>0</v>
      </c>
      <c r="AY600" s="34" t="s">
        <v>1076</v>
      </c>
      <c r="AZ600" s="34" t="s">
        <v>1001</v>
      </c>
      <c r="BA600" s="11" t="s">
        <v>1002</v>
      </c>
      <c r="BC600" s="31">
        <f t="shared" si="61"/>
        <v>0</v>
      </c>
      <c r="BD600" s="31">
        <f t="shared" si="62"/>
        <v>0</v>
      </c>
      <c r="BE600" s="31">
        <v>0</v>
      </c>
      <c r="BF600" s="31">
        <f>600</f>
        <v>600</v>
      </c>
      <c r="BH600" s="31">
        <f t="shared" si="63"/>
        <v>0</v>
      </c>
      <c r="BI600" s="31">
        <f t="shared" si="64"/>
        <v>0</v>
      </c>
      <c r="BJ600" s="31">
        <f t="shared" si="65"/>
        <v>0</v>
      </c>
      <c r="BK600" s="34" t="s">
        <v>64</v>
      </c>
      <c r="BL600" s="31">
        <v>722</v>
      </c>
      <c r="BW600" s="31">
        <v>21</v>
      </c>
      <c r="BX600" s="5" t="s">
        <v>1128</v>
      </c>
    </row>
    <row r="601" spans="1:76" x14ac:dyDescent="0.25">
      <c r="A601" s="2" t="s">
        <v>1129</v>
      </c>
      <c r="B601" s="3" t="s">
        <v>1130</v>
      </c>
      <c r="C601" s="112" t="s">
        <v>1131</v>
      </c>
      <c r="D601" s="107"/>
      <c r="E601" s="3" t="s">
        <v>81</v>
      </c>
      <c r="F601" s="31">
        <v>2</v>
      </c>
      <c r="G601" s="32">
        <v>0</v>
      </c>
      <c r="H601" s="31">
        <f t="shared" si="44"/>
        <v>0</v>
      </c>
      <c r="I601" s="31">
        <f t="shared" si="45"/>
        <v>0</v>
      </c>
      <c r="J601" s="31">
        <f t="shared" si="46"/>
        <v>0</v>
      </c>
      <c r="K601" s="33" t="s">
        <v>60</v>
      </c>
      <c r="Z601" s="31">
        <f t="shared" si="47"/>
        <v>0</v>
      </c>
      <c r="AB601" s="31">
        <f t="shared" si="48"/>
        <v>0</v>
      </c>
      <c r="AC601" s="31">
        <f t="shared" si="49"/>
        <v>0</v>
      </c>
      <c r="AD601" s="31">
        <f t="shared" si="50"/>
        <v>0</v>
      </c>
      <c r="AE601" s="31">
        <f t="shared" si="51"/>
        <v>0</v>
      </c>
      <c r="AF601" s="31">
        <f t="shared" si="52"/>
        <v>0</v>
      </c>
      <c r="AG601" s="31">
        <f t="shared" si="53"/>
        <v>0</v>
      </c>
      <c r="AH601" s="31">
        <f t="shared" si="54"/>
        <v>0</v>
      </c>
      <c r="AI601" s="11" t="s">
        <v>73</v>
      </c>
      <c r="AJ601" s="31">
        <f t="shared" si="55"/>
        <v>0</v>
      </c>
      <c r="AK601" s="31">
        <f t="shared" si="56"/>
        <v>0</v>
      </c>
      <c r="AL601" s="31">
        <f t="shared" si="57"/>
        <v>0</v>
      </c>
      <c r="AN601" s="31">
        <v>21</v>
      </c>
      <c r="AO601" s="31">
        <f>G601*0.35664825</f>
        <v>0</v>
      </c>
      <c r="AP601" s="31">
        <f>G601*(1-0.35664825)</f>
        <v>0</v>
      </c>
      <c r="AQ601" s="34" t="s">
        <v>101</v>
      </c>
      <c r="AV601" s="31">
        <f t="shared" si="58"/>
        <v>0</v>
      </c>
      <c r="AW601" s="31">
        <f t="shared" si="59"/>
        <v>0</v>
      </c>
      <c r="AX601" s="31">
        <f t="shared" si="60"/>
        <v>0</v>
      </c>
      <c r="AY601" s="34" t="s">
        <v>1076</v>
      </c>
      <c r="AZ601" s="34" t="s">
        <v>1001</v>
      </c>
      <c r="BA601" s="11" t="s">
        <v>1002</v>
      </c>
      <c r="BC601" s="31">
        <f t="shared" si="61"/>
        <v>0</v>
      </c>
      <c r="BD601" s="31">
        <f t="shared" si="62"/>
        <v>0</v>
      </c>
      <c r="BE601" s="31">
        <v>0</v>
      </c>
      <c r="BF601" s="31">
        <f>601</f>
        <v>601</v>
      </c>
      <c r="BH601" s="31">
        <f t="shared" si="63"/>
        <v>0</v>
      </c>
      <c r="BI601" s="31">
        <f t="shared" si="64"/>
        <v>0</v>
      </c>
      <c r="BJ601" s="31">
        <f t="shared" si="65"/>
        <v>0</v>
      </c>
      <c r="BK601" s="34" t="s">
        <v>64</v>
      </c>
      <c r="BL601" s="31">
        <v>722</v>
      </c>
      <c r="BW601" s="31">
        <v>21</v>
      </c>
      <c r="BX601" s="5" t="s">
        <v>1131</v>
      </c>
    </row>
    <row r="602" spans="1:76" x14ac:dyDescent="0.25">
      <c r="A602" s="2" t="s">
        <v>1132</v>
      </c>
      <c r="B602" s="3" t="s">
        <v>1133</v>
      </c>
      <c r="C602" s="112" t="s">
        <v>1134</v>
      </c>
      <c r="D602" s="107"/>
      <c r="E602" s="3" t="s">
        <v>81</v>
      </c>
      <c r="F602" s="31">
        <v>3</v>
      </c>
      <c r="G602" s="32">
        <v>0</v>
      </c>
      <c r="H602" s="31">
        <f t="shared" si="44"/>
        <v>0</v>
      </c>
      <c r="I602" s="31">
        <f t="shared" si="45"/>
        <v>0</v>
      </c>
      <c r="J602" s="31">
        <f t="shared" si="46"/>
        <v>0</v>
      </c>
      <c r="K602" s="33" t="s">
        <v>60</v>
      </c>
      <c r="Z602" s="31">
        <f t="shared" si="47"/>
        <v>0</v>
      </c>
      <c r="AB602" s="31">
        <f t="shared" si="48"/>
        <v>0</v>
      </c>
      <c r="AC602" s="31">
        <f t="shared" si="49"/>
        <v>0</v>
      </c>
      <c r="AD602" s="31">
        <f t="shared" si="50"/>
        <v>0</v>
      </c>
      <c r="AE602" s="31">
        <f t="shared" si="51"/>
        <v>0</v>
      </c>
      <c r="AF602" s="31">
        <f t="shared" si="52"/>
        <v>0</v>
      </c>
      <c r="AG602" s="31">
        <f t="shared" si="53"/>
        <v>0</v>
      </c>
      <c r="AH602" s="31">
        <f t="shared" si="54"/>
        <v>0</v>
      </c>
      <c r="AI602" s="11" t="s">
        <v>73</v>
      </c>
      <c r="AJ602" s="31">
        <f t="shared" si="55"/>
        <v>0</v>
      </c>
      <c r="AK602" s="31">
        <f t="shared" si="56"/>
        <v>0</v>
      </c>
      <c r="AL602" s="31">
        <f t="shared" si="57"/>
        <v>0</v>
      </c>
      <c r="AN602" s="31">
        <v>21</v>
      </c>
      <c r="AO602" s="31">
        <f>G602*0.493681159</f>
        <v>0</v>
      </c>
      <c r="AP602" s="31">
        <f>G602*(1-0.493681159)</f>
        <v>0</v>
      </c>
      <c r="AQ602" s="34" t="s">
        <v>101</v>
      </c>
      <c r="AV602" s="31">
        <f t="shared" si="58"/>
        <v>0</v>
      </c>
      <c r="AW602" s="31">
        <f t="shared" si="59"/>
        <v>0</v>
      </c>
      <c r="AX602" s="31">
        <f t="shared" si="60"/>
        <v>0</v>
      </c>
      <c r="AY602" s="34" t="s">
        <v>1076</v>
      </c>
      <c r="AZ602" s="34" t="s">
        <v>1001</v>
      </c>
      <c r="BA602" s="11" t="s">
        <v>1002</v>
      </c>
      <c r="BC602" s="31">
        <f t="shared" si="61"/>
        <v>0</v>
      </c>
      <c r="BD602" s="31">
        <f t="shared" si="62"/>
        <v>0</v>
      </c>
      <c r="BE602" s="31">
        <v>0</v>
      </c>
      <c r="BF602" s="31">
        <f>602</f>
        <v>602</v>
      </c>
      <c r="BH602" s="31">
        <f t="shared" si="63"/>
        <v>0</v>
      </c>
      <c r="BI602" s="31">
        <f t="shared" si="64"/>
        <v>0</v>
      </c>
      <c r="BJ602" s="31">
        <f t="shared" si="65"/>
        <v>0</v>
      </c>
      <c r="BK602" s="34" t="s">
        <v>64</v>
      </c>
      <c r="BL602" s="31">
        <v>722</v>
      </c>
      <c r="BW602" s="31">
        <v>21</v>
      </c>
      <c r="BX602" s="5" t="s">
        <v>1134</v>
      </c>
    </row>
    <row r="603" spans="1:76" x14ac:dyDescent="0.25">
      <c r="A603" s="2" t="s">
        <v>1135</v>
      </c>
      <c r="B603" s="3" t="s">
        <v>1136</v>
      </c>
      <c r="C603" s="112" t="s">
        <v>1137</v>
      </c>
      <c r="D603" s="107"/>
      <c r="E603" s="3" t="s">
        <v>81</v>
      </c>
      <c r="F603" s="31">
        <v>2</v>
      </c>
      <c r="G603" s="32">
        <v>0</v>
      </c>
      <c r="H603" s="31">
        <f t="shared" si="44"/>
        <v>0</v>
      </c>
      <c r="I603" s="31">
        <f t="shared" si="45"/>
        <v>0</v>
      </c>
      <c r="J603" s="31">
        <f t="shared" si="46"/>
        <v>0</v>
      </c>
      <c r="K603" s="33" t="s">
        <v>60</v>
      </c>
      <c r="Z603" s="31">
        <f t="shared" si="47"/>
        <v>0</v>
      </c>
      <c r="AB603" s="31">
        <f t="shared" si="48"/>
        <v>0</v>
      </c>
      <c r="AC603" s="31">
        <f t="shared" si="49"/>
        <v>0</v>
      </c>
      <c r="AD603" s="31">
        <f t="shared" si="50"/>
        <v>0</v>
      </c>
      <c r="AE603" s="31">
        <f t="shared" si="51"/>
        <v>0</v>
      </c>
      <c r="AF603" s="31">
        <f t="shared" si="52"/>
        <v>0</v>
      </c>
      <c r="AG603" s="31">
        <f t="shared" si="53"/>
        <v>0</v>
      </c>
      <c r="AH603" s="31">
        <f t="shared" si="54"/>
        <v>0</v>
      </c>
      <c r="AI603" s="11" t="s">
        <v>73</v>
      </c>
      <c r="AJ603" s="31">
        <f t="shared" si="55"/>
        <v>0</v>
      </c>
      <c r="AK603" s="31">
        <f t="shared" si="56"/>
        <v>0</v>
      </c>
      <c r="AL603" s="31">
        <f t="shared" si="57"/>
        <v>0</v>
      </c>
      <c r="AN603" s="31">
        <v>21</v>
      </c>
      <c r="AO603" s="31">
        <f>G603*0</f>
        <v>0</v>
      </c>
      <c r="AP603" s="31">
        <f>G603*(1-0)</f>
        <v>0</v>
      </c>
      <c r="AQ603" s="34" t="s">
        <v>101</v>
      </c>
      <c r="AV603" s="31">
        <f t="shared" si="58"/>
        <v>0</v>
      </c>
      <c r="AW603" s="31">
        <f t="shared" si="59"/>
        <v>0</v>
      </c>
      <c r="AX603" s="31">
        <f t="shared" si="60"/>
        <v>0</v>
      </c>
      <c r="AY603" s="34" t="s">
        <v>1076</v>
      </c>
      <c r="AZ603" s="34" t="s">
        <v>1001</v>
      </c>
      <c r="BA603" s="11" t="s">
        <v>1002</v>
      </c>
      <c r="BC603" s="31">
        <f t="shared" si="61"/>
        <v>0</v>
      </c>
      <c r="BD603" s="31">
        <f t="shared" si="62"/>
        <v>0</v>
      </c>
      <c r="BE603" s="31">
        <v>0</v>
      </c>
      <c r="BF603" s="31">
        <f>603</f>
        <v>603</v>
      </c>
      <c r="BH603" s="31">
        <f t="shared" si="63"/>
        <v>0</v>
      </c>
      <c r="BI603" s="31">
        <f t="shared" si="64"/>
        <v>0</v>
      </c>
      <c r="BJ603" s="31">
        <f t="shared" si="65"/>
        <v>0</v>
      </c>
      <c r="BK603" s="34" t="s">
        <v>64</v>
      </c>
      <c r="BL603" s="31">
        <v>722</v>
      </c>
      <c r="BW603" s="31">
        <v>21</v>
      </c>
      <c r="BX603" s="5" t="s">
        <v>1137</v>
      </c>
    </row>
    <row r="604" spans="1:76" x14ac:dyDescent="0.25">
      <c r="A604" s="35"/>
      <c r="C604" s="36" t="s">
        <v>1138</v>
      </c>
      <c r="D604" s="36" t="s">
        <v>52</v>
      </c>
      <c r="F604" s="37">
        <v>2</v>
      </c>
      <c r="K604" s="38"/>
    </row>
    <row r="605" spans="1:76" x14ac:dyDescent="0.25">
      <c r="A605" s="2" t="s">
        <v>1139</v>
      </c>
      <c r="B605" s="3" t="s">
        <v>1140</v>
      </c>
      <c r="C605" s="112" t="s">
        <v>1141</v>
      </c>
      <c r="D605" s="107"/>
      <c r="E605" s="3" t="s">
        <v>215</v>
      </c>
      <c r="F605" s="31">
        <v>28.5</v>
      </c>
      <c r="G605" s="32">
        <v>0</v>
      </c>
      <c r="H605" s="31">
        <f>ROUND(F605*AO605,2)</f>
        <v>0</v>
      </c>
      <c r="I605" s="31">
        <f>ROUND(F605*AP605,2)</f>
        <v>0</v>
      </c>
      <c r="J605" s="31">
        <f>ROUND(F605*G605,2)</f>
        <v>0</v>
      </c>
      <c r="K605" s="33" t="s">
        <v>60</v>
      </c>
      <c r="Z605" s="31">
        <f>ROUND(IF(AQ605="5",BJ605,0),2)</f>
        <v>0</v>
      </c>
      <c r="AB605" s="31">
        <f>ROUND(IF(AQ605="1",BH605,0),2)</f>
        <v>0</v>
      </c>
      <c r="AC605" s="31">
        <f>ROUND(IF(AQ605="1",BI605,0),2)</f>
        <v>0</v>
      </c>
      <c r="AD605" s="31">
        <f>ROUND(IF(AQ605="7",BH605,0),2)</f>
        <v>0</v>
      </c>
      <c r="AE605" s="31">
        <f>ROUND(IF(AQ605="7",BI605,0),2)</f>
        <v>0</v>
      </c>
      <c r="AF605" s="31">
        <f>ROUND(IF(AQ605="2",BH605,0),2)</f>
        <v>0</v>
      </c>
      <c r="AG605" s="31">
        <f>ROUND(IF(AQ605="2",BI605,0),2)</f>
        <v>0</v>
      </c>
      <c r="AH605" s="31">
        <f>ROUND(IF(AQ605="0",BJ605,0),2)</f>
        <v>0</v>
      </c>
      <c r="AI605" s="11" t="s">
        <v>73</v>
      </c>
      <c r="AJ605" s="31">
        <f>IF(AN605=0,J605,0)</f>
        <v>0</v>
      </c>
      <c r="AK605" s="31">
        <f>IF(AN605=12,J605,0)</f>
        <v>0</v>
      </c>
      <c r="AL605" s="31">
        <f>IF(AN605=21,J605,0)</f>
        <v>0</v>
      </c>
      <c r="AN605" s="31">
        <v>21</v>
      </c>
      <c r="AO605" s="31">
        <f>G605*0.01352657</f>
        <v>0</v>
      </c>
      <c r="AP605" s="31">
        <f>G605*(1-0.01352657)</f>
        <v>0</v>
      </c>
      <c r="AQ605" s="34" t="s">
        <v>101</v>
      </c>
      <c r="AV605" s="31">
        <f>ROUND(AW605+AX605,2)</f>
        <v>0</v>
      </c>
      <c r="AW605" s="31">
        <f>ROUND(F605*AO605,2)</f>
        <v>0</v>
      </c>
      <c r="AX605" s="31">
        <f>ROUND(F605*AP605,2)</f>
        <v>0</v>
      </c>
      <c r="AY605" s="34" t="s">
        <v>1076</v>
      </c>
      <c r="AZ605" s="34" t="s">
        <v>1001</v>
      </c>
      <c r="BA605" s="11" t="s">
        <v>1002</v>
      </c>
      <c r="BC605" s="31">
        <f>AW605+AX605</f>
        <v>0</v>
      </c>
      <c r="BD605" s="31">
        <f>G605/(100-BE605)*100</f>
        <v>0</v>
      </c>
      <c r="BE605" s="31">
        <v>0</v>
      </c>
      <c r="BF605" s="31">
        <f>605</f>
        <v>605</v>
      </c>
      <c r="BH605" s="31">
        <f>F605*AO605</f>
        <v>0</v>
      </c>
      <c r="BI605" s="31">
        <f>F605*AP605</f>
        <v>0</v>
      </c>
      <c r="BJ605" s="31">
        <f>F605*G605</f>
        <v>0</v>
      </c>
      <c r="BK605" s="34" t="s">
        <v>64</v>
      </c>
      <c r="BL605" s="31">
        <v>722</v>
      </c>
      <c r="BW605" s="31">
        <v>21</v>
      </c>
      <c r="BX605" s="5" t="s">
        <v>1141</v>
      </c>
    </row>
    <row r="606" spans="1:76" x14ac:dyDescent="0.25">
      <c r="A606" s="35"/>
      <c r="C606" s="36" t="s">
        <v>1142</v>
      </c>
      <c r="D606" s="36" t="s">
        <v>52</v>
      </c>
      <c r="F606" s="37">
        <v>28.5</v>
      </c>
      <c r="K606" s="38"/>
    </row>
    <row r="607" spans="1:76" x14ac:dyDescent="0.25">
      <c r="A607" s="2" t="s">
        <v>1143</v>
      </c>
      <c r="B607" s="3" t="s">
        <v>1144</v>
      </c>
      <c r="C607" s="112" t="s">
        <v>1145</v>
      </c>
      <c r="D607" s="107"/>
      <c r="E607" s="3" t="s">
        <v>215</v>
      </c>
      <c r="F607" s="31">
        <v>62.5</v>
      </c>
      <c r="G607" s="32">
        <v>0</v>
      </c>
      <c r="H607" s="31">
        <f>ROUND(F607*AO607,2)</f>
        <v>0</v>
      </c>
      <c r="I607" s="31">
        <f>ROUND(F607*AP607,2)</f>
        <v>0</v>
      </c>
      <c r="J607" s="31">
        <f>ROUND(F607*G607,2)</f>
        <v>0</v>
      </c>
      <c r="K607" s="33" t="s">
        <v>60</v>
      </c>
      <c r="Z607" s="31">
        <f>ROUND(IF(AQ607="5",BJ607,0),2)</f>
        <v>0</v>
      </c>
      <c r="AB607" s="31">
        <f>ROUND(IF(AQ607="1",BH607,0),2)</f>
        <v>0</v>
      </c>
      <c r="AC607" s="31">
        <f>ROUND(IF(AQ607="1",BI607,0),2)</f>
        <v>0</v>
      </c>
      <c r="AD607" s="31">
        <f>ROUND(IF(AQ607="7",BH607,0),2)</f>
        <v>0</v>
      </c>
      <c r="AE607" s="31">
        <f>ROUND(IF(AQ607="7",BI607,0),2)</f>
        <v>0</v>
      </c>
      <c r="AF607" s="31">
        <f>ROUND(IF(AQ607="2",BH607,0),2)</f>
        <v>0</v>
      </c>
      <c r="AG607" s="31">
        <f>ROUND(IF(AQ607="2",BI607,0),2)</f>
        <v>0</v>
      </c>
      <c r="AH607" s="31">
        <f>ROUND(IF(AQ607="0",BJ607,0),2)</f>
        <v>0</v>
      </c>
      <c r="AI607" s="11" t="s">
        <v>73</v>
      </c>
      <c r="AJ607" s="31">
        <f>IF(AN607=0,J607,0)</f>
        <v>0</v>
      </c>
      <c r="AK607" s="31">
        <f>IF(AN607=12,J607,0)</f>
        <v>0</v>
      </c>
      <c r="AL607" s="31">
        <f>IF(AN607=21,J607,0)</f>
        <v>0</v>
      </c>
      <c r="AN607" s="31">
        <v>21</v>
      </c>
      <c r="AO607" s="31">
        <f>G607*0.047047702</f>
        <v>0</v>
      </c>
      <c r="AP607" s="31">
        <f>G607*(1-0.047047702)</f>
        <v>0</v>
      </c>
      <c r="AQ607" s="34" t="s">
        <v>101</v>
      </c>
      <c r="AV607" s="31">
        <f>ROUND(AW607+AX607,2)</f>
        <v>0</v>
      </c>
      <c r="AW607" s="31">
        <f>ROUND(F607*AO607,2)</f>
        <v>0</v>
      </c>
      <c r="AX607" s="31">
        <f>ROUND(F607*AP607,2)</f>
        <v>0</v>
      </c>
      <c r="AY607" s="34" t="s">
        <v>1076</v>
      </c>
      <c r="AZ607" s="34" t="s">
        <v>1001</v>
      </c>
      <c r="BA607" s="11" t="s">
        <v>1002</v>
      </c>
      <c r="BC607" s="31">
        <f>AW607+AX607</f>
        <v>0</v>
      </c>
      <c r="BD607" s="31">
        <f>G607/(100-BE607)*100</f>
        <v>0</v>
      </c>
      <c r="BE607" s="31">
        <v>0</v>
      </c>
      <c r="BF607" s="31">
        <f>607</f>
        <v>607</v>
      </c>
      <c r="BH607" s="31">
        <f>F607*AO607</f>
        <v>0</v>
      </c>
      <c r="BI607" s="31">
        <f>F607*AP607</f>
        <v>0</v>
      </c>
      <c r="BJ607" s="31">
        <f>F607*G607</f>
        <v>0</v>
      </c>
      <c r="BK607" s="34" t="s">
        <v>64</v>
      </c>
      <c r="BL607" s="31">
        <v>722</v>
      </c>
      <c r="BW607" s="31">
        <v>21</v>
      </c>
      <c r="BX607" s="5" t="s">
        <v>1145</v>
      </c>
    </row>
    <row r="608" spans="1:76" x14ac:dyDescent="0.25">
      <c r="A608" s="35"/>
      <c r="C608" s="36" t="s">
        <v>1142</v>
      </c>
      <c r="D608" s="36" t="s">
        <v>1146</v>
      </c>
      <c r="F608" s="37">
        <v>28.5</v>
      </c>
      <c r="K608" s="38"/>
    </row>
    <row r="609" spans="1:76" x14ac:dyDescent="0.25">
      <c r="A609" s="35"/>
      <c r="C609" s="36" t="s">
        <v>1147</v>
      </c>
      <c r="D609" s="36" t="s">
        <v>1148</v>
      </c>
      <c r="F609" s="37">
        <v>34</v>
      </c>
      <c r="K609" s="38"/>
    </row>
    <row r="610" spans="1:76" x14ac:dyDescent="0.25">
      <c r="A610" s="2" t="s">
        <v>1149</v>
      </c>
      <c r="B610" s="3" t="s">
        <v>240</v>
      </c>
      <c r="C610" s="112" t="s">
        <v>1150</v>
      </c>
      <c r="D610" s="107"/>
      <c r="E610" s="3" t="s">
        <v>81</v>
      </c>
      <c r="F610" s="31">
        <v>1</v>
      </c>
      <c r="G610" s="32">
        <v>0</v>
      </c>
      <c r="H610" s="31">
        <f>ROUND(F610*AO610,2)</f>
        <v>0</v>
      </c>
      <c r="I610" s="31">
        <f>ROUND(F610*AP610,2)</f>
        <v>0</v>
      </c>
      <c r="J610" s="31">
        <f>ROUND(F610*G610,2)</f>
        <v>0</v>
      </c>
      <c r="K610" s="33" t="s">
        <v>242</v>
      </c>
      <c r="Z610" s="31">
        <f>ROUND(IF(AQ610="5",BJ610,0),2)</f>
        <v>0</v>
      </c>
      <c r="AB610" s="31">
        <f>ROUND(IF(AQ610="1",BH610,0),2)</f>
        <v>0</v>
      </c>
      <c r="AC610" s="31">
        <f>ROUND(IF(AQ610="1",BI610,0),2)</f>
        <v>0</v>
      </c>
      <c r="AD610" s="31">
        <f>ROUND(IF(AQ610="7",BH610,0),2)</f>
        <v>0</v>
      </c>
      <c r="AE610" s="31">
        <f>ROUND(IF(AQ610="7",BI610,0),2)</f>
        <v>0</v>
      </c>
      <c r="AF610" s="31">
        <f>ROUND(IF(AQ610="2",BH610,0),2)</f>
        <v>0</v>
      </c>
      <c r="AG610" s="31">
        <f>ROUND(IF(AQ610="2",BI610,0),2)</f>
        <v>0</v>
      </c>
      <c r="AH610" s="31">
        <f>ROUND(IF(AQ610="0",BJ610,0),2)</f>
        <v>0</v>
      </c>
      <c r="AI610" s="11" t="s">
        <v>73</v>
      </c>
      <c r="AJ610" s="31">
        <f>IF(AN610=0,J610,0)</f>
        <v>0</v>
      </c>
      <c r="AK610" s="31">
        <f>IF(AN610=12,J610,0)</f>
        <v>0</v>
      </c>
      <c r="AL610" s="31">
        <f>IF(AN610=21,J610,0)</f>
        <v>0</v>
      </c>
      <c r="AN610" s="31">
        <v>21</v>
      </c>
      <c r="AO610" s="31">
        <f>G610*0</f>
        <v>0</v>
      </c>
      <c r="AP610" s="31">
        <f>G610*(1-0)</f>
        <v>0</v>
      </c>
      <c r="AQ610" s="34" t="s">
        <v>101</v>
      </c>
      <c r="AV610" s="31">
        <f>ROUND(AW610+AX610,2)</f>
        <v>0</v>
      </c>
      <c r="AW610" s="31">
        <f>ROUND(F610*AO610,2)</f>
        <v>0</v>
      </c>
      <c r="AX610" s="31">
        <f>ROUND(F610*AP610,2)</f>
        <v>0</v>
      </c>
      <c r="AY610" s="34" t="s">
        <v>1076</v>
      </c>
      <c r="AZ610" s="34" t="s">
        <v>1001</v>
      </c>
      <c r="BA610" s="11" t="s">
        <v>1002</v>
      </c>
      <c r="BC610" s="31">
        <f>AW610+AX610</f>
        <v>0</v>
      </c>
      <c r="BD610" s="31">
        <f>G610/(100-BE610)*100</f>
        <v>0</v>
      </c>
      <c r="BE610" s="31">
        <v>0</v>
      </c>
      <c r="BF610" s="31">
        <f>610</f>
        <v>610</v>
      </c>
      <c r="BH610" s="31">
        <f>F610*AO610</f>
        <v>0</v>
      </c>
      <c r="BI610" s="31">
        <f>F610*AP610</f>
        <v>0</v>
      </c>
      <c r="BJ610" s="31">
        <f>F610*G610</f>
        <v>0</v>
      </c>
      <c r="BK610" s="34" t="s">
        <v>64</v>
      </c>
      <c r="BL610" s="31">
        <v>722</v>
      </c>
      <c r="BW610" s="31">
        <v>21</v>
      </c>
      <c r="BX610" s="5" t="s">
        <v>1150</v>
      </c>
    </row>
    <row r="611" spans="1:76" x14ac:dyDescent="0.25">
      <c r="A611" s="2" t="s">
        <v>1151</v>
      </c>
      <c r="B611" s="3" t="s">
        <v>1152</v>
      </c>
      <c r="C611" s="112" t="s">
        <v>1153</v>
      </c>
      <c r="D611" s="107"/>
      <c r="E611" s="3" t="s">
        <v>81</v>
      </c>
      <c r="F611" s="31">
        <v>1</v>
      </c>
      <c r="G611" s="32">
        <v>0</v>
      </c>
      <c r="H611" s="31">
        <f>ROUND(F611*AO611,2)</f>
        <v>0</v>
      </c>
      <c r="I611" s="31">
        <f>ROUND(F611*AP611,2)</f>
        <v>0</v>
      </c>
      <c r="J611" s="31">
        <f>ROUND(F611*G611,2)</f>
        <v>0</v>
      </c>
      <c r="K611" s="33" t="s">
        <v>60</v>
      </c>
      <c r="Z611" s="31">
        <f>ROUND(IF(AQ611="5",BJ611,0),2)</f>
        <v>0</v>
      </c>
      <c r="AB611" s="31">
        <f>ROUND(IF(AQ611="1",BH611,0),2)</f>
        <v>0</v>
      </c>
      <c r="AC611" s="31">
        <f>ROUND(IF(AQ611="1",BI611,0),2)</f>
        <v>0</v>
      </c>
      <c r="AD611" s="31">
        <f>ROUND(IF(AQ611="7",BH611,0),2)</f>
        <v>0</v>
      </c>
      <c r="AE611" s="31">
        <f>ROUND(IF(AQ611="7",BI611,0),2)</f>
        <v>0</v>
      </c>
      <c r="AF611" s="31">
        <f>ROUND(IF(AQ611="2",BH611,0),2)</f>
        <v>0</v>
      </c>
      <c r="AG611" s="31">
        <f>ROUND(IF(AQ611="2",BI611,0),2)</f>
        <v>0</v>
      </c>
      <c r="AH611" s="31">
        <f>ROUND(IF(AQ611="0",BJ611,0),2)</f>
        <v>0</v>
      </c>
      <c r="AI611" s="11" t="s">
        <v>73</v>
      </c>
      <c r="AJ611" s="31">
        <f>IF(AN611=0,J611,0)</f>
        <v>0</v>
      </c>
      <c r="AK611" s="31">
        <f>IF(AN611=12,J611,0)</f>
        <v>0</v>
      </c>
      <c r="AL611" s="31">
        <f>IF(AN611=21,J611,0)</f>
        <v>0</v>
      </c>
      <c r="AN611" s="31">
        <v>21</v>
      </c>
      <c r="AO611" s="31">
        <f>G611*0.037824279</f>
        <v>0</v>
      </c>
      <c r="AP611" s="31">
        <f>G611*(1-0.037824279)</f>
        <v>0</v>
      </c>
      <c r="AQ611" s="34" t="s">
        <v>101</v>
      </c>
      <c r="AV611" s="31">
        <f>ROUND(AW611+AX611,2)</f>
        <v>0</v>
      </c>
      <c r="AW611" s="31">
        <f>ROUND(F611*AO611,2)</f>
        <v>0</v>
      </c>
      <c r="AX611" s="31">
        <f>ROUND(F611*AP611,2)</f>
        <v>0</v>
      </c>
      <c r="AY611" s="34" t="s">
        <v>1076</v>
      </c>
      <c r="AZ611" s="34" t="s">
        <v>1001</v>
      </c>
      <c r="BA611" s="11" t="s">
        <v>1002</v>
      </c>
      <c r="BC611" s="31">
        <f>AW611+AX611</f>
        <v>0</v>
      </c>
      <c r="BD611" s="31">
        <f>G611/(100-BE611)*100</f>
        <v>0</v>
      </c>
      <c r="BE611" s="31">
        <v>0</v>
      </c>
      <c r="BF611" s="31">
        <f>611</f>
        <v>611</v>
      </c>
      <c r="BH611" s="31">
        <f>F611*AO611</f>
        <v>0</v>
      </c>
      <c r="BI611" s="31">
        <f>F611*AP611</f>
        <v>0</v>
      </c>
      <c r="BJ611" s="31">
        <f>F611*G611</f>
        <v>0</v>
      </c>
      <c r="BK611" s="34" t="s">
        <v>64</v>
      </c>
      <c r="BL611" s="31">
        <v>722</v>
      </c>
      <c r="BW611" s="31">
        <v>21</v>
      </c>
      <c r="BX611" s="5" t="s">
        <v>1153</v>
      </c>
    </row>
    <row r="612" spans="1:76" x14ac:dyDescent="0.25">
      <c r="A612" s="39" t="s">
        <v>1154</v>
      </c>
      <c r="B612" s="40" t="s">
        <v>240</v>
      </c>
      <c r="C612" s="135" t="s">
        <v>1155</v>
      </c>
      <c r="D612" s="136"/>
      <c r="E612" s="40" t="s">
        <v>81</v>
      </c>
      <c r="F612" s="42">
        <v>1</v>
      </c>
      <c r="G612" s="43">
        <v>0</v>
      </c>
      <c r="H612" s="42">
        <f>ROUND(F612*AO612,2)</f>
        <v>0</v>
      </c>
      <c r="I612" s="42">
        <f>ROUND(F612*AP612,2)</f>
        <v>0</v>
      </c>
      <c r="J612" s="42">
        <f>ROUND(F612*G612,2)</f>
        <v>0</v>
      </c>
      <c r="K612" s="44" t="s">
        <v>242</v>
      </c>
      <c r="Z612" s="31">
        <f>ROUND(IF(AQ612="5",BJ612,0),2)</f>
        <v>0</v>
      </c>
      <c r="AB612" s="31">
        <f>ROUND(IF(AQ612="1",BH612,0),2)</f>
        <v>0</v>
      </c>
      <c r="AC612" s="31">
        <f>ROUND(IF(AQ612="1",BI612,0),2)</f>
        <v>0</v>
      </c>
      <c r="AD612" s="31">
        <f>ROUND(IF(AQ612="7",BH612,0),2)</f>
        <v>0</v>
      </c>
      <c r="AE612" s="31">
        <f>ROUND(IF(AQ612="7",BI612,0),2)</f>
        <v>0</v>
      </c>
      <c r="AF612" s="31">
        <f>ROUND(IF(AQ612="2",BH612,0),2)</f>
        <v>0</v>
      </c>
      <c r="AG612" s="31">
        <f>ROUND(IF(AQ612="2",BI612,0),2)</f>
        <v>0</v>
      </c>
      <c r="AH612" s="31">
        <f>ROUND(IF(AQ612="0",BJ612,0),2)</f>
        <v>0</v>
      </c>
      <c r="AI612" s="11" t="s">
        <v>73</v>
      </c>
      <c r="AJ612" s="42">
        <f>IF(AN612=0,J612,0)</f>
        <v>0</v>
      </c>
      <c r="AK612" s="42">
        <f>IF(AN612=12,J612,0)</f>
        <v>0</v>
      </c>
      <c r="AL612" s="42">
        <f>IF(AN612=21,J612,0)</f>
        <v>0</v>
      </c>
      <c r="AN612" s="31">
        <v>21</v>
      </c>
      <c r="AO612" s="31">
        <f>G612*1</f>
        <v>0</v>
      </c>
      <c r="AP612" s="31">
        <f>G612*(1-1)</f>
        <v>0</v>
      </c>
      <c r="AQ612" s="45" t="s">
        <v>101</v>
      </c>
      <c r="AV612" s="31">
        <f>ROUND(AW612+AX612,2)</f>
        <v>0</v>
      </c>
      <c r="AW612" s="31">
        <f>ROUND(F612*AO612,2)</f>
        <v>0</v>
      </c>
      <c r="AX612" s="31">
        <f>ROUND(F612*AP612,2)</f>
        <v>0</v>
      </c>
      <c r="AY612" s="34" t="s">
        <v>1076</v>
      </c>
      <c r="AZ612" s="34" t="s">
        <v>1001</v>
      </c>
      <c r="BA612" s="11" t="s">
        <v>1002</v>
      </c>
      <c r="BC612" s="31">
        <f>AW612+AX612</f>
        <v>0</v>
      </c>
      <c r="BD612" s="31">
        <f>G612/(100-BE612)*100</f>
        <v>0</v>
      </c>
      <c r="BE612" s="31">
        <v>0</v>
      </c>
      <c r="BF612" s="31">
        <f>612</f>
        <v>612</v>
      </c>
      <c r="BH612" s="42">
        <f>F612*AO612</f>
        <v>0</v>
      </c>
      <c r="BI612" s="42">
        <f>F612*AP612</f>
        <v>0</v>
      </c>
      <c r="BJ612" s="42">
        <f>F612*G612</f>
        <v>0</v>
      </c>
      <c r="BK612" s="45" t="s">
        <v>70</v>
      </c>
      <c r="BL612" s="31">
        <v>722</v>
      </c>
      <c r="BW612" s="31">
        <v>21</v>
      </c>
      <c r="BX612" s="41" t="s">
        <v>1155</v>
      </c>
    </row>
    <row r="613" spans="1:76" x14ac:dyDescent="0.25">
      <c r="A613" s="2" t="s">
        <v>1156</v>
      </c>
      <c r="B613" s="3" t="s">
        <v>1157</v>
      </c>
      <c r="C613" s="112" t="s">
        <v>1158</v>
      </c>
      <c r="D613" s="107"/>
      <c r="E613" s="3" t="s">
        <v>81</v>
      </c>
      <c r="F613" s="31">
        <v>1</v>
      </c>
      <c r="G613" s="32">
        <v>0</v>
      </c>
      <c r="H613" s="31">
        <f>ROUND(F613*AO613,2)</f>
        <v>0</v>
      </c>
      <c r="I613" s="31">
        <f>ROUND(F613*AP613,2)</f>
        <v>0</v>
      </c>
      <c r="J613" s="31">
        <f>ROUND(F613*G613,2)</f>
        <v>0</v>
      </c>
      <c r="K613" s="33" t="s">
        <v>60</v>
      </c>
      <c r="Z613" s="31">
        <f>ROUND(IF(AQ613="5",BJ613,0),2)</f>
        <v>0</v>
      </c>
      <c r="AB613" s="31">
        <f>ROUND(IF(AQ613="1",BH613,0),2)</f>
        <v>0</v>
      </c>
      <c r="AC613" s="31">
        <f>ROUND(IF(AQ613="1",BI613,0),2)</f>
        <v>0</v>
      </c>
      <c r="AD613" s="31">
        <f>ROUND(IF(AQ613="7",BH613,0),2)</f>
        <v>0</v>
      </c>
      <c r="AE613" s="31">
        <f>ROUND(IF(AQ613="7",BI613,0),2)</f>
        <v>0</v>
      </c>
      <c r="AF613" s="31">
        <f>ROUND(IF(AQ613="2",BH613,0),2)</f>
        <v>0</v>
      </c>
      <c r="AG613" s="31">
        <f>ROUND(IF(AQ613="2",BI613,0),2)</f>
        <v>0</v>
      </c>
      <c r="AH613" s="31">
        <f>ROUND(IF(AQ613="0",BJ613,0),2)</f>
        <v>0</v>
      </c>
      <c r="AI613" s="11" t="s">
        <v>73</v>
      </c>
      <c r="AJ613" s="31">
        <f>IF(AN613=0,J613,0)</f>
        <v>0</v>
      </c>
      <c r="AK613" s="31">
        <f>IF(AN613=12,J613,0)</f>
        <v>0</v>
      </c>
      <c r="AL613" s="31">
        <f>IF(AN613=21,J613,0)</f>
        <v>0</v>
      </c>
      <c r="AN613" s="31">
        <v>21</v>
      </c>
      <c r="AO613" s="31">
        <f>G613*0.905446412</f>
        <v>0</v>
      </c>
      <c r="AP613" s="31">
        <f>G613*(1-0.905446412)</f>
        <v>0</v>
      </c>
      <c r="AQ613" s="34" t="s">
        <v>101</v>
      </c>
      <c r="AV613" s="31">
        <f>ROUND(AW613+AX613,2)</f>
        <v>0</v>
      </c>
      <c r="AW613" s="31">
        <f>ROUND(F613*AO613,2)</f>
        <v>0</v>
      </c>
      <c r="AX613" s="31">
        <f>ROUND(F613*AP613,2)</f>
        <v>0</v>
      </c>
      <c r="AY613" s="34" t="s">
        <v>1076</v>
      </c>
      <c r="AZ613" s="34" t="s">
        <v>1001</v>
      </c>
      <c r="BA613" s="11" t="s">
        <v>1002</v>
      </c>
      <c r="BC613" s="31">
        <f>AW613+AX613</f>
        <v>0</v>
      </c>
      <c r="BD613" s="31">
        <f>G613/(100-BE613)*100</f>
        <v>0</v>
      </c>
      <c r="BE613" s="31">
        <v>0</v>
      </c>
      <c r="BF613" s="31">
        <f>613</f>
        <v>613</v>
      </c>
      <c r="BH613" s="31">
        <f>F613*AO613</f>
        <v>0</v>
      </c>
      <c r="BI613" s="31">
        <f>F613*AP613</f>
        <v>0</v>
      </c>
      <c r="BJ613" s="31">
        <f>F613*G613</f>
        <v>0</v>
      </c>
      <c r="BK613" s="34" t="s">
        <v>64</v>
      </c>
      <c r="BL613" s="31">
        <v>722</v>
      </c>
      <c r="BW613" s="31">
        <v>21</v>
      </c>
      <c r="BX613" s="5" t="s">
        <v>1158</v>
      </c>
    </row>
    <row r="614" spans="1:76" ht="13.5" customHeight="1" x14ac:dyDescent="0.25">
      <c r="A614" s="35"/>
      <c r="C614" s="137" t="s">
        <v>1159</v>
      </c>
      <c r="D614" s="138"/>
      <c r="E614" s="138"/>
      <c r="F614" s="138"/>
      <c r="G614" s="139"/>
      <c r="H614" s="138"/>
      <c r="I614" s="138"/>
      <c r="J614" s="138"/>
      <c r="K614" s="140"/>
    </row>
    <row r="615" spans="1:76" x14ac:dyDescent="0.25">
      <c r="A615" s="2" t="s">
        <v>1160</v>
      </c>
      <c r="B615" s="3" t="s">
        <v>1161</v>
      </c>
      <c r="C615" s="112" t="s">
        <v>1162</v>
      </c>
      <c r="D615" s="107"/>
      <c r="E615" s="3" t="s">
        <v>276</v>
      </c>
      <c r="F615" s="31">
        <v>3.9789999999999999E-2</v>
      </c>
      <c r="G615" s="32">
        <v>0</v>
      </c>
      <c r="H615" s="31">
        <f>ROUND(F615*AO615,2)</f>
        <v>0</v>
      </c>
      <c r="I615" s="31">
        <f>ROUND(F615*AP615,2)</f>
        <v>0</v>
      </c>
      <c r="J615" s="31">
        <f>ROUND(F615*G615,2)</f>
        <v>0</v>
      </c>
      <c r="K615" s="33" t="s">
        <v>60</v>
      </c>
      <c r="Z615" s="31">
        <f>ROUND(IF(AQ615="5",BJ615,0),2)</f>
        <v>0</v>
      </c>
      <c r="AB615" s="31">
        <f>ROUND(IF(AQ615="1",BH615,0),2)</f>
        <v>0</v>
      </c>
      <c r="AC615" s="31">
        <f>ROUND(IF(AQ615="1",BI615,0),2)</f>
        <v>0</v>
      </c>
      <c r="AD615" s="31">
        <f>ROUND(IF(AQ615="7",BH615,0),2)</f>
        <v>0</v>
      </c>
      <c r="AE615" s="31">
        <f>ROUND(IF(AQ615="7",BI615,0),2)</f>
        <v>0</v>
      </c>
      <c r="AF615" s="31">
        <f>ROUND(IF(AQ615="2",BH615,0),2)</f>
        <v>0</v>
      </c>
      <c r="AG615" s="31">
        <f>ROUND(IF(AQ615="2",BI615,0),2)</f>
        <v>0</v>
      </c>
      <c r="AH615" s="31">
        <f>ROUND(IF(AQ615="0",BJ615,0),2)</f>
        <v>0</v>
      </c>
      <c r="AI615" s="11" t="s">
        <v>73</v>
      </c>
      <c r="AJ615" s="31">
        <f>IF(AN615=0,J615,0)</f>
        <v>0</v>
      </c>
      <c r="AK615" s="31">
        <f>IF(AN615=12,J615,0)</f>
        <v>0</v>
      </c>
      <c r="AL615" s="31">
        <f>IF(AN615=21,J615,0)</f>
        <v>0</v>
      </c>
      <c r="AN615" s="31">
        <v>21</v>
      </c>
      <c r="AO615" s="31">
        <f>G615*0</f>
        <v>0</v>
      </c>
      <c r="AP615" s="31">
        <f>G615*(1-0)</f>
        <v>0</v>
      </c>
      <c r="AQ615" s="34" t="s">
        <v>85</v>
      </c>
      <c r="AV615" s="31">
        <f>ROUND(AW615+AX615,2)</f>
        <v>0</v>
      </c>
      <c r="AW615" s="31">
        <f>ROUND(F615*AO615,2)</f>
        <v>0</v>
      </c>
      <c r="AX615" s="31">
        <f>ROUND(F615*AP615,2)</f>
        <v>0</v>
      </c>
      <c r="AY615" s="34" t="s">
        <v>1076</v>
      </c>
      <c r="AZ615" s="34" t="s">
        <v>1001</v>
      </c>
      <c r="BA615" s="11" t="s">
        <v>1002</v>
      </c>
      <c r="BC615" s="31">
        <f>AW615+AX615</f>
        <v>0</v>
      </c>
      <c r="BD615" s="31">
        <f>G615/(100-BE615)*100</f>
        <v>0</v>
      </c>
      <c r="BE615" s="31">
        <v>0</v>
      </c>
      <c r="BF615" s="31">
        <f>615</f>
        <v>615</v>
      </c>
      <c r="BH615" s="31">
        <f>F615*AO615</f>
        <v>0</v>
      </c>
      <c r="BI615" s="31">
        <f>F615*AP615</f>
        <v>0</v>
      </c>
      <c r="BJ615" s="31">
        <f>F615*G615</f>
        <v>0</v>
      </c>
      <c r="BK615" s="34" t="s">
        <v>64</v>
      </c>
      <c r="BL615" s="31">
        <v>722</v>
      </c>
      <c r="BW615" s="31">
        <v>21</v>
      </c>
      <c r="BX615" s="5" t="s">
        <v>1162</v>
      </c>
    </row>
    <row r="616" spans="1:76" x14ac:dyDescent="0.25">
      <c r="A616" s="26" t="s">
        <v>52</v>
      </c>
      <c r="B616" s="27" t="s">
        <v>1163</v>
      </c>
      <c r="C616" s="133" t="s">
        <v>1164</v>
      </c>
      <c r="D616" s="134"/>
      <c r="E616" s="28" t="s">
        <v>4</v>
      </c>
      <c r="F616" s="28" t="s">
        <v>4</v>
      </c>
      <c r="G616" s="29" t="s">
        <v>4</v>
      </c>
      <c r="H616" s="1">
        <f>SUM(H617:H671)</f>
        <v>0</v>
      </c>
      <c r="I616" s="1">
        <f>SUM(I617:I671)</f>
        <v>0</v>
      </c>
      <c r="J616" s="1">
        <f>SUM(J617:J671)</f>
        <v>0</v>
      </c>
      <c r="K616" s="30" t="s">
        <v>52</v>
      </c>
      <c r="AI616" s="11" t="s">
        <v>73</v>
      </c>
      <c r="AS616" s="1">
        <f>SUM(AJ617:AJ671)</f>
        <v>0</v>
      </c>
      <c r="AT616" s="1">
        <f>SUM(AK617:AK671)</f>
        <v>0</v>
      </c>
      <c r="AU616" s="1">
        <f>SUM(AL617:AL671)</f>
        <v>0</v>
      </c>
    </row>
    <row r="617" spans="1:76" x14ac:dyDescent="0.25">
      <c r="A617" s="2" t="s">
        <v>1165</v>
      </c>
      <c r="B617" s="3" t="s">
        <v>1166</v>
      </c>
      <c r="C617" s="112" t="s">
        <v>1167</v>
      </c>
      <c r="D617" s="107"/>
      <c r="E617" s="3" t="s">
        <v>81</v>
      </c>
      <c r="F617" s="31">
        <v>1</v>
      </c>
      <c r="G617" s="32">
        <v>0</v>
      </c>
      <c r="H617" s="31">
        <f>ROUND(F617*AO617,2)</f>
        <v>0</v>
      </c>
      <c r="I617" s="31">
        <f>ROUND(F617*AP617,2)</f>
        <v>0</v>
      </c>
      <c r="J617" s="31">
        <f>ROUND(F617*G617,2)</f>
        <v>0</v>
      </c>
      <c r="K617" s="33" t="s">
        <v>60</v>
      </c>
      <c r="Z617" s="31">
        <f>ROUND(IF(AQ617="5",BJ617,0),2)</f>
        <v>0</v>
      </c>
      <c r="AB617" s="31">
        <f>ROUND(IF(AQ617="1",BH617,0),2)</f>
        <v>0</v>
      </c>
      <c r="AC617" s="31">
        <f>ROUND(IF(AQ617="1",BI617,0),2)</f>
        <v>0</v>
      </c>
      <c r="AD617" s="31">
        <f>ROUND(IF(AQ617="7",BH617,0),2)</f>
        <v>0</v>
      </c>
      <c r="AE617" s="31">
        <f>ROUND(IF(AQ617="7",BI617,0),2)</f>
        <v>0</v>
      </c>
      <c r="AF617" s="31">
        <f>ROUND(IF(AQ617="2",BH617,0),2)</f>
        <v>0</v>
      </c>
      <c r="AG617" s="31">
        <f>ROUND(IF(AQ617="2",BI617,0),2)</f>
        <v>0</v>
      </c>
      <c r="AH617" s="31">
        <f>ROUND(IF(AQ617="0",BJ617,0),2)</f>
        <v>0</v>
      </c>
      <c r="AI617" s="11" t="s">
        <v>73</v>
      </c>
      <c r="AJ617" s="31">
        <f>IF(AN617=0,J617,0)</f>
        <v>0</v>
      </c>
      <c r="AK617" s="31">
        <f>IF(AN617=12,J617,0)</f>
        <v>0</v>
      </c>
      <c r="AL617" s="31">
        <f>IF(AN617=21,J617,0)</f>
        <v>0</v>
      </c>
      <c r="AN617" s="31">
        <v>21</v>
      </c>
      <c r="AO617" s="31">
        <f>G617*0</f>
        <v>0</v>
      </c>
      <c r="AP617" s="31">
        <f>G617*(1-0)</f>
        <v>0</v>
      </c>
      <c r="AQ617" s="34" t="s">
        <v>101</v>
      </c>
      <c r="AV617" s="31">
        <f>ROUND(AW617+AX617,2)</f>
        <v>0</v>
      </c>
      <c r="AW617" s="31">
        <f>ROUND(F617*AO617,2)</f>
        <v>0</v>
      </c>
      <c r="AX617" s="31">
        <f>ROUND(F617*AP617,2)</f>
        <v>0</v>
      </c>
      <c r="AY617" s="34" t="s">
        <v>1168</v>
      </c>
      <c r="AZ617" s="34" t="s">
        <v>1001</v>
      </c>
      <c r="BA617" s="11" t="s">
        <v>1002</v>
      </c>
      <c r="BC617" s="31">
        <f>AW617+AX617</f>
        <v>0</v>
      </c>
      <c r="BD617" s="31">
        <f>G617/(100-BE617)*100</f>
        <v>0</v>
      </c>
      <c r="BE617" s="31">
        <v>0</v>
      </c>
      <c r="BF617" s="31">
        <f>617</f>
        <v>617</v>
      </c>
      <c r="BH617" s="31">
        <f>F617*AO617</f>
        <v>0</v>
      </c>
      <c r="BI617" s="31">
        <f>F617*AP617</f>
        <v>0</v>
      </c>
      <c r="BJ617" s="31">
        <f>F617*G617</f>
        <v>0</v>
      </c>
      <c r="BK617" s="34" t="s">
        <v>64</v>
      </c>
      <c r="BL617" s="31">
        <v>725</v>
      </c>
      <c r="BW617" s="31">
        <v>21</v>
      </c>
      <c r="BX617" s="5" t="s">
        <v>1167</v>
      </c>
    </row>
    <row r="618" spans="1:76" x14ac:dyDescent="0.25">
      <c r="A618" s="2" t="s">
        <v>1169</v>
      </c>
      <c r="B618" s="3" t="s">
        <v>1170</v>
      </c>
      <c r="C618" s="112" t="s">
        <v>1171</v>
      </c>
      <c r="D618" s="107"/>
      <c r="E618" s="3" t="s">
        <v>81</v>
      </c>
      <c r="F618" s="31">
        <v>2</v>
      </c>
      <c r="G618" s="32">
        <v>0</v>
      </c>
      <c r="H618" s="31">
        <f>ROUND(F618*AO618,2)</f>
        <v>0</v>
      </c>
      <c r="I618" s="31">
        <f>ROUND(F618*AP618,2)</f>
        <v>0</v>
      </c>
      <c r="J618" s="31">
        <f>ROUND(F618*G618,2)</f>
        <v>0</v>
      </c>
      <c r="K618" s="33" t="s">
        <v>60</v>
      </c>
      <c r="Z618" s="31">
        <f>ROUND(IF(AQ618="5",BJ618,0),2)</f>
        <v>0</v>
      </c>
      <c r="AB618" s="31">
        <f>ROUND(IF(AQ618="1",BH618,0),2)</f>
        <v>0</v>
      </c>
      <c r="AC618" s="31">
        <f>ROUND(IF(AQ618="1",BI618,0),2)</f>
        <v>0</v>
      </c>
      <c r="AD618" s="31">
        <f>ROUND(IF(AQ618="7",BH618,0),2)</f>
        <v>0</v>
      </c>
      <c r="AE618" s="31">
        <f>ROUND(IF(AQ618="7",BI618,0),2)</f>
        <v>0</v>
      </c>
      <c r="AF618" s="31">
        <f>ROUND(IF(AQ618="2",BH618,0),2)</f>
        <v>0</v>
      </c>
      <c r="AG618" s="31">
        <f>ROUND(IF(AQ618="2",BI618,0),2)</f>
        <v>0</v>
      </c>
      <c r="AH618" s="31">
        <f>ROUND(IF(AQ618="0",BJ618,0),2)</f>
        <v>0</v>
      </c>
      <c r="AI618" s="11" t="s">
        <v>73</v>
      </c>
      <c r="AJ618" s="31">
        <f>IF(AN618=0,J618,0)</f>
        <v>0</v>
      </c>
      <c r="AK618" s="31">
        <f>IF(AN618=12,J618,0)</f>
        <v>0</v>
      </c>
      <c r="AL618" s="31">
        <f>IF(AN618=21,J618,0)</f>
        <v>0</v>
      </c>
      <c r="AN618" s="31">
        <v>21</v>
      </c>
      <c r="AO618" s="31">
        <f>G618*0</f>
        <v>0</v>
      </c>
      <c r="AP618" s="31">
        <f>G618*(1-0)</f>
        <v>0</v>
      </c>
      <c r="AQ618" s="34" t="s">
        <v>101</v>
      </c>
      <c r="AV618" s="31">
        <f>ROUND(AW618+AX618,2)</f>
        <v>0</v>
      </c>
      <c r="AW618" s="31">
        <f>ROUND(F618*AO618,2)</f>
        <v>0</v>
      </c>
      <c r="AX618" s="31">
        <f>ROUND(F618*AP618,2)</f>
        <v>0</v>
      </c>
      <c r="AY618" s="34" t="s">
        <v>1168</v>
      </c>
      <c r="AZ618" s="34" t="s">
        <v>1001</v>
      </c>
      <c r="BA618" s="11" t="s">
        <v>1002</v>
      </c>
      <c r="BC618" s="31">
        <f>AW618+AX618</f>
        <v>0</v>
      </c>
      <c r="BD618" s="31">
        <f>G618/(100-BE618)*100</f>
        <v>0</v>
      </c>
      <c r="BE618" s="31">
        <v>0</v>
      </c>
      <c r="BF618" s="31">
        <f>618</f>
        <v>618</v>
      </c>
      <c r="BH618" s="31">
        <f>F618*AO618</f>
        <v>0</v>
      </c>
      <c r="BI618" s="31">
        <f>F618*AP618</f>
        <v>0</v>
      </c>
      <c r="BJ618" s="31">
        <f>F618*G618</f>
        <v>0</v>
      </c>
      <c r="BK618" s="34" t="s">
        <v>64</v>
      </c>
      <c r="BL618" s="31">
        <v>725</v>
      </c>
      <c r="BW618" s="31">
        <v>21</v>
      </c>
      <c r="BX618" s="5" t="s">
        <v>1171</v>
      </c>
    </row>
    <row r="619" spans="1:76" x14ac:dyDescent="0.25">
      <c r="A619" s="2" t="s">
        <v>1172</v>
      </c>
      <c r="B619" s="3" t="s">
        <v>1173</v>
      </c>
      <c r="C619" s="112" t="s">
        <v>1174</v>
      </c>
      <c r="D619" s="107"/>
      <c r="E619" s="3" t="s">
        <v>81</v>
      </c>
      <c r="F619" s="31">
        <v>1</v>
      </c>
      <c r="G619" s="32">
        <v>0</v>
      </c>
      <c r="H619" s="31">
        <f>ROUND(F619*AO619,2)</f>
        <v>0</v>
      </c>
      <c r="I619" s="31">
        <f>ROUND(F619*AP619,2)</f>
        <v>0</v>
      </c>
      <c r="J619" s="31">
        <f>ROUND(F619*G619,2)</f>
        <v>0</v>
      </c>
      <c r="K619" s="33" t="s">
        <v>60</v>
      </c>
      <c r="Z619" s="31">
        <f>ROUND(IF(AQ619="5",BJ619,0),2)</f>
        <v>0</v>
      </c>
      <c r="AB619" s="31">
        <f>ROUND(IF(AQ619="1",BH619,0),2)</f>
        <v>0</v>
      </c>
      <c r="AC619" s="31">
        <f>ROUND(IF(AQ619="1",BI619,0),2)</f>
        <v>0</v>
      </c>
      <c r="AD619" s="31">
        <f>ROUND(IF(AQ619="7",BH619,0),2)</f>
        <v>0</v>
      </c>
      <c r="AE619" s="31">
        <f>ROUND(IF(AQ619="7",BI619,0),2)</f>
        <v>0</v>
      </c>
      <c r="AF619" s="31">
        <f>ROUND(IF(AQ619="2",BH619,0),2)</f>
        <v>0</v>
      </c>
      <c r="AG619" s="31">
        <f>ROUND(IF(AQ619="2",BI619,0),2)</f>
        <v>0</v>
      </c>
      <c r="AH619" s="31">
        <f>ROUND(IF(AQ619="0",BJ619,0),2)</f>
        <v>0</v>
      </c>
      <c r="AI619" s="11" t="s">
        <v>73</v>
      </c>
      <c r="AJ619" s="31">
        <f>IF(AN619=0,J619,0)</f>
        <v>0</v>
      </c>
      <c r="AK619" s="31">
        <f>IF(AN619=12,J619,0)</f>
        <v>0</v>
      </c>
      <c r="AL619" s="31">
        <f>IF(AN619=21,J619,0)</f>
        <v>0</v>
      </c>
      <c r="AN619" s="31">
        <v>21</v>
      </c>
      <c r="AO619" s="31">
        <f>G619*0</f>
        <v>0</v>
      </c>
      <c r="AP619" s="31">
        <f>G619*(1-0)</f>
        <v>0</v>
      </c>
      <c r="AQ619" s="34" t="s">
        <v>101</v>
      </c>
      <c r="AV619" s="31">
        <f>ROUND(AW619+AX619,2)</f>
        <v>0</v>
      </c>
      <c r="AW619" s="31">
        <f>ROUND(F619*AO619,2)</f>
        <v>0</v>
      </c>
      <c r="AX619" s="31">
        <f>ROUND(F619*AP619,2)</f>
        <v>0</v>
      </c>
      <c r="AY619" s="34" t="s">
        <v>1168</v>
      </c>
      <c r="AZ619" s="34" t="s">
        <v>1001</v>
      </c>
      <c r="BA619" s="11" t="s">
        <v>1002</v>
      </c>
      <c r="BC619" s="31">
        <f>AW619+AX619</f>
        <v>0</v>
      </c>
      <c r="BD619" s="31">
        <f>G619/(100-BE619)*100</f>
        <v>0</v>
      </c>
      <c r="BE619" s="31">
        <v>0</v>
      </c>
      <c r="BF619" s="31">
        <f>619</f>
        <v>619</v>
      </c>
      <c r="BH619" s="31">
        <f>F619*AO619</f>
        <v>0</v>
      </c>
      <c r="BI619" s="31">
        <f>F619*AP619</f>
        <v>0</v>
      </c>
      <c r="BJ619" s="31">
        <f>F619*G619</f>
        <v>0</v>
      </c>
      <c r="BK619" s="34" t="s">
        <v>64</v>
      </c>
      <c r="BL619" s="31">
        <v>725</v>
      </c>
      <c r="BW619" s="31">
        <v>21</v>
      </c>
      <c r="BX619" s="5" t="s">
        <v>1174</v>
      </c>
    </row>
    <row r="620" spans="1:76" x14ac:dyDescent="0.25">
      <c r="A620" s="2" t="s">
        <v>1175</v>
      </c>
      <c r="B620" s="3" t="s">
        <v>1176</v>
      </c>
      <c r="C620" s="112" t="s">
        <v>1177</v>
      </c>
      <c r="D620" s="107"/>
      <c r="E620" s="3" t="s">
        <v>1118</v>
      </c>
      <c r="F620" s="31">
        <v>2</v>
      </c>
      <c r="G620" s="32">
        <v>0</v>
      </c>
      <c r="H620" s="31">
        <f>ROUND(F620*AO620,2)</f>
        <v>0</v>
      </c>
      <c r="I620" s="31">
        <f>ROUND(F620*AP620,2)</f>
        <v>0</v>
      </c>
      <c r="J620" s="31">
        <f>ROUND(F620*G620,2)</f>
        <v>0</v>
      </c>
      <c r="K620" s="33" t="s">
        <v>60</v>
      </c>
      <c r="Z620" s="31">
        <f>ROUND(IF(AQ620="5",BJ620,0),2)</f>
        <v>0</v>
      </c>
      <c r="AB620" s="31">
        <f>ROUND(IF(AQ620="1",BH620,0),2)</f>
        <v>0</v>
      </c>
      <c r="AC620" s="31">
        <f>ROUND(IF(AQ620="1",BI620,0),2)</f>
        <v>0</v>
      </c>
      <c r="AD620" s="31">
        <f>ROUND(IF(AQ620="7",BH620,0),2)</f>
        <v>0</v>
      </c>
      <c r="AE620" s="31">
        <f>ROUND(IF(AQ620="7",BI620,0),2)</f>
        <v>0</v>
      </c>
      <c r="AF620" s="31">
        <f>ROUND(IF(AQ620="2",BH620,0),2)</f>
        <v>0</v>
      </c>
      <c r="AG620" s="31">
        <f>ROUND(IF(AQ620="2",BI620,0),2)</f>
        <v>0</v>
      </c>
      <c r="AH620" s="31">
        <f>ROUND(IF(AQ620="0",BJ620,0),2)</f>
        <v>0</v>
      </c>
      <c r="AI620" s="11" t="s">
        <v>73</v>
      </c>
      <c r="AJ620" s="31">
        <f>IF(AN620=0,J620,0)</f>
        <v>0</v>
      </c>
      <c r="AK620" s="31">
        <f>IF(AN620=12,J620,0)</f>
        <v>0</v>
      </c>
      <c r="AL620" s="31">
        <f>IF(AN620=21,J620,0)</f>
        <v>0</v>
      </c>
      <c r="AN620" s="31">
        <v>21</v>
      </c>
      <c r="AO620" s="31">
        <f>G620*0</f>
        <v>0</v>
      </c>
      <c r="AP620" s="31">
        <f>G620*(1-0)</f>
        <v>0</v>
      </c>
      <c r="AQ620" s="34" t="s">
        <v>101</v>
      </c>
      <c r="AV620" s="31">
        <f>ROUND(AW620+AX620,2)</f>
        <v>0</v>
      </c>
      <c r="AW620" s="31">
        <f>ROUND(F620*AO620,2)</f>
        <v>0</v>
      </c>
      <c r="AX620" s="31">
        <f>ROUND(F620*AP620,2)</f>
        <v>0</v>
      </c>
      <c r="AY620" s="34" t="s">
        <v>1168</v>
      </c>
      <c r="AZ620" s="34" t="s">
        <v>1001</v>
      </c>
      <c r="BA620" s="11" t="s">
        <v>1002</v>
      </c>
      <c r="BC620" s="31">
        <f>AW620+AX620</f>
        <v>0</v>
      </c>
      <c r="BD620" s="31">
        <f>G620/(100-BE620)*100</f>
        <v>0</v>
      </c>
      <c r="BE620" s="31">
        <v>0</v>
      </c>
      <c r="BF620" s="31">
        <f>620</f>
        <v>620</v>
      </c>
      <c r="BH620" s="31">
        <f>F620*AO620</f>
        <v>0</v>
      </c>
      <c r="BI620" s="31">
        <f>F620*AP620</f>
        <v>0</v>
      </c>
      <c r="BJ620" s="31">
        <f>F620*G620</f>
        <v>0</v>
      </c>
      <c r="BK620" s="34" t="s">
        <v>64</v>
      </c>
      <c r="BL620" s="31">
        <v>725</v>
      </c>
      <c r="BW620" s="31">
        <v>21</v>
      </c>
      <c r="BX620" s="5" t="s">
        <v>1177</v>
      </c>
    </row>
    <row r="621" spans="1:76" x14ac:dyDescent="0.25">
      <c r="A621" s="35"/>
      <c r="C621" s="36" t="s">
        <v>56</v>
      </c>
      <c r="D621" s="36" t="s">
        <v>429</v>
      </c>
      <c r="F621" s="37">
        <v>1</v>
      </c>
      <c r="K621" s="38"/>
    </row>
    <row r="622" spans="1:76" x14ac:dyDescent="0.25">
      <c r="A622" s="35"/>
      <c r="C622" s="36" t="s">
        <v>56</v>
      </c>
      <c r="D622" s="36" t="s">
        <v>1178</v>
      </c>
      <c r="F622" s="37">
        <v>1</v>
      </c>
      <c r="K622" s="38"/>
    </row>
    <row r="623" spans="1:76" x14ac:dyDescent="0.25">
      <c r="A623" s="2" t="s">
        <v>1179</v>
      </c>
      <c r="B623" s="3" t="s">
        <v>1180</v>
      </c>
      <c r="C623" s="112" t="s">
        <v>1181</v>
      </c>
      <c r="D623" s="107"/>
      <c r="E623" s="3" t="s">
        <v>81</v>
      </c>
      <c r="F623" s="31">
        <v>1</v>
      </c>
      <c r="G623" s="32">
        <v>0</v>
      </c>
      <c r="H623" s="31">
        <f>ROUND(F623*AO623,2)</f>
        <v>0</v>
      </c>
      <c r="I623" s="31">
        <f>ROUND(F623*AP623,2)</f>
        <v>0</v>
      </c>
      <c r="J623" s="31">
        <f>ROUND(F623*G623,2)</f>
        <v>0</v>
      </c>
      <c r="K623" s="33" t="s">
        <v>60</v>
      </c>
      <c r="Z623" s="31">
        <f>ROUND(IF(AQ623="5",BJ623,0),2)</f>
        <v>0</v>
      </c>
      <c r="AB623" s="31">
        <f>ROUND(IF(AQ623="1",BH623,0),2)</f>
        <v>0</v>
      </c>
      <c r="AC623" s="31">
        <f>ROUND(IF(AQ623="1",BI623,0),2)</f>
        <v>0</v>
      </c>
      <c r="AD623" s="31">
        <f>ROUND(IF(AQ623="7",BH623,0),2)</f>
        <v>0</v>
      </c>
      <c r="AE623" s="31">
        <f>ROUND(IF(AQ623="7",BI623,0),2)</f>
        <v>0</v>
      </c>
      <c r="AF623" s="31">
        <f>ROUND(IF(AQ623="2",BH623,0),2)</f>
        <v>0</v>
      </c>
      <c r="AG623" s="31">
        <f>ROUND(IF(AQ623="2",BI623,0),2)</f>
        <v>0</v>
      </c>
      <c r="AH623" s="31">
        <f>ROUND(IF(AQ623="0",BJ623,0),2)</f>
        <v>0</v>
      </c>
      <c r="AI623" s="11" t="s">
        <v>73</v>
      </c>
      <c r="AJ623" s="31">
        <f>IF(AN623=0,J623,0)</f>
        <v>0</v>
      </c>
      <c r="AK623" s="31">
        <f>IF(AN623=12,J623,0)</f>
        <v>0</v>
      </c>
      <c r="AL623" s="31">
        <f>IF(AN623=21,J623,0)</f>
        <v>0</v>
      </c>
      <c r="AN623" s="31">
        <v>21</v>
      </c>
      <c r="AO623" s="31">
        <f>G623*0</f>
        <v>0</v>
      </c>
      <c r="AP623" s="31">
        <f>G623*(1-0)</f>
        <v>0</v>
      </c>
      <c r="AQ623" s="34" t="s">
        <v>101</v>
      </c>
      <c r="AV623" s="31">
        <f>ROUND(AW623+AX623,2)</f>
        <v>0</v>
      </c>
      <c r="AW623" s="31">
        <f>ROUND(F623*AO623,2)</f>
        <v>0</v>
      </c>
      <c r="AX623" s="31">
        <f>ROUND(F623*AP623,2)</f>
        <v>0</v>
      </c>
      <c r="AY623" s="34" t="s">
        <v>1168</v>
      </c>
      <c r="AZ623" s="34" t="s">
        <v>1001</v>
      </c>
      <c r="BA623" s="11" t="s">
        <v>1002</v>
      </c>
      <c r="BC623" s="31">
        <f>AW623+AX623</f>
        <v>0</v>
      </c>
      <c r="BD623" s="31">
        <f>G623/(100-BE623)*100</f>
        <v>0</v>
      </c>
      <c r="BE623" s="31">
        <v>0</v>
      </c>
      <c r="BF623" s="31">
        <f>623</f>
        <v>623</v>
      </c>
      <c r="BH623" s="31">
        <f>F623*AO623</f>
        <v>0</v>
      </c>
      <c r="BI623" s="31">
        <f>F623*AP623</f>
        <v>0</v>
      </c>
      <c r="BJ623" s="31">
        <f>F623*G623</f>
        <v>0</v>
      </c>
      <c r="BK623" s="34" t="s">
        <v>64</v>
      </c>
      <c r="BL623" s="31">
        <v>725</v>
      </c>
      <c r="BW623" s="31">
        <v>21</v>
      </c>
      <c r="BX623" s="5" t="s">
        <v>1181</v>
      </c>
    </row>
    <row r="624" spans="1:76" x14ac:dyDescent="0.25">
      <c r="A624" s="35"/>
      <c r="C624" s="36" t="s">
        <v>56</v>
      </c>
      <c r="D624" s="36" t="s">
        <v>1182</v>
      </c>
      <c r="F624" s="37">
        <v>1</v>
      </c>
      <c r="K624" s="38"/>
    </row>
    <row r="625" spans="1:76" x14ac:dyDescent="0.25">
      <c r="A625" s="2" t="s">
        <v>1183</v>
      </c>
      <c r="B625" s="3" t="s">
        <v>1184</v>
      </c>
      <c r="C625" s="112" t="s">
        <v>1185</v>
      </c>
      <c r="D625" s="107"/>
      <c r="E625" s="3" t="s">
        <v>81</v>
      </c>
      <c r="F625" s="31">
        <v>1</v>
      </c>
      <c r="G625" s="32">
        <v>0</v>
      </c>
      <c r="H625" s="31">
        <f>ROUND(F625*AO625,2)</f>
        <v>0</v>
      </c>
      <c r="I625" s="31">
        <f>ROUND(F625*AP625,2)</f>
        <v>0</v>
      </c>
      <c r="J625" s="31">
        <f>ROUND(F625*G625,2)</f>
        <v>0</v>
      </c>
      <c r="K625" s="33" t="s">
        <v>60</v>
      </c>
      <c r="Z625" s="31">
        <f>ROUND(IF(AQ625="5",BJ625,0),2)</f>
        <v>0</v>
      </c>
      <c r="AB625" s="31">
        <f>ROUND(IF(AQ625="1",BH625,0),2)</f>
        <v>0</v>
      </c>
      <c r="AC625" s="31">
        <f>ROUND(IF(AQ625="1",BI625,0),2)</f>
        <v>0</v>
      </c>
      <c r="AD625" s="31">
        <f>ROUND(IF(AQ625="7",BH625,0),2)</f>
        <v>0</v>
      </c>
      <c r="AE625" s="31">
        <f>ROUND(IF(AQ625="7",BI625,0),2)</f>
        <v>0</v>
      </c>
      <c r="AF625" s="31">
        <f>ROUND(IF(AQ625="2",BH625,0),2)</f>
        <v>0</v>
      </c>
      <c r="AG625" s="31">
        <f>ROUND(IF(AQ625="2",BI625,0),2)</f>
        <v>0</v>
      </c>
      <c r="AH625" s="31">
        <f>ROUND(IF(AQ625="0",BJ625,0),2)</f>
        <v>0</v>
      </c>
      <c r="AI625" s="11" t="s">
        <v>73</v>
      </c>
      <c r="AJ625" s="31">
        <f>IF(AN625=0,J625,0)</f>
        <v>0</v>
      </c>
      <c r="AK625" s="31">
        <f>IF(AN625=12,J625,0)</f>
        <v>0</v>
      </c>
      <c r="AL625" s="31">
        <f>IF(AN625=21,J625,0)</f>
        <v>0</v>
      </c>
      <c r="AN625" s="31">
        <v>21</v>
      </c>
      <c r="AO625" s="31">
        <f>G625*0</f>
        <v>0</v>
      </c>
      <c r="AP625" s="31">
        <f>G625*(1-0)</f>
        <v>0</v>
      </c>
      <c r="AQ625" s="34" t="s">
        <v>101</v>
      </c>
      <c r="AV625" s="31">
        <f>ROUND(AW625+AX625,2)</f>
        <v>0</v>
      </c>
      <c r="AW625" s="31">
        <f>ROUND(F625*AO625,2)</f>
        <v>0</v>
      </c>
      <c r="AX625" s="31">
        <f>ROUND(F625*AP625,2)</f>
        <v>0</v>
      </c>
      <c r="AY625" s="34" t="s">
        <v>1168</v>
      </c>
      <c r="AZ625" s="34" t="s">
        <v>1001</v>
      </c>
      <c r="BA625" s="11" t="s">
        <v>1002</v>
      </c>
      <c r="BC625" s="31">
        <f>AW625+AX625</f>
        <v>0</v>
      </c>
      <c r="BD625" s="31">
        <f>G625/(100-BE625)*100</f>
        <v>0</v>
      </c>
      <c r="BE625" s="31">
        <v>0</v>
      </c>
      <c r="BF625" s="31">
        <f>625</f>
        <v>625</v>
      </c>
      <c r="BH625" s="31">
        <f>F625*AO625</f>
        <v>0</v>
      </c>
      <c r="BI625" s="31">
        <f>F625*AP625</f>
        <v>0</v>
      </c>
      <c r="BJ625" s="31">
        <f>F625*G625</f>
        <v>0</v>
      </c>
      <c r="BK625" s="34" t="s">
        <v>64</v>
      </c>
      <c r="BL625" s="31">
        <v>725</v>
      </c>
      <c r="BW625" s="31">
        <v>21</v>
      </c>
      <c r="BX625" s="5" t="s">
        <v>1185</v>
      </c>
    </row>
    <row r="626" spans="1:76" x14ac:dyDescent="0.25">
      <c r="A626" s="2" t="s">
        <v>1186</v>
      </c>
      <c r="B626" s="3" t="s">
        <v>1187</v>
      </c>
      <c r="C626" s="112" t="s">
        <v>1188</v>
      </c>
      <c r="D626" s="107"/>
      <c r="E626" s="3" t="s">
        <v>1118</v>
      </c>
      <c r="F626" s="31">
        <v>1</v>
      </c>
      <c r="G626" s="32">
        <v>0</v>
      </c>
      <c r="H626" s="31">
        <f>ROUND(F626*AO626,2)</f>
        <v>0</v>
      </c>
      <c r="I626" s="31">
        <f>ROUND(F626*AP626,2)</f>
        <v>0</v>
      </c>
      <c r="J626" s="31">
        <f>ROUND(F626*G626,2)</f>
        <v>0</v>
      </c>
      <c r="K626" s="33" t="s">
        <v>60</v>
      </c>
      <c r="Z626" s="31">
        <f>ROUND(IF(AQ626="5",BJ626,0),2)</f>
        <v>0</v>
      </c>
      <c r="AB626" s="31">
        <f>ROUND(IF(AQ626="1",BH626,0),2)</f>
        <v>0</v>
      </c>
      <c r="AC626" s="31">
        <f>ROUND(IF(AQ626="1",BI626,0),2)</f>
        <v>0</v>
      </c>
      <c r="AD626" s="31">
        <f>ROUND(IF(AQ626="7",BH626,0),2)</f>
        <v>0</v>
      </c>
      <c r="AE626" s="31">
        <f>ROUND(IF(AQ626="7",BI626,0),2)</f>
        <v>0</v>
      </c>
      <c r="AF626" s="31">
        <f>ROUND(IF(AQ626="2",BH626,0),2)</f>
        <v>0</v>
      </c>
      <c r="AG626" s="31">
        <f>ROUND(IF(AQ626="2",BI626,0),2)</f>
        <v>0</v>
      </c>
      <c r="AH626" s="31">
        <f>ROUND(IF(AQ626="0",BJ626,0),2)</f>
        <v>0</v>
      </c>
      <c r="AI626" s="11" t="s">
        <v>73</v>
      </c>
      <c r="AJ626" s="31">
        <f>IF(AN626=0,J626,0)</f>
        <v>0</v>
      </c>
      <c r="AK626" s="31">
        <f>IF(AN626=12,J626,0)</f>
        <v>0</v>
      </c>
      <c r="AL626" s="31">
        <f>IF(AN626=21,J626,0)</f>
        <v>0</v>
      </c>
      <c r="AN626" s="31">
        <v>21</v>
      </c>
      <c r="AO626" s="31">
        <f>G626*0</f>
        <v>0</v>
      </c>
      <c r="AP626" s="31">
        <f>G626*(1-0)</f>
        <v>0</v>
      </c>
      <c r="AQ626" s="34" t="s">
        <v>101</v>
      </c>
      <c r="AV626" s="31">
        <f>ROUND(AW626+AX626,2)</f>
        <v>0</v>
      </c>
      <c r="AW626" s="31">
        <f>ROUND(F626*AO626,2)</f>
        <v>0</v>
      </c>
      <c r="AX626" s="31">
        <f>ROUND(F626*AP626,2)</f>
        <v>0</v>
      </c>
      <c r="AY626" s="34" t="s">
        <v>1168</v>
      </c>
      <c r="AZ626" s="34" t="s">
        <v>1001</v>
      </c>
      <c r="BA626" s="11" t="s">
        <v>1002</v>
      </c>
      <c r="BC626" s="31">
        <f>AW626+AX626</f>
        <v>0</v>
      </c>
      <c r="BD626" s="31">
        <f>G626/(100-BE626)*100</f>
        <v>0</v>
      </c>
      <c r="BE626" s="31">
        <v>0</v>
      </c>
      <c r="BF626" s="31">
        <f>626</f>
        <v>626</v>
      </c>
      <c r="BH626" s="31">
        <f>F626*AO626</f>
        <v>0</v>
      </c>
      <c r="BI626" s="31">
        <f>F626*AP626</f>
        <v>0</v>
      </c>
      <c r="BJ626" s="31">
        <f>F626*G626</f>
        <v>0</v>
      </c>
      <c r="BK626" s="34" t="s">
        <v>64</v>
      </c>
      <c r="BL626" s="31">
        <v>725</v>
      </c>
      <c r="BW626" s="31">
        <v>21</v>
      </c>
      <c r="BX626" s="5" t="s">
        <v>1188</v>
      </c>
    </row>
    <row r="627" spans="1:76" ht="13.5" customHeight="1" x14ac:dyDescent="0.25">
      <c r="A627" s="35"/>
      <c r="C627" s="137" t="s">
        <v>1189</v>
      </c>
      <c r="D627" s="138"/>
      <c r="E627" s="138"/>
      <c r="F627" s="138"/>
      <c r="G627" s="139"/>
      <c r="H627" s="138"/>
      <c r="I627" s="138"/>
      <c r="J627" s="138"/>
      <c r="K627" s="140"/>
    </row>
    <row r="628" spans="1:76" x14ac:dyDescent="0.25">
      <c r="A628" s="2" t="s">
        <v>1190</v>
      </c>
      <c r="B628" s="3" t="s">
        <v>1191</v>
      </c>
      <c r="C628" s="112" t="s">
        <v>1192</v>
      </c>
      <c r="D628" s="107"/>
      <c r="E628" s="3" t="s">
        <v>1118</v>
      </c>
      <c r="F628" s="31">
        <v>8</v>
      </c>
      <c r="G628" s="32">
        <v>0</v>
      </c>
      <c r="H628" s="31">
        <f>ROUND(F628*AO628,2)</f>
        <v>0</v>
      </c>
      <c r="I628" s="31">
        <f>ROUND(F628*AP628,2)</f>
        <v>0</v>
      </c>
      <c r="J628" s="31">
        <f>ROUND(F628*G628,2)</f>
        <v>0</v>
      </c>
      <c r="K628" s="33" t="s">
        <v>60</v>
      </c>
      <c r="Z628" s="31">
        <f>ROUND(IF(AQ628="5",BJ628,0),2)</f>
        <v>0</v>
      </c>
      <c r="AB628" s="31">
        <f>ROUND(IF(AQ628="1",BH628,0),2)</f>
        <v>0</v>
      </c>
      <c r="AC628" s="31">
        <f>ROUND(IF(AQ628="1",BI628,0),2)</f>
        <v>0</v>
      </c>
      <c r="AD628" s="31">
        <f>ROUND(IF(AQ628="7",BH628,0),2)</f>
        <v>0</v>
      </c>
      <c r="AE628" s="31">
        <f>ROUND(IF(AQ628="7",BI628,0),2)</f>
        <v>0</v>
      </c>
      <c r="AF628" s="31">
        <f>ROUND(IF(AQ628="2",BH628,0),2)</f>
        <v>0</v>
      </c>
      <c r="AG628" s="31">
        <f>ROUND(IF(AQ628="2",BI628,0),2)</f>
        <v>0</v>
      </c>
      <c r="AH628" s="31">
        <f>ROUND(IF(AQ628="0",BJ628,0),2)</f>
        <v>0</v>
      </c>
      <c r="AI628" s="11" t="s">
        <v>73</v>
      </c>
      <c r="AJ628" s="31">
        <f>IF(AN628=0,J628,0)</f>
        <v>0</v>
      </c>
      <c r="AK628" s="31">
        <f>IF(AN628=12,J628,0)</f>
        <v>0</v>
      </c>
      <c r="AL628" s="31">
        <f>IF(AN628=21,J628,0)</f>
        <v>0</v>
      </c>
      <c r="AN628" s="31">
        <v>21</v>
      </c>
      <c r="AO628" s="31">
        <f>G628*0.762731261</f>
        <v>0</v>
      </c>
      <c r="AP628" s="31">
        <f>G628*(1-0.762731261)</f>
        <v>0</v>
      </c>
      <c r="AQ628" s="34" t="s">
        <v>101</v>
      </c>
      <c r="AV628" s="31">
        <f>ROUND(AW628+AX628,2)</f>
        <v>0</v>
      </c>
      <c r="AW628" s="31">
        <f>ROUND(F628*AO628,2)</f>
        <v>0</v>
      </c>
      <c r="AX628" s="31">
        <f>ROUND(F628*AP628,2)</f>
        <v>0</v>
      </c>
      <c r="AY628" s="34" t="s">
        <v>1168</v>
      </c>
      <c r="AZ628" s="34" t="s">
        <v>1001</v>
      </c>
      <c r="BA628" s="11" t="s">
        <v>1002</v>
      </c>
      <c r="BC628" s="31">
        <f>AW628+AX628</f>
        <v>0</v>
      </c>
      <c r="BD628" s="31">
        <f>G628/(100-BE628)*100</f>
        <v>0</v>
      </c>
      <c r="BE628" s="31">
        <v>0</v>
      </c>
      <c r="BF628" s="31">
        <f>628</f>
        <v>628</v>
      </c>
      <c r="BH628" s="31">
        <f>F628*AO628</f>
        <v>0</v>
      </c>
      <c r="BI628" s="31">
        <f>F628*AP628</f>
        <v>0</v>
      </c>
      <c r="BJ628" s="31">
        <f>F628*G628</f>
        <v>0</v>
      </c>
      <c r="BK628" s="34" t="s">
        <v>64</v>
      </c>
      <c r="BL628" s="31">
        <v>725</v>
      </c>
      <c r="BW628" s="31">
        <v>21</v>
      </c>
      <c r="BX628" s="5" t="s">
        <v>1192</v>
      </c>
    </row>
    <row r="629" spans="1:76" x14ac:dyDescent="0.25">
      <c r="A629" s="2" t="s">
        <v>1193</v>
      </c>
      <c r="B629" s="3" t="s">
        <v>240</v>
      </c>
      <c r="C629" s="112" t="s">
        <v>1194</v>
      </c>
      <c r="D629" s="107"/>
      <c r="E629" s="3" t="s">
        <v>1118</v>
      </c>
      <c r="F629" s="31">
        <v>2</v>
      </c>
      <c r="G629" s="32">
        <v>0</v>
      </c>
      <c r="H629" s="31">
        <f>ROUND(F629*AO629,2)</f>
        <v>0</v>
      </c>
      <c r="I629" s="31">
        <f>ROUND(F629*AP629,2)</f>
        <v>0</v>
      </c>
      <c r="J629" s="31">
        <f>ROUND(F629*G629,2)</f>
        <v>0</v>
      </c>
      <c r="K629" s="33" t="s">
        <v>242</v>
      </c>
      <c r="Z629" s="31">
        <f>ROUND(IF(AQ629="5",BJ629,0),2)</f>
        <v>0</v>
      </c>
      <c r="AB629" s="31">
        <f>ROUND(IF(AQ629="1",BH629,0),2)</f>
        <v>0</v>
      </c>
      <c r="AC629" s="31">
        <f>ROUND(IF(AQ629="1",BI629,0),2)</f>
        <v>0</v>
      </c>
      <c r="AD629" s="31">
        <f>ROUND(IF(AQ629="7",BH629,0),2)</f>
        <v>0</v>
      </c>
      <c r="AE629" s="31">
        <f>ROUND(IF(AQ629="7",BI629,0),2)</f>
        <v>0</v>
      </c>
      <c r="AF629" s="31">
        <f>ROUND(IF(AQ629="2",BH629,0),2)</f>
        <v>0</v>
      </c>
      <c r="AG629" s="31">
        <f>ROUND(IF(AQ629="2",BI629,0),2)</f>
        <v>0</v>
      </c>
      <c r="AH629" s="31">
        <f>ROUND(IF(AQ629="0",BJ629,0),2)</f>
        <v>0</v>
      </c>
      <c r="AI629" s="11" t="s">
        <v>73</v>
      </c>
      <c r="AJ629" s="31">
        <f>IF(AN629=0,J629,0)</f>
        <v>0</v>
      </c>
      <c r="AK629" s="31">
        <f>IF(AN629=12,J629,0)</f>
        <v>0</v>
      </c>
      <c r="AL629" s="31">
        <f>IF(AN629=21,J629,0)</f>
        <v>0</v>
      </c>
      <c r="AN629" s="31">
        <v>21</v>
      </c>
      <c r="AO629" s="31">
        <f>G629*0.631776274</f>
        <v>0</v>
      </c>
      <c r="AP629" s="31">
        <f>G629*(1-0.631776274)</f>
        <v>0</v>
      </c>
      <c r="AQ629" s="34" t="s">
        <v>101</v>
      </c>
      <c r="AV629" s="31">
        <f>ROUND(AW629+AX629,2)</f>
        <v>0</v>
      </c>
      <c r="AW629" s="31">
        <f>ROUND(F629*AO629,2)</f>
        <v>0</v>
      </c>
      <c r="AX629" s="31">
        <f>ROUND(F629*AP629,2)</f>
        <v>0</v>
      </c>
      <c r="AY629" s="34" t="s">
        <v>1168</v>
      </c>
      <c r="AZ629" s="34" t="s">
        <v>1001</v>
      </c>
      <c r="BA629" s="11" t="s">
        <v>1002</v>
      </c>
      <c r="BC629" s="31">
        <f>AW629+AX629</f>
        <v>0</v>
      </c>
      <c r="BD629" s="31">
        <f>G629/(100-BE629)*100</f>
        <v>0</v>
      </c>
      <c r="BE629" s="31">
        <v>0</v>
      </c>
      <c r="BF629" s="31">
        <f>629</f>
        <v>629</v>
      </c>
      <c r="BH629" s="31">
        <f>F629*AO629</f>
        <v>0</v>
      </c>
      <c r="BI629" s="31">
        <f>F629*AP629</f>
        <v>0</v>
      </c>
      <c r="BJ629" s="31">
        <f>F629*G629</f>
        <v>0</v>
      </c>
      <c r="BK629" s="34" t="s">
        <v>64</v>
      </c>
      <c r="BL629" s="31">
        <v>725</v>
      </c>
      <c r="BW629" s="31">
        <v>21</v>
      </c>
      <c r="BX629" s="5" t="s">
        <v>1194</v>
      </c>
    </row>
    <row r="630" spans="1:76" ht="13.5" customHeight="1" x14ac:dyDescent="0.25">
      <c r="A630" s="35"/>
      <c r="C630" s="137" t="s">
        <v>1195</v>
      </c>
      <c r="D630" s="138"/>
      <c r="E630" s="138"/>
      <c r="F630" s="138"/>
      <c r="G630" s="139"/>
      <c r="H630" s="138"/>
      <c r="I630" s="138"/>
      <c r="J630" s="138"/>
      <c r="K630" s="140"/>
    </row>
    <row r="631" spans="1:76" x14ac:dyDescent="0.25">
      <c r="A631" s="2" t="s">
        <v>1196</v>
      </c>
      <c r="B631" s="3" t="s">
        <v>1197</v>
      </c>
      <c r="C631" s="112" t="s">
        <v>1198</v>
      </c>
      <c r="D631" s="107"/>
      <c r="E631" s="3" t="s">
        <v>81</v>
      </c>
      <c r="F631" s="31">
        <v>1</v>
      </c>
      <c r="G631" s="32">
        <v>0</v>
      </c>
      <c r="H631" s="31">
        <f>ROUND(F631*AO631,2)</f>
        <v>0</v>
      </c>
      <c r="I631" s="31">
        <f>ROUND(F631*AP631,2)</f>
        <v>0</v>
      </c>
      <c r="J631" s="31">
        <f>ROUND(F631*G631,2)</f>
        <v>0</v>
      </c>
      <c r="K631" s="33" t="s">
        <v>60</v>
      </c>
      <c r="Z631" s="31">
        <f>ROUND(IF(AQ631="5",BJ631,0),2)</f>
        <v>0</v>
      </c>
      <c r="AB631" s="31">
        <f>ROUND(IF(AQ631="1",BH631,0),2)</f>
        <v>0</v>
      </c>
      <c r="AC631" s="31">
        <f>ROUND(IF(AQ631="1",BI631,0),2)</f>
        <v>0</v>
      </c>
      <c r="AD631" s="31">
        <f>ROUND(IF(AQ631="7",BH631,0),2)</f>
        <v>0</v>
      </c>
      <c r="AE631" s="31">
        <f>ROUND(IF(AQ631="7",BI631,0),2)</f>
        <v>0</v>
      </c>
      <c r="AF631" s="31">
        <f>ROUND(IF(AQ631="2",BH631,0),2)</f>
        <v>0</v>
      </c>
      <c r="AG631" s="31">
        <f>ROUND(IF(AQ631="2",BI631,0),2)</f>
        <v>0</v>
      </c>
      <c r="AH631" s="31">
        <f>ROUND(IF(AQ631="0",BJ631,0),2)</f>
        <v>0</v>
      </c>
      <c r="AI631" s="11" t="s">
        <v>73</v>
      </c>
      <c r="AJ631" s="31">
        <f>IF(AN631=0,J631,0)</f>
        <v>0</v>
      </c>
      <c r="AK631" s="31">
        <f>IF(AN631=12,J631,0)</f>
        <v>0</v>
      </c>
      <c r="AL631" s="31">
        <f>IF(AN631=21,J631,0)</f>
        <v>0</v>
      </c>
      <c r="AN631" s="31">
        <v>21</v>
      </c>
      <c r="AO631" s="31">
        <f>G631*0.873991935</f>
        <v>0</v>
      </c>
      <c r="AP631" s="31">
        <f>G631*(1-0.873991935)</f>
        <v>0</v>
      </c>
      <c r="AQ631" s="34" t="s">
        <v>101</v>
      </c>
      <c r="AV631" s="31">
        <f>ROUND(AW631+AX631,2)</f>
        <v>0</v>
      </c>
      <c r="AW631" s="31">
        <f>ROUND(F631*AO631,2)</f>
        <v>0</v>
      </c>
      <c r="AX631" s="31">
        <f>ROUND(F631*AP631,2)</f>
        <v>0</v>
      </c>
      <c r="AY631" s="34" t="s">
        <v>1168</v>
      </c>
      <c r="AZ631" s="34" t="s">
        <v>1001</v>
      </c>
      <c r="BA631" s="11" t="s">
        <v>1002</v>
      </c>
      <c r="BC631" s="31">
        <f>AW631+AX631</f>
        <v>0</v>
      </c>
      <c r="BD631" s="31">
        <f>G631/(100-BE631)*100</f>
        <v>0</v>
      </c>
      <c r="BE631" s="31">
        <v>0</v>
      </c>
      <c r="BF631" s="31">
        <f>631</f>
        <v>631</v>
      </c>
      <c r="BH631" s="31">
        <f>F631*AO631</f>
        <v>0</v>
      </c>
      <c r="BI631" s="31">
        <f>F631*AP631</f>
        <v>0</v>
      </c>
      <c r="BJ631" s="31">
        <f>F631*G631</f>
        <v>0</v>
      </c>
      <c r="BK631" s="34" t="s">
        <v>64</v>
      </c>
      <c r="BL631" s="31">
        <v>725</v>
      </c>
      <c r="BW631" s="31">
        <v>21</v>
      </c>
      <c r="BX631" s="5" t="s">
        <v>1198</v>
      </c>
    </row>
    <row r="632" spans="1:76" ht="13.5" customHeight="1" x14ac:dyDescent="0.25">
      <c r="A632" s="35"/>
      <c r="C632" s="137" t="s">
        <v>1199</v>
      </c>
      <c r="D632" s="138"/>
      <c r="E632" s="138"/>
      <c r="F632" s="138"/>
      <c r="G632" s="139"/>
      <c r="H632" s="138"/>
      <c r="I632" s="138"/>
      <c r="J632" s="138"/>
      <c r="K632" s="140"/>
    </row>
    <row r="633" spans="1:76" x14ac:dyDescent="0.25">
      <c r="A633" s="35"/>
      <c r="C633" s="36" t="s">
        <v>56</v>
      </c>
      <c r="D633" s="36" t="s">
        <v>1200</v>
      </c>
      <c r="F633" s="37">
        <v>1</v>
      </c>
      <c r="K633" s="38"/>
    </row>
    <row r="634" spans="1:76" x14ac:dyDescent="0.25">
      <c r="A634" s="2" t="s">
        <v>1201</v>
      </c>
      <c r="B634" s="3" t="s">
        <v>1202</v>
      </c>
      <c r="C634" s="112" t="s">
        <v>1203</v>
      </c>
      <c r="D634" s="107"/>
      <c r="E634" s="3" t="s">
        <v>81</v>
      </c>
      <c r="F634" s="31">
        <v>2</v>
      </c>
      <c r="G634" s="32">
        <v>0</v>
      </c>
      <c r="H634" s="31">
        <f>ROUND(F634*AO634,2)</f>
        <v>0</v>
      </c>
      <c r="I634" s="31">
        <f>ROUND(F634*AP634,2)</f>
        <v>0</v>
      </c>
      <c r="J634" s="31">
        <f>ROUND(F634*G634,2)</f>
        <v>0</v>
      </c>
      <c r="K634" s="33" t="s">
        <v>60</v>
      </c>
      <c r="Z634" s="31">
        <f>ROUND(IF(AQ634="5",BJ634,0),2)</f>
        <v>0</v>
      </c>
      <c r="AB634" s="31">
        <f>ROUND(IF(AQ634="1",BH634,0),2)</f>
        <v>0</v>
      </c>
      <c r="AC634" s="31">
        <f>ROUND(IF(AQ634="1",BI634,0),2)</f>
        <v>0</v>
      </c>
      <c r="AD634" s="31">
        <f>ROUND(IF(AQ634="7",BH634,0),2)</f>
        <v>0</v>
      </c>
      <c r="AE634" s="31">
        <f>ROUND(IF(AQ634="7",BI634,0),2)</f>
        <v>0</v>
      </c>
      <c r="AF634" s="31">
        <f>ROUND(IF(AQ634="2",BH634,0),2)</f>
        <v>0</v>
      </c>
      <c r="AG634" s="31">
        <f>ROUND(IF(AQ634="2",BI634,0),2)</f>
        <v>0</v>
      </c>
      <c r="AH634" s="31">
        <f>ROUND(IF(AQ634="0",BJ634,0),2)</f>
        <v>0</v>
      </c>
      <c r="AI634" s="11" t="s">
        <v>73</v>
      </c>
      <c r="AJ634" s="31">
        <f>IF(AN634=0,J634,0)</f>
        <v>0</v>
      </c>
      <c r="AK634" s="31">
        <f>IF(AN634=12,J634,0)</f>
        <v>0</v>
      </c>
      <c r="AL634" s="31">
        <f>IF(AN634=21,J634,0)</f>
        <v>0</v>
      </c>
      <c r="AN634" s="31">
        <v>21</v>
      </c>
      <c r="AO634" s="31">
        <f>G634*0.864425163</f>
        <v>0</v>
      </c>
      <c r="AP634" s="31">
        <f>G634*(1-0.864425163)</f>
        <v>0</v>
      </c>
      <c r="AQ634" s="34" t="s">
        <v>101</v>
      </c>
      <c r="AV634" s="31">
        <f>ROUND(AW634+AX634,2)</f>
        <v>0</v>
      </c>
      <c r="AW634" s="31">
        <f>ROUND(F634*AO634,2)</f>
        <v>0</v>
      </c>
      <c r="AX634" s="31">
        <f>ROUND(F634*AP634,2)</f>
        <v>0</v>
      </c>
      <c r="AY634" s="34" t="s">
        <v>1168</v>
      </c>
      <c r="AZ634" s="34" t="s">
        <v>1001</v>
      </c>
      <c r="BA634" s="11" t="s">
        <v>1002</v>
      </c>
      <c r="BC634" s="31">
        <f>AW634+AX634</f>
        <v>0</v>
      </c>
      <c r="BD634" s="31">
        <f>G634/(100-BE634)*100</f>
        <v>0</v>
      </c>
      <c r="BE634" s="31">
        <v>0</v>
      </c>
      <c r="BF634" s="31">
        <f>634</f>
        <v>634</v>
      </c>
      <c r="BH634" s="31">
        <f>F634*AO634</f>
        <v>0</v>
      </c>
      <c r="BI634" s="31">
        <f>F634*AP634</f>
        <v>0</v>
      </c>
      <c r="BJ634" s="31">
        <f>F634*G634</f>
        <v>0</v>
      </c>
      <c r="BK634" s="34" t="s">
        <v>64</v>
      </c>
      <c r="BL634" s="31">
        <v>725</v>
      </c>
      <c r="BW634" s="31">
        <v>21</v>
      </c>
      <c r="BX634" s="5" t="s">
        <v>1203</v>
      </c>
    </row>
    <row r="635" spans="1:76" ht="13.5" customHeight="1" x14ac:dyDescent="0.25">
      <c r="A635" s="35"/>
      <c r="C635" s="137" t="s">
        <v>1199</v>
      </c>
      <c r="D635" s="138"/>
      <c r="E635" s="138"/>
      <c r="F635" s="138"/>
      <c r="G635" s="139"/>
      <c r="H635" s="138"/>
      <c r="I635" s="138"/>
      <c r="J635" s="138"/>
      <c r="K635" s="140"/>
    </row>
    <row r="636" spans="1:76" x14ac:dyDescent="0.25">
      <c r="A636" s="2" t="s">
        <v>1204</v>
      </c>
      <c r="B636" s="3" t="s">
        <v>1205</v>
      </c>
      <c r="C636" s="112" t="s">
        <v>1198</v>
      </c>
      <c r="D636" s="107"/>
      <c r="E636" s="3" t="s">
        <v>81</v>
      </c>
      <c r="F636" s="31">
        <v>1</v>
      </c>
      <c r="G636" s="32">
        <v>0</v>
      </c>
      <c r="H636" s="31">
        <f>ROUND(F636*AO636,2)</f>
        <v>0</v>
      </c>
      <c r="I636" s="31">
        <f>ROUND(F636*AP636,2)</f>
        <v>0</v>
      </c>
      <c r="J636" s="31">
        <f>ROUND(F636*G636,2)</f>
        <v>0</v>
      </c>
      <c r="K636" s="33" t="s">
        <v>60</v>
      </c>
      <c r="Z636" s="31">
        <f>ROUND(IF(AQ636="5",BJ636,0),2)</f>
        <v>0</v>
      </c>
      <c r="AB636" s="31">
        <f>ROUND(IF(AQ636="1",BH636,0),2)</f>
        <v>0</v>
      </c>
      <c r="AC636" s="31">
        <f>ROUND(IF(AQ636="1",BI636,0),2)</f>
        <v>0</v>
      </c>
      <c r="AD636" s="31">
        <f>ROUND(IF(AQ636="7",BH636,0),2)</f>
        <v>0</v>
      </c>
      <c r="AE636" s="31">
        <f>ROUND(IF(AQ636="7",BI636,0),2)</f>
        <v>0</v>
      </c>
      <c r="AF636" s="31">
        <f>ROUND(IF(AQ636="2",BH636,0),2)</f>
        <v>0</v>
      </c>
      <c r="AG636" s="31">
        <f>ROUND(IF(AQ636="2",BI636,0),2)</f>
        <v>0</v>
      </c>
      <c r="AH636" s="31">
        <f>ROUND(IF(AQ636="0",BJ636,0),2)</f>
        <v>0</v>
      </c>
      <c r="AI636" s="11" t="s">
        <v>73</v>
      </c>
      <c r="AJ636" s="31">
        <f>IF(AN636=0,J636,0)</f>
        <v>0</v>
      </c>
      <c r="AK636" s="31">
        <f>IF(AN636=12,J636,0)</f>
        <v>0</v>
      </c>
      <c r="AL636" s="31">
        <f>IF(AN636=21,J636,0)</f>
        <v>0</v>
      </c>
      <c r="AN636" s="31">
        <v>21</v>
      </c>
      <c r="AO636" s="31">
        <f>G636*0.901574803</f>
        <v>0</v>
      </c>
      <c r="AP636" s="31">
        <f>G636*(1-0.901574803)</f>
        <v>0</v>
      </c>
      <c r="AQ636" s="34" t="s">
        <v>101</v>
      </c>
      <c r="AV636" s="31">
        <f>ROUND(AW636+AX636,2)</f>
        <v>0</v>
      </c>
      <c r="AW636" s="31">
        <f>ROUND(F636*AO636,2)</f>
        <v>0</v>
      </c>
      <c r="AX636" s="31">
        <f>ROUND(F636*AP636,2)</f>
        <v>0</v>
      </c>
      <c r="AY636" s="34" t="s">
        <v>1168</v>
      </c>
      <c r="AZ636" s="34" t="s">
        <v>1001</v>
      </c>
      <c r="BA636" s="11" t="s">
        <v>1002</v>
      </c>
      <c r="BC636" s="31">
        <f>AW636+AX636</f>
        <v>0</v>
      </c>
      <c r="BD636" s="31">
        <f>G636/(100-BE636)*100</f>
        <v>0</v>
      </c>
      <c r="BE636" s="31">
        <v>0</v>
      </c>
      <c r="BF636" s="31">
        <f>636</f>
        <v>636</v>
      </c>
      <c r="BH636" s="31">
        <f>F636*AO636</f>
        <v>0</v>
      </c>
      <c r="BI636" s="31">
        <f>F636*AP636</f>
        <v>0</v>
      </c>
      <c r="BJ636" s="31">
        <f>F636*G636</f>
        <v>0</v>
      </c>
      <c r="BK636" s="34" t="s">
        <v>64</v>
      </c>
      <c r="BL636" s="31">
        <v>725</v>
      </c>
      <c r="BW636" s="31">
        <v>21</v>
      </c>
      <c r="BX636" s="5" t="s">
        <v>1198</v>
      </c>
    </row>
    <row r="637" spans="1:76" ht="13.5" customHeight="1" x14ac:dyDescent="0.25">
      <c r="A637" s="35"/>
      <c r="C637" s="137" t="s">
        <v>1206</v>
      </c>
      <c r="D637" s="138"/>
      <c r="E637" s="138"/>
      <c r="F637" s="138"/>
      <c r="G637" s="139"/>
      <c r="H637" s="138"/>
      <c r="I637" s="138"/>
      <c r="J637" s="138"/>
      <c r="K637" s="140"/>
    </row>
    <row r="638" spans="1:76" x14ac:dyDescent="0.25">
      <c r="A638" s="35"/>
      <c r="C638" s="36" t="s">
        <v>56</v>
      </c>
      <c r="D638" s="36" t="s">
        <v>1207</v>
      </c>
      <c r="F638" s="37">
        <v>1</v>
      </c>
      <c r="K638" s="38"/>
    </row>
    <row r="639" spans="1:76" x14ac:dyDescent="0.25">
      <c r="A639" s="2" t="s">
        <v>1208</v>
      </c>
      <c r="B639" s="3" t="s">
        <v>1209</v>
      </c>
      <c r="C639" s="112" t="s">
        <v>1210</v>
      </c>
      <c r="D639" s="107"/>
      <c r="E639" s="3" t="s">
        <v>81</v>
      </c>
      <c r="F639" s="31">
        <v>1</v>
      </c>
      <c r="G639" s="32">
        <v>0</v>
      </c>
      <c r="H639" s="31">
        <f>ROUND(F639*AO639,2)</f>
        <v>0</v>
      </c>
      <c r="I639" s="31">
        <f>ROUND(F639*AP639,2)</f>
        <v>0</v>
      </c>
      <c r="J639" s="31">
        <f>ROUND(F639*G639,2)</f>
        <v>0</v>
      </c>
      <c r="K639" s="33" t="s">
        <v>60</v>
      </c>
      <c r="Z639" s="31">
        <f>ROUND(IF(AQ639="5",BJ639,0),2)</f>
        <v>0</v>
      </c>
      <c r="AB639" s="31">
        <f>ROUND(IF(AQ639="1",BH639,0),2)</f>
        <v>0</v>
      </c>
      <c r="AC639" s="31">
        <f>ROUND(IF(AQ639="1",BI639,0),2)</f>
        <v>0</v>
      </c>
      <c r="AD639" s="31">
        <f>ROUND(IF(AQ639="7",BH639,0),2)</f>
        <v>0</v>
      </c>
      <c r="AE639" s="31">
        <f>ROUND(IF(AQ639="7",BI639,0),2)</f>
        <v>0</v>
      </c>
      <c r="AF639" s="31">
        <f>ROUND(IF(AQ639="2",BH639,0),2)</f>
        <v>0</v>
      </c>
      <c r="AG639" s="31">
        <f>ROUND(IF(AQ639="2",BI639,0),2)</f>
        <v>0</v>
      </c>
      <c r="AH639" s="31">
        <f>ROUND(IF(AQ639="0",BJ639,0),2)</f>
        <v>0</v>
      </c>
      <c r="AI639" s="11" t="s">
        <v>73</v>
      </c>
      <c r="AJ639" s="31">
        <f>IF(AN639=0,J639,0)</f>
        <v>0</v>
      </c>
      <c r="AK639" s="31">
        <f>IF(AN639=12,J639,0)</f>
        <v>0</v>
      </c>
      <c r="AL639" s="31">
        <f>IF(AN639=21,J639,0)</f>
        <v>0</v>
      </c>
      <c r="AN639" s="31">
        <v>21</v>
      </c>
      <c r="AO639" s="31">
        <f>G639*0.633629557</f>
        <v>0</v>
      </c>
      <c r="AP639" s="31">
        <f>G639*(1-0.633629557)</f>
        <v>0</v>
      </c>
      <c r="AQ639" s="34" t="s">
        <v>101</v>
      </c>
      <c r="AV639" s="31">
        <f>ROUND(AW639+AX639,2)</f>
        <v>0</v>
      </c>
      <c r="AW639" s="31">
        <f>ROUND(F639*AO639,2)</f>
        <v>0</v>
      </c>
      <c r="AX639" s="31">
        <f>ROUND(F639*AP639,2)</f>
        <v>0</v>
      </c>
      <c r="AY639" s="34" t="s">
        <v>1168</v>
      </c>
      <c r="AZ639" s="34" t="s">
        <v>1001</v>
      </c>
      <c r="BA639" s="11" t="s">
        <v>1002</v>
      </c>
      <c r="BC639" s="31">
        <f>AW639+AX639</f>
        <v>0</v>
      </c>
      <c r="BD639" s="31">
        <f>G639/(100-BE639)*100</f>
        <v>0</v>
      </c>
      <c r="BE639" s="31">
        <v>0</v>
      </c>
      <c r="BF639" s="31">
        <f>639</f>
        <v>639</v>
      </c>
      <c r="BH639" s="31">
        <f>F639*AO639</f>
        <v>0</v>
      </c>
      <c r="BI639" s="31">
        <f>F639*AP639</f>
        <v>0</v>
      </c>
      <c r="BJ639" s="31">
        <f>F639*G639</f>
        <v>0</v>
      </c>
      <c r="BK639" s="34" t="s">
        <v>64</v>
      </c>
      <c r="BL639" s="31">
        <v>725</v>
      </c>
      <c r="BW639" s="31">
        <v>21</v>
      </c>
      <c r="BX639" s="5" t="s">
        <v>1210</v>
      </c>
    </row>
    <row r="640" spans="1:76" x14ac:dyDescent="0.25">
      <c r="A640" s="35"/>
      <c r="C640" s="36" t="s">
        <v>56</v>
      </c>
      <c r="D640" s="36" t="s">
        <v>1200</v>
      </c>
      <c r="F640" s="37">
        <v>1</v>
      </c>
      <c r="K640" s="38"/>
    </row>
    <row r="641" spans="1:76" x14ac:dyDescent="0.25">
      <c r="A641" s="2" t="s">
        <v>1211</v>
      </c>
      <c r="B641" s="3" t="s">
        <v>1212</v>
      </c>
      <c r="C641" s="112" t="s">
        <v>1213</v>
      </c>
      <c r="D641" s="107"/>
      <c r="E641" s="3" t="s">
        <v>81</v>
      </c>
      <c r="F641" s="31">
        <v>1</v>
      </c>
      <c r="G641" s="32">
        <v>0</v>
      </c>
      <c r="H641" s="31">
        <f>ROUND(F641*AO641,2)</f>
        <v>0</v>
      </c>
      <c r="I641" s="31">
        <f>ROUND(F641*AP641,2)</f>
        <v>0</v>
      </c>
      <c r="J641" s="31">
        <f>ROUND(F641*G641,2)</f>
        <v>0</v>
      </c>
      <c r="K641" s="33" t="s">
        <v>60</v>
      </c>
      <c r="Z641" s="31">
        <f>ROUND(IF(AQ641="5",BJ641,0),2)</f>
        <v>0</v>
      </c>
      <c r="AB641" s="31">
        <f>ROUND(IF(AQ641="1",BH641,0),2)</f>
        <v>0</v>
      </c>
      <c r="AC641" s="31">
        <f>ROUND(IF(AQ641="1",BI641,0),2)</f>
        <v>0</v>
      </c>
      <c r="AD641" s="31">
        <f>ROUND(IF(AQ641="7",BH641,0),2)</f>
        <v>0</v>
      </c>
      <c r="AE641" s="31">
        <f>ROUND(IF(AQ641="7",BI641,0),2)</f>
        <v>0</v>
      </c>
      <c r="AF641" s="31">
        <f>ROUND(IF(AQ641="2",BH641,0),2)</f>
        <v>0</v>
      </c>
      <c r="AG641" s="31">
        <f>ROUND(IF(AQ641="2",BI641,0),2)</f>
        <v>0</v>
      </c>
      <c r="AH641" s="31">
        <f>ROUND(IF(AQ641="0",BJ641,0),2)</f>
        <v>0</v>
      </c>
      <c r="AI641" s="11" t="s">
        <v>73</v>
      </c>
      <c r="AJ641" s="31">
        <f>IF(AN641=0,J641,0)</f>
        <v>0</v>
      </c>
      <c r="AK641" s="31">
        <f>IF(AN641=12,J641,0)</f>
        <v>0</v>
      </c>
      <c r="AL641" s="31">
        <f>IF(AN641=21,J641,0)</f>
        <v>0</v>
      </c>
      <c r="AN641" s="31">
        <v>21</v>
      </c>
      <c r="AO641" s="31">
        <f>G641*0.81079749</f>
        <v>0</v>
      </c>
      <c r="AP641" s="31">
        <f>G641*(1-0.81079749)</f>
        <v>0</v>
      </c>
      <c r="AQ641" s="34" t="s">
        <v>101</v>
      </c>
      <c r="AV641" s="31">
        <f>ROUND(AW641+AX641,2)</f>
        <v>0</v>
      </c>
      <c r="AW641" s="31">
        <f>ROUND(F641*AO641,2)</f>
        <v>0</v>
      </c>
      <c r="AX641" s="31">
        <f>ROUND(F641*AP641,2)</f>
        <v>0</v>
      </c>
      <c r="AY641" s="34" t="s">
        <v>1168</v>
      </c>
      <c r="AZ641" s="34" t="s">
        <v>1001</v>
      </c>
      <c r="BA641" s="11" t="s">
        <v>1002</v>
      </c>
      <c r="BC641" s="31">
        <f>AW641+AX641</f>
        <v>0</v>
      </c>
      <c r="BD641" s="31">
        <f>G641/(100-BE641)*100</f>
        <v>0</v>
      </c>
      <c r="BE641" s="31">
        <v>0</v>
      </c>
      <c r="BF641" s="31">
        <f>641</f>
        <v>641</v>
      </c>
      <c r="BH641" s="31">
        <f>F641*AO641</f>
        <v>0</v>
      </c>
      <c r="BI641" s="31">
        <f>F641*AP641</f>
        <v>0</v>
      </c>
      <c r="BJ641" s="31">
        <f>F641*G641</f>
        <v>0</v>
      </c>
      <c r="BK641" s="34" t="s">
        <v>64</v>
      </c>
      <c r="BL641" s="31">
        <v>725</v>
      </c>
      <c r="BW641" s="31">
        <v>21</v>
      </c>
      <c r="BX641" s="5" t="s">
        <v>1213</v>
      </c>
    </row>
    <row r="642" spans="1:76" x14ac:dyDescent="0.25">
      <c r="A642" s="35"/>
      <c r="C642" s="36" t="s">
        <v>56</v>
      </c>
      <c r="D642" s="36" t="s">
        <v>1207</v>
      </c>
      <c r="F642" s="37">
        <v>1</v>
      </c>
      <c r="K642" s="38"/>
    </row>
    <row r="643" spans="1:76" x14ac:dyDescent="0.25">
      <c r="A643" s="2" t="s">
        <v>1214</v>
      </c>
      <c r="B643" s="3" t="s">
        <v>1215</v>
      </c>
      <c r="C643" s="112" t="s">
        <v>1216</v>
      </c>
      <c r="D643" s="107"/>
      <c r="E643" s="3" t="s">
        <v>81</v>
      </c>
      <c r="F643" s="31">
        <v>5</v>
      </c>
      <c r="G643" s="32">
        <v>0</v>
      </c>
      <c r="H643" s="31">
        <f>ROUND(F643*AO643,2)</f>
        <v>0</v>
      </c>
      <c r="I643" s="31">
        <f>ROUND(F643*AP643,2)</f>
        <v>0</v>
      </c>
      <c r="J643" s="31">
        <f>ROUND(F643*G643,2)</f>
        <v>0</v>
      </c>
      <c r="K643" s="33" t="s">
        <v>60</v>
      </c>
      <c r="Z643" s="31">
        <f>ROUND(IF(AQ643="5",BJ643,0),2)</f>
        <v>0</v>
      </c>
      <c r="AB643" s="31">
        <f>ROUND(IF(AQ643="1",BH643,0),2)</f>
        <v>0</v>
      </c>
      <c r="AC643" s="31">
        <f>ROUND(IF(AQ643="1",BI643,0),2)</f>
        <v>0</v>
      </c>
      <c r="AD643" s="31">
        <f>ROUND(IF(AQ643="7",BH643,0),2)</f>
        <v>0</v>
      </c>
      <c r="AE643" s="31">
        <f>ROUND(IF(AQ643="7",BI643,0),2)</f>
        <v>0</v>
      </c>
      <c r="AF643" s="31">
        <f>ROUND(IF(AQ643="2",BH643,0),2)</f>
        <v>0</v>
      </c>
      <c r="AG643" s="31">
        <f>ROUND(IF(AQ643="2",BI643,0),2)</f>
        <v>0</v>
      </c>
      <c r="AH643" s="31">
        <f>ROUND(IF(AQ643="0",BJ643,0),2)</f>
        <v>0</v>
      </c>
      <c r="AI643" s="11" t="s">
        <v>73</v>
      </c>
      <c r="AJ643" s="31">
        <f>IF(AN643=0,J643,0)</f>
        <v>0</v>
      </c>
      <c r="AK643" s="31">
        <f>IF(AN643=12,J643,0)</f>
        <v>0</v>
      </c>
      <c r="AL643" s="31">
        <f>IF(AN643=21,J643,0)</f>
        <v>0</v>
      </c>
      <c r="AN643" s="31">
        <v>21</v>
      </c>
      <c r="AO643" s="31">
        <f>G643*0.186439024</f>
        <v>0</v>
      </c>
      <c r="AP643" s="31">
        <f>G643*(1-0.186439024)</f>
        <v>0</v>
      </c>
      <c r="AQ643" s="34" t="s">
        <v>101</v>
      </c>
      <c r="AV643" s="31">
        <f>ROUND(AW643+AX643,2)</f>
        <v>0</v>
      </c>
      <c r="AW643" s="31">
        <f>ROUND(F643*AO643,2)</f>
        <v>0</v>
      </c>
      <c r="AX643" s="31">
        <f>ROUND(F643*AP643,2)</f>
        <v>0</v>
      </c>
      <c r="AY643" s="34" t="s">
        <v>1168</v>
      </c>
      <c r="AZ643" s="34" t="s">
        <v>1001</v>
      </c>
      <c r="BA643" s="11" t="s">
        <v>1002</v>
      </c>
      <c r="BC643" s="31">
        <f>AW643+AX643</f>
        <v>0</v>
      </c>
      <c r="BD643" s="31">
        <f>G643/(100-BE643)*100</f>
        <v>0</v>
      </c>
      <c r="BE643" s="31">
        <v>0</v>
      </c>
      <c r="BF643" s="31">
        <f>643</f>
        <v>643</v>
      </c>
      <c r="BH643" s="31">
        <f>F643*AO643</f>
        <v>0</v>
      </c>
      <c r="BI643" s="31">
        <f>F643*AP643</f>
        <v>0</v>
      </c>
      <c r="BJ643" s="31">
        <f>F643*G643</f>
        <v>0</v>
      </c>
      <c r="BK643" s="34" t="s">
        <v>64</v>
      </c>
      <c r="BL643" s="31">
        <v>725</v>
      </c>
      <c r="BW643" s="31">
        <v>21</v>
      </c>
      <c r="BX643" s="5" t="s">
        <v>1216</v>
      </c>
    </row>
    <row r="644" spans="1:76" x14ac:dyDescent="0.25">
      <c r="A644" s="35"/>
      <c r="C644" s="36" t="s">
        <v>66</v>
      </c>
      <c r="D644" s="36" t="s">
        <v>1217</v>
      </c>
      <c r="F644" s="37">
        <v>2</v>
      </c>
      <c r="K644" s="38"/>
    </row>
    <row r="645" spans="1:76" x14ac:dyDescent="0.25">
      <c r="A645" s="35"/>
      <c r="C645" s="36" t="s">
        <v>73</v>
      </c>
      <c r="D645" s="36" t="s">
        <v>1218</v>
      </c>
      <c r="F645" s="37">
        <v>3</v>
      </c>
      <c r="K645" s="38"/>
    </row>
    <row r="646" spans="1:76" x14ac:dyDescent="0.25">
      <c r="A646" s="39" t="s">
        <v>1219</v>
      </c>
      <c r="B646" s="40" t="s">
        <v>1220</v>
      </c>
      <c r="C646" s="135" t="s">
        <v>1221</v>
      </c>
      <c r="D646" s="136"/>
      <c r="E646" s="40" t="s">
        <v>81</v>
      </c>
      <c r="F646" s="42">
        <v>2</v>
      </c>
      <c r="G646" s="43">
        <v>0</v>
      </c>
      <c r="H646" s="42">
        <f>ROUND(F646*AO646,2)</f>
        <v>0</v>
      </c>
      <c r="I646" s="42">
        <f>ROUND(F646*AP646,2)</f>
        <v>0</v>
      </c>
      <c r="J646" s="42">
        <f>ROUND(F646*G646,2)</f>
        <v>0</v>
      </c>
      <c r="K646" s="44" t="s">
        <v>60</v>
      </c>
      <c r="Z646" s="31">
        <f>ROUND(IF(AQ646="5",BJ646,0),2)</f>
        <v>0</v>
      </c>
      <c r="AB646" s="31">
        <f>ROUND(IF(AQ646="1",BH646,0),2)</f>
        <v>0</v>
      </c>
      <c r="AC646" s="31">
        <f>ROUND(IF(AQ646="1",BI646,0),2)</f>
        <v>0</v>
      </c>
      <c r="AD646" s="31">
        <f>ROUND(IF(AQ646="7",BH646,0),2)</f>
        <v>0</v>
      </c>
      <c r="AE646" s="31">
        <f>ROUND(IF(AQ646="7",BI646,0),2)</f>
        <v>0</v>
      </c>
      <c r="AF646" s="31">
        <f>ROUND(IF(AQ646="2",BH646,0),2)</f>
        <v>0</v>
      </c>
      <c r="AG646" s="31">
        <f>ROUND(IF(AQ646="2",BI646,0),2)</f>
        <v>0</v>
      </c>
      <c r="AH646" s="31">
        <f>ROUND(IF(AQ646="0",BJ646,0),2)</f>
        <v>0</v>
      </c>
      <c r="AI646" s="11" t="s">
        <v>73</v>
      </c>
      <c r="AJ646" s="42">
        <f>IF(AN646=0,J646,0)</f>
        <v>0</v>
      </c>
      <c r="AK646" s="42">
        <f>IF(AN646=12,J646,0)</f>
        <v>0</v>
      </c>
      <c r="AL646" s="42">
        <f>IF(AN646=21,J646,0)</f>
        <v>0</v>
      </c>
      <c r="AN646" s="31">
        <v>21</v>
      </c>
      <c r="AO646" s="31">
        <f>G646*1</f>
        <v>0</v>
      </c>
      <c r="AP646" s="31">
        <f>G646*(1-1)</f>
        <v>0</v>
      </c>
      <c r="AQ646" s="45" t="s">
        <v>101</v>
      </c>
      <c r="AV646" s="31">
        <f>ROUND(AW646+AX646,2)</f>
        <v>0</v>
      </c>
      <c r="AW646" s="31">
        <f>ROUND(F646*AO646,2)</f>
        <v>0</v>
      </c>
      <c r="AX646" s="31">
        <f>ROUND(F646*AP646,2)</f>
        <v>0</v>
      </c>
      <c r="AY646" s="34" t="s">
        <v>1168</v>
      </c>
      <c r="AZ646" s="34" t="s">
        <v>1001</v>
      </c>
      <c r="BA646" s="11" t="s">
        <v>1002</v>
      </c>
      <c r="BC646" s="31">
        <f>AW646+AX646</f>
        <v>0</v>
      </c>
      <c r="BD646" s="31">
        <f>G646/(100-BE646)*100</f>
        <v>0</v>
      </c>
      <c r="BE646" s="31">
        <v>0</v>
      </c>
      <c r="BF646" s="31">
        <f>646</f>
        <v>646</v>
      </c>
      <c r="BH646" s="42">
        <f>F646*AO646</f>
        <v>0</v>
      </c>
      <c r="BI646" s="42">
        <f>F646*AP646</f>
        <v>0</v>
      </c>
      <c r="BJ646" s="42">
        <f>F646*G646</f>
        <v>0</v>
      </c>
      <c r="BK646" s="45" t="s">
        <v>70</v>
      </c>
      <c r="BL646" s="31">
        <v>725</v>
      </c>
      <c r="BW646" s="31">
        <v>21</v>
      </c>
      <c r="BX646" s="41" t="s">
        <v>1221</v>
      </c>
    </row>
    <row r="647" spans="1:76" x14ac:dyDescent="0.25">
      <c r="A647" s="2" t="s">
        <v>1222</v>
      </c>
      <c r="B647" s="3" t="s">
        <v>1223</v>
      </c>
      <c r="C647" s="112" t="s">
        <v>1224</v>
      </c>
      <c r="D647" s="107"/>
      <c r="E647" s="3" t="s">
        <v>81</v>
      </c>
      <c r="F647" s="31">
        <v>2</v>
      </c>
      <c r="G647" s="32">
        <v>0</v>
      </c>
      <c r="H647" s="31">
        <f>ROUND(F647*AO647,2)</f>
        <v>0</v>
      </c>
      <c r="I647" s="31">
        <f>ROUND(F647*AP647,2)</f>
        <v>0</v>
      </c>
      <c r="J647" s="31">
        <f>ROUND(F647*G647,2)</f>
        <v>0</v>
      </c>
      <c r="K647" s="33" t="s">
        <v>60</v>
      </c>
      <c r="Z647" s="31">
        <f>ROUND(IF(AQ647="5",BJ647,0),2)</f>
        <v>0</v>
      </c>
      <c r="AB647" s="31">
        <f>ROUND(IF(AQ647="1",BH647,0),2)</f>
        <v>0</v>
      </c>
      <c r="AC647" s="31">
        <f>ROUND(IF(AQ647="1",BI647,0),2)</f>
        <v>0</v>
      </c>
      <c r="AD647" s="31">
        <f>ROUND(IF(AQ647="7",BH647,0),2)</f>
        <v>0</v>
      </c>
      <c r="AE647" s="31">
        <f>ROUND(IF(AQ647="7",BI647,0),2)</f>
        <v>0</v>
      </c>
      <c r="AF647" s="31">
        <f>ROUND(IF(AQ647="2",BH647,0),2)</f>
        <v>0</v>
      </c>
      <c r="AG647" s="31">
        <f>ROUND(IF(AQ647="2",BI647,0),2)</f>
        <v>0</v>
      </c>
      <c r="AH647" s="31">
        <f>ROUND(IF(AQ647="0",BJ647,0),2)</f>
        <v>0</v>
      </c>
      <c r="AI647" s="11" t="s">
        <v>73</v>
      </c>
      <c r="AJ647" s="31">
        <f>IF(AN647=0,J647,0)</f>
        <v>0</v>
      </c>
      <c r="AK647" s="31">
        <f>IF(AN647=12,J647,0)</f>
        <v>0</v>
      </c>
      <c r="AL647" s="31">
        <f>IF(AN647=21,J647,0)</f>
        <v>0</v>
      </c>
      <c r="AN647" s="31">
        <v>21</v>
      </c>
      <c r="AO647" s="31">
        <f>G647*0.216472402</f>
        <v>0</v>
      </c>
      <c r="AP647" s="31">
        <f>G647*(1-0.216472402)</f>
        <v>0</v>
      </c>
      <c r="AQ647" s="34" t="s">
        <v>101</v>
      </c>
      <c r="AV647" s="31">
        <f>ROUND(AW647+AX647,2)</f>
        <v>0</v>
      </c>
      <c r="AW647" s="31">
        <f>ROUND(F647*AO647,2)</f>
        <v>0</v>
      </c>
      <c r="AX647" s="31">
        <f>ROUND(F647*AP647,2)</f>
        <v>0</v>
      </c>
      <c r="AY647" s="34" t="s">
        <v>1168</v>
      </c>
      <c r="AZ647" s="34" t="s">
        <v>1001</v>
      </c>
      <c r="BA647" s="11" t="s">
        <v>1002</v>
      </c>
      <c r="BC647" s="31">
        <f>AW647+AX647</f>
        <v>0</v>
      </c>
      <c r="BD647" s="31">
        <f>G647/(100-BE647)*100</f>
        <v>0</v>
      </c>
      <c r="BE647" s="31">
        <v>0</v>
      </c>
      <c r="BF647" s="31">
        <f>647</f>
        <v>647</v>
      </c>
      <c r="BH647" s="31">
        <f>F647*AO647</f>
        <v>0</v>
      </c>
      <c r="BI647" s="31">
        <f>F647*AP647</f>
        <v>0</v>
      </c>
      <c r="BJ647" s="31">
        <f>F647*G647</f>
        <v>0</v>
      </c>
      <c r="BK647" s="34" t="s">
        <v>64</v>
      </c>
      <c r="BL647" s="31">
        <v>725</v>
      </c>
      <c r="BW647" s="31">
        <v>21</v>
      </c>
      <c r="BX647" s="5" t="s">
        <v>1224</v>
      </c>
    </row>
    <row r="648" spans="1:76" x14ac:dyDescent="0.25">
      <c r="A648" s="35"/>
      <c r="C648" s="36" t="s">
        <v>66</v>
      </c>
      <c r="D648" s="36" t="s">
        <v>1218</v>
      </c>
      <c r="F648" s="37">
        <v>2</v>
      </c>
      <c r="K648" s="38"/>
    </row>
    <row r="649" spans="1:76" x14ac:dyDescent="0.25">
      <c r="A649" s="2" t="s">
        <v>1225</v>
      </c>
      <c r="B649" s="3" t="s">
        <v>1226</v>
      </c>
      <c r="C649" s="112" t="s">
        <v>1227</v>
      </c>
      <c r="D649" s="107"/>
      <c r="E649" s="3" t="s">
        <v>1118</v>
      </c>
      <c r="F649" s="31">
        <v>1</v>
      </c>
      <c r="G649" s="32">
        <v>0</v>
      </c>
      <c r="H649" s="31">
        <f t="shared" ref="H649:H662" si="66">ROUND(F649*AO649,2)</f>
        <v>0</v>
      </c>
      <c r="I649" s="31">
        <f t="shared" ref="I649:I662" si="67">ROUND(F649*AP649,2)</f>
        <v>0</v>
      </c>
      <c r="J649" s="31">
        <f t="shared" ref="J649:J662" si="68">ROUND(F649*G649,2)</f>
        <v>0</v>
      </c>
      <c r="K649" s="33" t="s">
        <v>60</v>
      </c>
      <c r="Z649" s="31">
        <f t="shared" ref="Z649:Z662" si="69">ROUND(IF(AQ649="5",BJ649,0),2)</f>
        <v>0</v>
      </c>
      <c r="AB649" s="31">
        <f t="shared" ref="AB649:AB662" si="70">ROUND(IF(AQ649="1",BH649,0),2)</f>
        <v>0</v>
      </c>
      <c r="AC649" s="31">
        <f t="shared" ref="AC649:AC662" si="71">ROUND(IF(AQ649="1",BI649,0),2)</f>
        <v>0</v>
      </c>
      <c r="AD649" s="31">
        <f t="shared" ref="AD649:AD662" si="72">ROUND(IF(AQ649="7",BH649,0),2)</f>
        <v>0</v>
      </c>
      <c r="AE649" s="31">
        <f t="shared" ref="AE649:AE662" si="73">ROUND(IF(AQ649="7",BI649,0),2)</f>
        <v>0</v>
      </c>
      <c r="AF649" s="31">
        <f t="shared" ref="AF649:AF662" si="74">ROUND(IF(AQ649="2",BH649,0),2)</f>
        <v>0</v>
      </c>
      <c r="AG649" s="31">
        <f t="shared" ref="AG649:AG662" si="75">ROUND(IF(AQ649="2",BI649,0),2)</f>
        <v>0</v>
      </c>
      <c r="AH649" s="31">
        <f t="shared" ref="AH649:AH662" si="76">ROUND(IF(AQ649="0",BJ649,0),2)</f>
        <v>0</v>
      </c>
      <c r="AI649" s="11" t="s">
        <v>73</v>
      </c>
      <c r="AJ649" s="31">
        <f t="shared" ref="AJ649:AJ662" si="77">IF(AN649=0,J649,0)</f>
        <v>0</v>
      </c>
      <c r="AK649" s="31">
        <f t="shared" ref="AK649:AK662" si="78">IF(AN649=12,J649,0)</f>
        <v>0</v>
      </c>
      <c r="AL649" s="31">
        <f t="shared" ref="AL649:AL662" si="79">IF(AN649=21,J649,0)</f>
        <v>0</v>
      </c>
      <c r="AN649" s="31">
        <v>21</v>
      </c>
      <c r="AO649" s="31">
        <f>G649*0.6580077</f>
        <v>0</v>
      </c>
      <c r="AP649" s="31">
        <f>G649*(1-0.6580077)</f>
        <v>0</v>
      </c>
      <c r="AQ649" s="34" t="s">
        <v>101</v>
      </c>
      <c r="AV649" s="31">
        <f t="shared" ref="AV649:AV662" si="80">ROUND(AW649+AX649,2)</f>
        <v>0</v>
      </c>
      <c r="AW649" s="31">
        <f t="shared" ref="AW649:AW662" si="81">ROUND(F649*AO649,2)</f>
        <v>0</v>
      </c>
      <c r="AX649" s="31">
        <f t="shared" ref="AX649:AX662" si="82">ROUND(F649*AP649,2)</f>
        <v>0</v>
      </c>
      <c r="AY649" s="34" t="s">
        <v>1168</v>
      </c>
      <c r="AZ649" s="34" t="s">
        <v>1001</v>
      </c>
      <c r="BA649" s="11" t="s">
        <v>1002</v>
      </c>
      <c r="BC649" s="31">
        <f t="shared" ref="BC649:BC662" si="83">AW649+AX649</f>
        <v>0</v>
      </c>
      <c r="BD649" s="31">
        <f t="shared" ref="BD649:BD662" si="84">G649/(100-BE649)*100</f>
        <v>0</v>
      </c>
      <c r="BE649" s="31">
        <v>0</v>
      </c>
      <c r="BF649" s="31">
        <f>649</f>
        <v>649</v>
      </c>
      <c r="BH649" s="31">
        <f t="shared" ref="BH649:BH662" si="85">F649*AO649</f>
        <v>0</v>
      </c>
      <c r="BI649" s="31">
        <f t="shared" ref="BI649:BI662" si="86">F649*AP649</f>
        <v>0</v>
      </c>
      <c r="BJ649" s="31">
        <f t="shared" ref="BJ649:BJ662" si="87">F649*G649</f>
        <v>0</v>
      </c>
      <c r="BK649" s="34" t="s">
        <v>64</v>
      </c>
      <c r="BL649" s="31">
        <v>725</v>
      </c>
      <c r="BW649" s="31">
        <v>21</v>
      </c>
      <c r="BX649" s="5" t="s">
        <v>1227</v>
      </c>
    </row>
    <row r="650" spans="1:76" ht="25.5" x14ac:dyDescent="0.25">
      <c r="A650" s="39" t="s">
        <v>1228</v>
      </c>
      <c r="B650" s="40" t="s">
        <v>240</v>
      </c>
      <c r="C650" s="135" t="s">
        <v>1229</v>
      </c>
      <c r="D650" s="136"/>
      <c r="E650" s="40" t="s">
        <v>81</v>
      </c>
      <c r="F650" s="42">
        <v>1</v>
      </c>
      <c r="G650" s="43">
        <v>0</v>
      </c>
      <c r="H650" s="42">
        <f t="shared" si="66"/>
        <v>0</v>
      </c>
      <c r="I650" s="42">
        <f t="shared" si="67"/>
        <v>0</v>
      </c>
      <c r="J650" s="42">
        <f t="shared" si="68"/>
        <v>0</v>
      </c>
      <c r="K650" s="44" t="s">
        <v>242</v>
      </c>
      <c r="Z650" s="31">
        <f t="shared" si="69"/>
        <v>0</v>
      </c>
      <c r="AB650" s="31">
        <f t="shared" si="70"/>
        <v>0</v>
      </c>
      <c r="AC650" s="31">
        <f t="shared" si="71"/>
        <v>0</v>
      </c>
      <c r="AD650" s="31">
        <f t="shared" si="72"/>
        <v>0</v>
      </c>
      <c r="AE650" s="31">
        <f t="shared" si="73"/>
        <v>0</v>
      </c>
      <c r="AF650" s="31">
        <f t="shared" si="74"/>
        <v>0</v>
      </c>
      <c r="AG650" s="31">
        <f t="shared" si="75"/>
        <v>0</v>
      </c>
      <c r="AH650" s="31">
        <f t="shared" si="76"/>
        <v>0</v>
      </c>
      <c r="AI650" s="11" t="s">
        <v>73</v>
      </c>
      <c r="AJ650" s="42">
        <f t="shared" si="77"/>
        <v>0</v>
      </c>
      <c r="AK650" s="42">
        <f t="shared" si="78"/>
        <v>0</v>
      </c>
      <c r="AL650" s="42">
        <f t="shared" si="79"/>
        <v>0</v>
      </c>
      <c r="AN650" s="31">
        <v>21</v>
      </c>
      <c r="AO650" s="31">
        <f>G650*1</f>
        <v>0</v>
      </c>
      <c r="AP650" s="31">
        <f>G650*(1-1)</f>
        <v>0</v>
      </c>
      <c r="AQ650" s="45" t="s">
        <v>101</v>
      </c>
      <c r="AV650" s="31">
        <f t="shared" si="80"/>
        <v>0</v>
      </c>
      <c r="AW650" s="31">
        <f t="shared" si="81"/>
        <v>0</v>
      </c>
      <c r="AX650" s="31">
        <f t="shared" si="82"/>
        <v>0</v>
      </c>
      <c r="AY650" s="34" t="s">
        <v>1168</v>
      </c>
      <c r="AZ650" s="34" t="s">
        <v>1001</v>
      </c>
      <c r="BA650" s="11" t="s">
        <v>1002</v>
      </c>
      <c r="BC650" s="31">
        <f t="shared" si="83"/>
        <v>0</v>
      </c>
      <c r="BD650" s="31">
        <f t="shared" si="84"/>
        <v>0</v>
      </c>
      <c r="BE650" s="31">
        <v>0</v>
      </c>
      <c r="BF650" s="31">
        <f>650</f>
        <v>650</v>
      </c>
      <c r="BH650" s="42">
        <f t="shared" si="85"/>
        <v>0</v>
      </c>
      <c r="BI650" s="42">
        <f t="shared" si="86"/>
        <v>0</v>
      </c>
      <c r="BJ650" s="42">
        <f t="shared" si="87"/>
        <v>0</v>
      </c>
      <c r="BK650" s="45" t="s">
        <v>70</v>
      </c>
      <c r="BL650" s="31">
        <v>725</v>
      </c>
      <c r="BW650" s="31">
        <v>21</v>
      </c>
      <c r="BX650" s="41" t="s">
        <v>1229</v>
      </c>
    </row>
    <row r="651" spans="1:76" x14ac:dyDescent="0.25">
      <c r="A651" s="2" t="s">
        <v>1230</v>
      </c>
      <c r="B651" s="3" t="s">
        <v>1231</v>
      </c>
      <c r="C651" s="112" t="s">
        <v>1232</v>
      </c>
      <c r="D651" s="107"/>
      <c r="E651" s="3" t="s">
        <v>1118</v>
      </c>
      <c r="F651" s="31">
        <v>1</v>
      </c>
      <c r="G651" s="32">
        <v>0</v>
      </c>
      <c r="H651" s="31">
        <f t="shared" si="66"/>
        <v>0</v>
      </c>
      <c r="I651" s="31">
        <f t="shared" si="67"/>
        <v>0</v>
      </c>
      <c r="J651" s="31">
        <f t="shared" si="68"/>
        <v>0</v>
      </c>
      <c r="K651" s="33" t="s">
        <v>60</v>
      </c>
      <c r="Z651" s="31">
        <f t="shared" si="69"/>
        <v>0</v>
      </c>
      <c r="AB651" s="31">
        <f t="shared" si="70"/>
        <v>0</v>
      </c>
      <c r="AC651" s="31">
        <f t="shared" si="71"/>
        <v>0</v>
      </c>
      <c r="AD651" s="31">
        <f t="shared" si="72"/>
        <v>0</v>
      </c>
      <c r="AE651" s="31">
        <f t="shared" si="73"/>
        <v>0</v>
      </c>
      <c r="AF651" s="31">
        <f t="shared" si="74"/>
        <v>0</v>
      </c>
      <c r="AG651" s="31">
        <f t="shared" si="75"/>
        <v>0</v>
      </c>
      <c r="AH651" s="31">
        <f t="shared" si="76"/>
        <v>0</v>
      </c>
      <c r="AI651" s="11" t="s">
        <v>73</v>
      </c>
      <c r="AJ651" s="31">
        <f t="shared" si="77"/>
        <v>0</v>
      </c>
      <c r="AK651" s="31">
        <f t="shared" si="78"/>
        <v>0</v>
      </c>
      <c r="AL651" s="31">
        <f t="shared" si="79"/>
        <v>0</v>
      </c>
      <c r="AN651" s="31">
        <v>21</v>
      </c>
      <c r="AO651" s="31">
        <f>G651*0.680046705</f>
        <v>0</v>
      </c>
      <c r="AP651" s="31">
        <f>G651*(1-0.680046705)</f>
        <v>0</v>
      </c>
      <c r="AQ651" s="34" t="s">
        <v>101</v>
      </c>
      <c r="AV651" s="31">
        <f t="shared" si="80"/>
        <v>0</v>
      </c>
      <c r="AW651" s="31">
        <f t="shared" si="81"/>
        <v>0</v>
      </c>
      <c r="AX651" s="31">
        <f t="shared" si="82"/>
        <v>0</v>
      </c>
      <c r="AY651" s="34" t="s">
        <v>1168</v>
      </c>
      <c r="AZ651" s="34" t="s">
        <v>1001</v>
      </c>
      <c r="BA651" s="11" t="s">
        <v>1002</v>
      </c>
      <c r="BC651" s="31">
        <f t="shared" si="83"/>
        <v>0</v>
      </c>
      <c r="BD651" s="31">
        <f t="shared" si="84"/>
        <v>0</v>
      </c>
      <c r="BE651" s="31">
        <v>0</v>
      </c>
      <c r="BF651" s="31">
        <f>651</f>
        <v>651</v>
      </c>
      <c r="BH651" s="31">
        <f t="shared" si="85"/>
        <v>0</v>
      </c>
      <c r="BI651" s="31">
        <f t="shared" si="86"/>
        <v>0</v>
      </c>
      <c r="BJ651" s="31">
        <f t="shared" si="87"/>
        <v>0</v>
      </c>
      <c r="BK651" s="34" t="s">
        <v>64</v>
      </c>
      <c r="BL651" s="31">
        <v>725</v>
      </c>
      <c r="BW651" s="31">
        <v>21</v>
      </c>
      <c r="BX651" s="5" t="s">
        <v>1232</v>
      </c>
    </row>
    <row r="652" spans="1:76" ht="25.5" x14ac:dyDescent="0.25">
      <c r="A652" s="39" t="s">
        <v>1233</v>
      </c>
      <c r="B652" s="40" t="s">
        <v>240</v>
      </c>
      <c r="C652" s="135" t="s">
        <v>1234</v>
      </c>
      <c r="D652" s="136"/>
      <c r="E652" s="40" t="s">
        <v>81</v>
      </c>
      <c r="F652" s="42">
        <v>1</v>
      </c>
      <c r="G652" s="43">
        <v>0</v>
      </c>
      <c r="H652" s="42">
        <f t="shared" si="66"/>
        <v>0</v>
      </c>
      <c r="I652" s="42">
        <f t="shared" si="67"/>
        <v>0</v>
      </c>
      <c r="J652" s="42">
        <f t="shared" si="68"/>
        <v>0</v>
      </c>
      <c r="K652" s="44" t="s">
        <v>242</v>
      </c>
      <c r="Z652" s="31">
        <f t="shared" si="69"/>
        <v>0</v>
      </c>
      <c r="AB652" s="31">
        <f t="shared" si="70"/>
        <v>0</v>
      </c>
      <c r="AC652" s="31">
        <f t="shared" si="71"/>
        <v>0</v>
      </c>
      <c r="AD652" s="31">
        <f t="shared" si="72"/>
        <v>0</v>
      </c>
      <c r="AE652" s="31">
        <f t="shared" si="73"/>
        <v>0</v>
      </c>
      <c r="AF652" s="31">
        <f t="shared" si="74"/>
        <v>0</v>
      </c>
      <c r="AG652" s="31">
        <f t="shared" si="75"/>
        <v>0</v>
      </c>
      <c r="AH652" s="31">
        <f t="shared" si="76"/>
        <v>0</v>
      </c>
      <c r="AI652" s="11" t="s">
        <v>73</v>
      </c>
      <c r="AJ652" s="42">
        <f t="shared" si="77"/>
        <v>0</v>
      </c>
      <c r="AK652" s="42">
        <f t="shared" si="78"/>
        <v>0</v>
      </c>
      <c r="AL652" s="42">
        <f t="shared" si="79"/>
        <v>0</v>
      </c>
      <c r="AN652" s="31">
        <v>21</v>
      </c>
      <c r="AO652" s="31">
        <f>G652*1</f>
        <v>0</v>
      </c>
      <c r="AP652" s="31">
        <f>G652*(1-1)</f>
        <v>0</v>
      </c>
      <c r="AQ652" s="45" t="s">
        <v>101</v>
      </c>
      <c r="AV652" s="31">
        <f t="shared" si="80"/>
        <v>0</v>
      </c>
      <c r="AW652" s="31">
        <f t="shared" si="81"/>
        <v>0</v>
      </c>
      <c r="AX652" s="31">
        <f t="shared" si="82"/>
        <v>0</v>
      </c>
      <c r="AY652" s="34" t="s">
        <v>1168</v>
      </c>
      <c r="AZ652" s="34" t="s">
        <v>1001</v>
      </c>
      <c r="BA652" s="11" t="s">
        <v>1002</v>
      </c>
      <c r="BC652" s="31">
        <f t="shared" si="83"/>
        <v>0</v>
      </c>
      <c r="BD652" s="31">
        <f t="shared" si="84"/>
        <v>0</v>
      </c>
      <c r="BE652" s="31">
        <v>0</v>
      </c>
      <c r="BF652" s="31">
        <f>652</f>
        <v>652</v>
      </c>
      <c r="BH652" s="42">
        <f t="shared" si="85"/>
        <v>0</v>
      </c>
      <c r="BI652" s="42">
        <f t="shared" si="86"/>
        <v>0</v>
      </c>
      <c r="BJ652" s="42">
        <f t="shared" si="87"/>
        <v>0</v>
      </c>
      <c r="BK652" s="45" t="s">
        <v>70</v>
      </c>
      <c r="BL652" s="31">
        <v>725</v>
      </c>
      <c r="BW652" s="31">
        <v>21</v>
      </c>
      <c r="BX652" s="41" t="s">
        <v>1234</v>
      </c>
    </row>
    <row r="653" spans="1:76" x14ac:dyDescent="0.25">
      <c r="A653" s="2" t="s">
        <v>1235</v>
      </c>
      <c r="B653" s="3" t="s">
        <v>1236</v>
      </c>
      <c r="C653" s="112" t="s">
        <v>1237</v>
      </c>
      <c r="D653" s="107"/>
      <c r="E653" s="3" t="s">
        <v>1118</v>
      </c>
      <c r="F653" s="31">
        <v>1</v>
      </c>
      <c r="G653" s="32">
        <v>0</v>
      </c>
      <c r="H653" s="31">
        <f t="shared" si="66"/>
        <v>0</v>
      </c>
      <c r="I653" s="31">
        <f t="shared" si="67"/>
        <v>0</v>
      </c>
      <c r="J653" s="31">
        <f t="shared" si="68"/>
        <v>0</v>
      </c>
      <c r="K653" s="33" t="s">
        <v>60</v>
      </c>
      <c r="Z653" s="31">
        <f t="shared" si="69"/>
        <v>0</v>
      </c>
      <c r="AB653" s="31">
        <f t="shared" si="70"/>
        <v>0</v>
      </c>
      <c r="AC653" s="31">
        <f t="shared" si="71"/>
        <v>0</v>
      </c>
      <c r="AD653" s="31">
        <f t="shared" si="72"/>
        <v>0</v>
      </c>
      <c r="AE653" s="31">
        <f t="shared" si="73"/>
        <v>0</v>
      </c>
      <c r="AF653" s="31">
        <f t="shared" si="74"/>
        <v>0</v>
      </c>
      <c r="AG653" s="31">
        <f t="shared" si="75"/>
        <v>0</v>
      </c>
      <c r="AH653" s="31">
        <f t="shared" si="76"/>
        <v>0</v>
      </c>
      <c r="AI653" s="11" t="s">
        <v>73</v>
      </c>
      <c r="AJ653" s="31">
        <f t="shared" si="77"/>
        <v>0</v>
      </c>
      <c r="AK653" s="31">
        <f t="shared" si="78"/>
        <v>0</v>
      </c>
      <c r="AL653" s="31">
        <f t="shared" si="79"/>
        <v>0</v>
      </c>
      <c r="AN653" s="31">
        <v>21</v>
      </c>
      <c r="AO653" s="31">
        <f>G653*0.419240045</f>
        <v>0</v>
      </c>
      <c r="AP653" s="31">
        <f>G653*(1-0.419240045)</f>
        <v>0</v>
      </c>
      <c r="AQ653" s="34" t="s">
        <v>101</v>
      </c>
      <c r="AV653" s="31">
        <f t="shared" si="80"/>
        <v>0</v>
      </c>
      <c r="AW653" s="31">
        <f t="shared" si="81"/>
        <v>0</v>
      </c>
      <c r="AX653" s="31">
        <f t="shared" si="82"/>
        <v>0</v>
      </c>
      <c r="AY653" s="34" t="s">
        <v>1168</v>
      </c>
      <c r="AZ653" s="34" t="s">
        <v>1001</v>
      </c>
      <c r="BA653" s="11" t="s">
        <v>1002</v>
      </c>
      <c r="BC653" s="31">
        <f t="shared" si="83"/>
        <v>0</v>
      </c>
      <c r="BD653" s="31">
        <f t="shared" si="84"/>
        <v>0</v>
      </c>
      <c r="BE653" s="31">
        <v>0</v>
      </c>
      <c r="BF653" s="31">
        <f>653</f>
        <v>653</v>
      </c>
      <c r="BH653" s="31">
        <f t="shared" si="85"/>
        <v>0</v>
      </c>
      <c r="BI653" s="31">
        <f t="shared" si="86"/>
        <v>0</v>
      </c>
      <c r="BJ653" s="31">
        <f t="shared" si="87"/>
        <v>0</v>
      </c>
      <c r="BK653" s="34" t="s">
        <v>64</v>
      </c>
      <c r="BL653" s="31">
        <v>725</v>
      </c>
      <c r="BW653" s="31">
        <v>21</v>
      </c>
      <c r="BX653" s="5" t="s">
        <v>1237</v>
      </c>
    </row>
    <row r="654" spans="1:76" ht="25.5" x14ac:dyDescent="0.25">
      <c r="A654" s="39" t="s">
        <v>1238</v>
      </c>
      <c r="B654" s="40" t="s">
        <v>240</v>
      </c>
      <c r="C654" s="135" t="s">
        <v>1239</v>
      </c>
      <c r="D654" s="136"/>
      <c r="E654" s="40" t="s">
        <v>81</v>
      </c>
      <c r="F654" s="42">
        <v>1</v>
      </c>
      <c r="G654" s="43">
        <v>0</v>
      </c>
      <c r="H654" s="42">
        <f t="shared" si="66"/>
        <v>0</v>
      </c>
      <c r="I654" s="42">
        <f t="shared" si="67"/>
        <v>0</v>
      </c>
      <c r="J654" s="42">
        <f t="shared" si="68"/>
        <v>0</v>
      </c>
      <c r="K654" s="44" t="s">
        <v>242</v>
      </c>
      <c r="Z654" s="31">
        <f t="shared" si="69"/>
        <v>0</v>
      </c>
      <c r="AB654" s="31">
        <f t="shared" si="70"/>
        <v>0</v>
      </c>
      <c r="AC654" s="31">
        <f t="shared" si="71"/>
        <v>0</v>
      </c>
      <c r="AD654" s="31">
        <f t="shared" si="72"/>
        <v>0</v>
      </c>
      <c r="AE654" s="31">
        <f t="shared" si="73"/>
        <v>0</v>
      </c>
      <c r="AF654" s="31">
        <f t="shared" si="74"/>
        <v>0</v>
      </c>
      <c r="AG654" s="31">
        <f t="shared" si="75"/>
        <v>0</v>
      </c>
      <c r="AH654" s="31">
        <f t="shared" si="76"/>
        <v>0</v>
      </c>
      <c r="AI654" s="11" t="s">
        <v>73</v>
      </c>
      <c r="AJ654" s="42">
        <f t="shared" si="77"/>
        <v>0</v>
      </c>
      <c r="AK654" s="42">
        <f t="shared" si="78"/>
        <v>0</v>
      </c>
      <c r="AL654" s="42">
        <f t="shared" si="79"/>
        <v>0</v>
      </c>
      <c r="AN654" s="31">
        <v>21</v>
      </c>
      <c r="AO654" s="31">
        <f>G654*1</f>
        <v>0</v>
      </c>
      <c r="AP654" s="31">
        <f>G654*(1-1)</f>
        <v>0</v>
      </c>
      <c r="AQ654" s="45" t="s">
        <v>101</v>
      </c>
      <c r="AV654" s="31">
        <f t="shared" si="80"/>
        <v>0</v>
      </c>
      <c r="AW654" s="31">
        <f t="shared" si="81"/>
        <v>0</v>
      </c>
      <c r="AX654" s="31">
        <f t="shared" si="82"/>
        <v>0</v>
      </c>
      <c r="AY654" s="34" t="s">
        <v>1168</v>
      </c>
      <c r="AZ654" s="34" t="s">
        <v>1001</v>
      </c>
      <c r="BA654" s="11" t="s">
        <v>1002</v>
      </c>
      <c r="BC654" s="31">
        <f t="shared" si="83"/>
        <v>0</v>
      </c>
      <c r="BD654" s="31">
        <f t="shared" si="84"/>
        <v>0</v>
      </c>
      <c r="BE654" s="31">
        <v>0</v>
      </c>
      <c r="BF654" s="31">
        <f>654</f>
        <v>654</v>
      </c>
      <c r="BH654" s="42">
        <f t="shared" si="85"/>
        <v>0</v>
      </c>
      <c r="BI654" s="42">
        <f t="shared" si="86"/>
        <v>0</v>
      </c>
      <c r="BJ654" s="42">
        <f t="shared" si="87"/>
        <v>0</v>
      </c>
      <c r="BK654" s="45" t="s">
        <v>70</v>
      </c>
      <c r="BL654" s="31">
        <v>725</v>
      </c>
      <c r="BW654" s="31">
        <v>21</v>
      </c>
      <c r="BX654" s="41" t="s">
        <v>1239</v>
      </c>
    </row>
    <row r="655" spans="1:76" x14ac:dyDescent="0.25">
      <c r="A655" s="39" t="s">
        <v>1240</v>
      </c>
      <c r="B655" s="40" t="s">
        <v>1241</v>
      </c>
      <c r="C655" s="135" t="s">
        <v>1242</v>
      </c>
      <c r="D655" s="136"/>
      <c r="E655" s="40" t="s">
        <v>81</v>
      </c>
      <c r="F655" s="42">
        <v>1</v>
      </c>
      <c r="G655" s="43">
        <v>0</v>
      </c>
      <c r="H655" s="42">
        <f t="shared" si="66"/>
        <v>0</v>
      </c>
      <c r="I655" s="42">
        <f t="shared" si="67"/>
        <v>0</v>
      </c>
      <c r="J655" s="42">
        <f t="shared" si="68"/>
        <v>0</v>
      </c>
      <c r="K655" s="44" t="s">
        <v>60</v>
      </c>
      <c r="Z655" s="31">
        <f t="shared" si="69"/>
        <v>0</v>
      </c>
      <c r="AB655" s="31">
        <f t="shared" si="70"/>
        <v>0</v>
      </c>
      <c r="AC655" s="31">
        <f t="shared" si="71"/>
        <v>0</v>
      </c>
      <c r="AD655" s="31">
        <f t="shared" si="72"/>
        <v>0</v>
      </c>
      <c r="AE655" s="31">
        <f t="shared" si="73"/>
        <v>0</v>
      </c>
      <c r="AF655" s="31">
        <f t="shared" si="74"/>
        <v>0</v>
      </c>
      <c r="AG655" s="31">
        <f t="shared" si="75"/>
        <v>0</v>
      </c>
      <c r="AH655" s="31">
        <f t="shared" si="76"/>
        <v>0</v>
      </c>
      <c r="AI655" s="11" t="s">
        <v>73</v>
      </c>
      <c r="AJ655" s="42">
        <f t="shared" si="77"/>
        <v>0</v>
      </c>
      <c r="AK655" s="42">
        <f t="shared" si="78"/>
        <v>0</v>
      </c>
      <c r="AL655" s="42">
        <f t="shared" si="79"/>
        <v>0</v>
      </c>
      <c r="AN655" s="31">
        <v>21</v>
      </c>
      <c r="AO655" s="31">
        <f>G655*1</f>
        <v>0</v>
      </c>
      <c r="AP655" s="31">
        <f>G655*(1-1)</f>
        <v>0</v>
      </c>
      <c r="AQ655" s="45" t="s">
        <v>101</v>
      </c>
      <c r="AV655" s="31">
        <f t="shared" si="80"/>
        <v>0</v>
      </c>
      <c r="AW655" s="31">
        <f t="shared" si="81"/>
        <v>0</v>
      </c>
      <c r="AX655" s="31">
        <f t="shared" si="82"/>
        <v>0</v>
      </c>
      <c r="AY655" s="34" t="s">
        <v>1168</v>
      </c>
      <c r="AZ655" s="34" t="s">
        <v>1001</v>
      </c>
      <c r="BA655" s="11" t="s">
        <v>1002</v>
      </c>
      <c r="BC655" s="31">
        <f t="shared" si="83"/>
        <v>0</v>
      </c>
      <c r="BD655" s="31">
        <f t="shared" si="84"/>
        <v>0</v>
      </c>
      <c r="BE655" s="31">
        <v>0</v>
      </c>
      <c r="BF655" s="31">
        <f>655</f>
        <v>655</v>
      </c>
      <c r="BH655" s="42">
        <f t="shared" si="85"/>
        <v>0</v>
      </c>
      <c r="BI655" s="42">
        <f t="shared" si="86"/>
        <v>0</v>
      </c>
      <c r="BJ655" s="42">
        <f t="shared" si="87"/>
        <v>0</v>
      </c>
      <c r="BK655" s="45" t="s">
        <v>70</v>
      </c>
      <c r="BL655" s="31">
        <v>725</v>
      </c>
      <c r="BW655" s="31">
        <v>21</v>
      </c>
      <c r="BX655" s="41" t="s">
        <v>1242</v>
      </c>
    </row>
    <row r="656" spans="1:76" x14ac:dyDescent="0.25">
      <c r="A656" s="39" t="s">
        <v>1243</v>
      </c>
      <c r="B656" s="40" t="s">
        <v>240</v>
      </c>
      <c r="C656" s="135" t="s">
        <v>1244</v>
      </c>
      <c r="D656" s="136"/>
      <c r="E656" s="40" t="s">
        <v>81</v>
      </c>
      <c r="F656" s="42">
        <v>1</v>
      </c>
      <c r="G656" s="43">
        <v>0</v>
      </c>
      <c r="H656" s="42">
        <f t="shared" si="66"/>
        <v>0</v>
      </c>
      <c r="I656" s="42">
        <f t="shared" si="67"/>
        <v>0</v>
      </c>
      <c r="J656" s="42">
        <f t="shared" si="68"/>
        <v>0</v>
      </c>
      <c r="K656" s="44" t="s">
        <v>242</v>
      </c>
      <c r="Z656" s="31">
        <f t="shared" si="69"/>
        <v>0</v>
      </c>
      <c r="AB656" s="31">
        <f t="shared" si="70"/>
        <v>0</v>
      </c>
      <c r="AC656" s="31">
        <f t="shared" si="71"/>
        <v>0</v>
      </c>
      <c r="AD656" s="31">
        <f t="shared" si="72"/>
        <v>0</v>
      </c>
      <c r="AE656" s="31">
        <f t="shared" si="73"/>
        <v>0</v>
      </c>
      <c r="AF656" s="31">
        <f t="shared" si="74"/>
        <v>0</v>
      </c>
      <c r="AG656" s="31">
        <f t="shared" si="75"/>
        <v>0</v>
      </c>
      <c r="AH656" s="31">
        <f t="shared" si="76"/>
        <v>0</v>
      </c>
      <c r="AI656" s="11" t="s">
        <v>73</v>
      </c>
      <c r="AJ656" s="42">
        <f t="shared" si="77"/>
        <v>0</v>
      </c>
      <c r="AK656" s="42">
        <f t="shared" si="78"/>
        <v>0</v>
      </c>
      <c r="AL656" s="42">
        <f t="shared" si="79"/>
        <v>0</v>
      </c>
      <c r="AN656" s="31">
        <v>21</v>
      </c>
      <c r="AO656" s="31">
        <f>G656*1</f>
        <v>0</v>
      </c>
      <c r="AP656" s="31">
        <f>G656*(1-1)</f>
        <v>0</v>
      </c>
      <c r="AQ656" s="45" t="s">
        <v>101</v>
      </c>
      <c r="AV656" s="31">
        <f t="shared" si="80"/>
        <v>0</v>
      </c>
      <c r="AW656" s="31">
        <f t="shared" si="81"/>
        <v>0</v>
      </c>
      <c r="AX656" s="31">
        <f t="shared" si="82"/>
        <v>0</v>
      </c>
      <c r="AY656" s="34" t="s">
        <v>1168</v>
      </c>
      <c r="AZ656" s="34" t="s">
        <v>1001</v>
      </c>
      <c r="BA656" s="11" t="s">
        <v>1002</v>
      </c>
      <c r="BC656" s="31">
        <f t="shared" si="83"/>
        <v>0</v>
      </c>
      <c r="BD656" s="31">
        <f t="shared" si="84"/>
        <v>0</v>
      </c>
      <c r="BE656" s="31">
        <v>0</v>
      </c>
      <c r="BF656" s="31">
        <f>656</f>
        <v>656</v>
      </c>
      <c r="BH656" s="42">
        <f t="shared" si="85"/>
        <v>0</v>
      </c>
      <c r="BI656" s="42">
        <f t="shared" si="86"/>
        <v>0</v>
      </c>
      <c r="BJ656" s="42">
        <f t="shared" si="87"/>
        <v>0</v>
      </c>
      <c r="BK656" s="45" t="s">
        <v>70</v>
      </c>
      <c r="BL656" s="31">
        <v>725</v>
      </c>
      <c r="BW656" s="31">
        <v>21</v>
      </c>
      <c r="BX656" s="41" t="s">
        <v>1244</v>
      </c>
    </row>
    <row r="657" spans="1:76" x14ac:dyDescent="0.25">
      <c r="A657" s="2" t="s">
        <v>1245</v>
      </c>
      <c r="B657" s="3" t="s">
        <v>1246</v>
      </c>
      <c r="C657" s="112" t="s">
        <v>1247</v>
      </c>
      <c r="D657" s="107"/>
      <c r="E657" s="3" t="s">
        <v>1118</v>
      </c>
      <c r="F657" s="31">
        <v>1</v>
      </c>
      <c r="G657" s="32">
        <v>0</v>
      </c>
      <c r="H657" s="31">
        <f t="shared" si="66"/>
        <v>0</v>
      </c>
      <c r="I657" s="31">
        <f t="shared" si="67"/>
        <v>0</v>
      </c>
      <c r="J657" s="31">
        <f t="shared" si="68"/>
        <v>0</v>
      </c>
      <c r="K657" s="33" t="s">
        <v>60</v>
      </c>
      <c r="Z657" s="31">
        <f t="shared" si="69"/>
        <v>0</v>
      </c>
      <c r="AB657" s="31">
        <f t="shared" si="70"/>
        <v>0</v>
      </c>
      <c r="AC657" s="31">
        <f t="shared" si="71"/>
        <v>0</v>
      </c>
      <c r="AD657" s="31">
        <f t="shared" si="72"/>
        <v>0</v>
      </c>
      <c r="AE657" s="31">
        <f t="shared" si="73"/>
        <v>0</v>
      </c>
      <c r="AF657" s="31">
        <f t="shared" si="74"/>
        <v>0</v>
      </c>
      <c r="AG657" s="31">
        <f t="shared" si="75"/>
        <v>0</v>
      </c>
      <c r="AH657" s="31">
        <f t="shared" si="76"/>
        <v>0</v>
      </c>
      <c r="AI657" s="11" t="s">
        <v>73</v>
      </c>
      <c r="AJ657" s="31">
        <f t="shared" si="77"/>
        <v>0</v>
      </c>
      <c r="AK657" s="31">
        <f t="shared" si="78"/>
        <v>0</v>
      </c>
      <c r="AL657" s="31">
        <f t="shared" si="79"/>
        <v>0</v>
      </c>
      <c r="AN657" s="31">
        <v>21</v>
      </c>
      <c r="AO657" s="31">
        <f>G657*0.8721553</f>
        <v>0</v>
      </c>
      <c r="AP657" s="31">
        <f>G657*(1-0.8721553)</f>
        <v>0</v>
      </c>
      <c r="AQ657" s="34" t="s">
        <v>101</v>
      </c>
      <c r="AV657" s="31">
        <f t="shared" si="80"/>
        <v>0</v>
      </c>
      <c r="AW657" s="31">
        <f t="shared" si="81"/>
        <v>0</v>
      </c>
      <c r="AX657" s="31">
        <f t="shared" si="82"/>
        <v>0</v>
      </c>
      <c r="AY657" s="34" t="s">
        <v>1168</v>
      </c>
      <c r="AZ657" s="34" t="s">
        <v>1001</v>
      </c>
      <c r="BA657" s="11" t="s">
        <v>1002</v>
      </c>
      <c r="BC657" s="31">
        <f t="shared" si="83"/>
        <v>0</v>
      </c>
      <c r="BD657" s="31">
        <f t="shared" si="84"/>
        <v>0</v>
      </c>
      <c r="BE657" s="31">
        <v>0</v>
      </c>
      <c r="BF657" s="31">
        <f>657</f>
        <v>657</v>
      </c>
      <c r="BH657" s="31">
        <f t="shared" si="85"/>
        <v>0</v>
      </c>
      <c r="BI657" s="31">
        <f t="shared" si="86"/>
        <v>0</v>
      </c>
      <c r="BJ657" s="31">
        <f t="shared" si="87"/>
        <v>0</v>
      </c>
      <c r="BK657" s="34" t="s">
        <v>64</v>
      </c>
      <c r="BL657" s="31">
        <v>725</v>
      </c>
      <c r="BW657" s="31">
        <v>21</v>
      </c>
      <c r="BX657" s="5" t="s">
        <v>1247</v>
      </c>
    </row>
    <row r="658" spans="1:76" x14ac:dyDescent="0.25">
      <c r="A658" s="39" t="s">
        <v>1248</v>
      </c>
      <c r="B658" s="40" t="s">
        <v>240</v>
      </c>
      <c r="C658" s="135" t="s">
        <v>1244</v>
      </c>
      <c r="D658" s="136"/>
      <c r="E658" s="40" t="s">
        <v>81</v>
      </c>
      <c r="F658" s="42">
        <v>1</v>
      </c>
      <c r="G658" s="43">
        <v>0</v>
      </c>
      <c r="H658" s="42">
        <f t="shared" si="66"/>
        <v>0</v>
      </c>
      <c r="I658" s="42">
        <f t="shared" si="67"/>
        <v>0</v>
      </c>
      <c r="J658" s="42">
        <f t="shared" si="68"/>
        <v>0</v>
      </c>
      <c r="K658" s="44" t="s">
        <v>242</v>
      </c>
      <c r="Z658" s="31">
        <f t="shared" si="69"/>
        <v>0</v>
      </c>
      <c r="AB658" s="31">
        <f t="shared" si="70"/>
        <v>0</v>
      </c>
      <c r="AC658" s="31">
        <f t="shared" si="71"/>
        <v>0</v>
      </c>
      <c r="AD658" s="31">
        <f t="shared" si="72"/>
        <v>0</v>
      </c>
      <c r="AE658" s="31">
        <f t="shared" si="73"/>
        <v>0</v>
      </c>
      <c r="AF658" s="31">
        <f t="shared" si="74"/>
        <v>0</v>
      </c>
      <c r="AG658" s="31">
        <f t="shared" si="75"/>
        <v>0</v>
      </c>
      <c r="AH658" s="31">
        <f t="shared" si="76"/>
        <v>0</v>
      </c>
      <c r="AI658" s="11" t="s">
        <v>73</v>
      </c>
      <c r="AJ658" s="42">
        <f t="shared" si="77"/>
        <v>0</v>
      </c>
      <c r="AK658" s="42">
        <f t="shared" si="78"/>
        <v>0</v>
      </c>
      <c r="AL658" s="42">
        <f t="shared" si="79"/>
        <v>0</v>
      </c>
      <c r="AN658" s="31">
        <v>21</v>
      </c>
      <c r="AO658" s="31">
        <f>G658*1</f>
        <v>0</v>
      </c>
      <c r="AP658" s="31">
        <f>G658*(1-1)</f>
        <v>0</v>
      </c>
      <c r="AQ658" s="45" t="s">
        <v>101</v>
      </c>
      <c r="AV658" s="31">
        <f t="shared" si="80"/>
        <v>0</v>
      </c>
      <c r="AW658" s="31">
        <f t="shared" si="81"/>
        <v>0</v>
      </c>
      <c r="AX658" s="31">
        <f t="shared" si="82"/>
        <v>0</v>
      </c>
      <c r="AY658" s="34" t="s">
        <v>1168</v>
      </c>
      <c r="AZ658" s="34" t="s">
        <v>1001</v>
      </c>
      <c r="BA658" s="11" t="s">
        <v>1002</v>
      </c>
      <c r="BC658" s="31">
        <f t="shared" si="83"/>
        <v>0</v>
      </c>
      <c r="BD658" s="31">
        <f t="shared" si="84"/>
        <v>0</v>
      </c>
      <c r="BE658" s="31">
        <v>0</v>
      </c>
      <c r="BF658" s="31">
        <f>658</f>
        <v>658</v>
      </c>
      <c r="BH658" s="42">
        <f t="shared" si="85"/>
        <v>0</v>
      </c>
      <c r="BI658" s="42">
        <f t="shared" si="86"/>
        <v>0</v>
      </c>
      <c r="BJ658" s="42">
        <f t="shared" si="87"/>
        <v>0</v>
      </c>
      <c r="BK658" s="45" t="s">
        <v>70</v>
      </c>
      <c r="BL658" s="31">
        <v>725</v>
      </c>
      <c r="BW658" s="31">
        <v>21</v>
      </c>
      <c r="BX658" s="41" t="s">
        <v>1244</v>
      </c>
    </row>
    <row r="659" spans="1:76" x14ac:dyDescent="0.25">
      <c r="A659" s="2" t="s">
        <v>1249</v>
      </c>
      <c r="B659" s="3" t="s">
        <v>1250</v>
      </c>
      <c r="C659" s="112" t="s">
        <v>1251</v>
      </c>
      <c r="D659" s="107"/>
      <c r="E659" s="3" t="s">
        <v>81</v>
      </c>
      <c r="F659" s="31">
        <v>1</v>
      </c>
      <c r="G659" s="32">
        <v>0</v>
      </c>
      <c r="H659" s="31">
        <f t="shared" si="66"/>
        <v>0</v>
      </c>
      <c r="I659" s="31">
        <f t="shared" si="67"/>
        <v>0</v>
      </c>
      <c r="J659" s="31">
        <f t="shared" si="68"/>
        <v>0</v>
      </c>
      <c r="K659" s="33" t="s">
        <v>60</v>
      </c>
      <c r="Z659" s="31">
        <f t="shared" si="69"/>
        <v>0</v>
      </c>
      <c r="AB659" s="31">
        <f t="shared" si="70"/>
        <v>0</v>
      </c>
      <c r="AC659" s="31">
        <f t="shared" si="71"/>
        <v>0</v>
      </c>
      <c r="AD659" s="31">
        <f t="shared" si="72"/>
        <v>0</v>
      </c>
      <c r="AE659" s="31">
        <f t="shared" si="73"/>
        <v>0</v>
      </c>
      <c r="AF659" s="31">
        <f t="shared" si="74"/>
        <v>0</v>
      </c>
      <c r="AG659" s="31">
        <f t="shared" si="75"/>
        <v>0</v>
      </c>
      <c r="AH659" s="31">
        <f t="shared" si="76"/>
        <v>0</v>
      </c>
      <c r="AI659" s="11" t="s">
        <v>73</v>
      </c>
      <c r="AJ659" s="31">
        <f t="shared" si="77"/>
        <v>0</v>
      </c>
      <c r="AK659" s="31">
        <f t="shared" si="78"/>
        <v>0</v>
      </c>
      <c r="AL659" s="31">
        <f t="shared" si="79"/>
        <v>0</v>
      </c>
      <c r="AN659" s="31">
        <v>21</v>
      </c>
      <c r="AO659" s="31">
        <f>G659*0.295871985</f>
        <v>0</v>
      </c>
      <c r="AP659" s="31">
        <f>G659*(1-0.295871985)</f>
        <v>0</v>
      </c>
      <c r="AQ659" s="34" t="s">
        <v>101</v>
      </c>
      <c r="AV659" s="31">
        <f t="shared" si="80"/>
        <v>0</v>
      </c>
      <c r="AW659" s="31">
        <f t="shared" si="81"/>
        <v>0</v>
      </c>
      <c r="AX659" s="31">
        <f t="shared" si="82"/>
        <v>0</v>
      </c>
      <c r="AY659" s="34" t="s">
        <v>1168</v>
      </c>
      <c r="AZ659" s="34" t="s">
        <v>1001</v>
      </c>
      <c r="BA659" s="11" t="s">
        <v>1002</v>
      </c>
      <c r="BC659" s="31">
        <f t="shared" si="83"/>
        <v>0</v>
      </c>
      <c r="BD659" s="31">
        <f t="shared" si="84"/>
        <v>0</v>
      </c>
      <c r="BE659" s="31">
        <v>0</v>
      </c>
      <c r="BF659" s="31">
        <f>659</f>
        <v>659</v>
      </c>
      <c r="BH659" s="31">
        <f t="shared" si="85"/>
        <v>0</v>
      </c>
      <c r="BI659" s="31">
        <f t="shared" si="86"/>
        <v>0</v>
      </c>
      <c r="BJ659" s="31">
        <f t="shared" si="87"/>
        <v>0</v>
      </c>
      <c r="BK659" s="34" t="s">
        <v>64</v>
      </c>
      <c r="BL659" s="31">
        <v>725</v>
      </c>
      <c r="BW659" s="31">
        <v>21</v>
      </c>
      <c r="BX659" s="5" t="s">
        <v>1251</v>
      </c>
    </row>
    <row r="660" spans="1:76" x14ac:dyDescent="0.25">
      <c r="A660" s="39" t="s">
        <v>1252</v>
      </c>
      <c r="B660" s="40" t="s">
        <v>1253</v>
      </c>
      <c r="C660" s="135" t="s">
        <v>1254</v>
      </c>
      <c r="D660" s="136"/>
      <c r="E660" s="40" t="s">
        <v>81</v>
      </c>
      <c r="F660" s="42">
        <v>1</v>
      </c>
      <c r="G660" s="43">
        <v>0</v>
      </c>
      <c r="H660" s="42">
        <f t="shared" si="66"/>
        <v>0</v>
      </c>
      <c r="I660" s="42">
        <f t="shared" si="67"/>
        <v>0</v>
      </c>
      <c r="J660" s="42">
        <f t="shared" si="68"/>
        <v>0</v>
      </c>
      <c r="K660" s="44" t="s">
        <v>60</v>
      </c>
      <c r="Z660" s="31">
        <f t="shared" si="69"/>
        <v>0</v>
      </c>
      <c r="AB660" s="31">
        <f t="shared" si="70"/>
        <v>0</v>
      </c>
      <c r="AC660" s="31">
        <f t="shared" si="71"/>
        <v>0</v>
      </c>
      <c r="AD660" s="31">
        <f t="shared" si="72"/>
        <v>0</v>
      </c>
      <c r="AE660" s="31">
        <f t="shared" si="73"/>
        <v>0</v>
      </c>
      <c r="AF660" s="31">
        <f t="shared" si="74"/>
        <v>0</v>
      </c>
      <c r="AG660" s="31">
        <f t="shared" si="75"/>
        <v>0</v>
      </c>
      <c r="AH660" s="31">
        <f t="shared" si="76"/>
        <v>0</v>
      </c>
      <c r="AI660" s="11" t="s">
        <v>73</v>
      </c>
      <c r="AJ660" s="42">
        <f t="shared" si="77"/>
        <v>0</v>
      </c>
      <c r="AK660" s="42">
        <f t="shared" si="78"/>
        <v>0</v>
      </c>
      <c r="AL660" s="42">
        <f t="shared" si="79"/>
        <v>0</v>
      </c>
      <c r="AN660" s="31">
        <v>21</v>
      </c>
      <c r="AO660" s="31">
        <f>G660*1</f>
        <v>0</v>
      </c>
      <c r="AP660" s="31">
        <f>G660*(1-1)</f>
        <v>0</v>
      </c>
      <c r="AQ660" s="45" t="s">
        <v>101</v>
      </c>
      <c r="AV660" s="31">
        <f t="shared" si="80"/>
        <v>0</v>
      </c>
      <c r="AW660" s="31">
        <f t="shared" si="81"/>
        <v>0</v>
      </c>
      <c r="AX660" s="31">
        <f t="shared" si="82"/>
        <v>0</v>
      </c>
      <c r="AY660" s="34" t="s">
        <v>1168</v>
      </c>
      <c r="AZ660" s="34" t="s">
        <v>1001</v>
      </c>
      <c r="BA660" s="11" t="s">
        <v>1002</v>
      </c>
      <c r="BC660" s="31">
        <f t="shared" si="83"/>
        <v>0</v>
      </c>
      <c r="BD660" s="31">
        <f t="shared" si="84"/>
        <v>0</v>
      </c>
      <c r="BE660" s="31">
        <v>0</v>
      </c>
      <c r="BF660" s="31">
        <f>660</f>
        <v>660</v>
      </c>
      <c r="BH660" s="42">
        <f t="shared" si="85"/>
        <v>0</v>
      </c>
      <c r="BI660" s="42">
        <f t="shared" si="86"/>
        <v>0</v>
      </c>
      <c r="BJ660" s="42">
        <f t="shared" si="87"/>
        <v>0</v>
      </c>
      <c r="BK660" s="45" t="s">
        <v>70</v>
      </c>
      <c r="BL660" s="31">
        <v>725</v>
      </c>
      <c r="BW660" s="31">
        <v>21</v>
      </c>
      <c r="BX660" s="41" t="s">
        <v>1254</v>
      </c>
    </row>
    <row r="661" spans="1:76" x14ac:dyDescent="0.25">
      <c r="A661" s="39" t="s">
        <v>1255</v>
      </c>
      <c r="B661" s="40" t="s">
        <v>1256</v>
      </c>
      <c r="C661" s="135" t="s">
        <v>1257</v>
      </c>
      <c r="D661" s="136"/>
      <c r="E661" s="40" t="s">
        <v>81</v>
      </c>
      <c r="F661" s="42">
        <v>1</v>
      </c>
      <c r="G661" s="43">
        <v>0</v>
      </c>
      <c r="H661" s="42">
        <f t="shared" si="66"/>
        <v>0</v>
      </c>
      <c r="I661" s="42">
        <f t="shared" si="67"/>
        <v>0</v>
      </c>
      <c r="J661" s="42">
        <f t="shared" si="68"/>
        <v>0</v>
      </c>
      <c r="K661" s="44" t="s">
        <v>60</v>
      </c>
      <c r="Z661" s="31">
        <f t="shared" si="69"/>
        <v>0</v>
      </c>
      <c r="AB661" s="31">
        <f t="shared" si="70"/>
        <v>0</v>
      </c>
      <c r="AC661" s="31">
        <f t="shared" si="71"/>
        <v>0</v>
      </c>
      <c r="AD661" s="31">
        <f t="shared" si="72"/>
        <v>0</v>
      </c>
      <c r="AE661" s="31">
        <f t="shared" si="73"/>
        <v>0</v>
      </c>
      <c r="AF661" s="31">
        <f t="shared" si="74"/>
        <v>0</v>
      </c>
      <c r="AG661" s="31">
        <f t="shared" si="75"/>
        <v>0</v>
      </c>
      <c r="AH661" s="31">
        <f t="shared" si="76"/>
        <v>0</v>
      </c>
      <c r="AI661" s="11" t="s">
        <v>73</v>
      </c>
      <c r="AJ661" s="42">
        <f t="shared" si="77"/>
        <v>0</v>
      </c>
      <c r="AK661" s="42">
        <f t="shared" si="78"/>
        <v>0</v>
      </c>
      <c r="AL661" s="42">
        <f t="shared" si="79"/>
        <v>0</v>
      </c>
      <c r="AN661" s="31">
        <v>21</v>
      </c>
      <c r="AO661" s="31">
        <f>G661*1</f>
        <v>0</v>
      </c>
      <c r="AP661" s="31">
        <f>G661*(1-1)</f>
        <v>0</v>
      </c>
      <c r="AQ661" s="45" t="s">
        <v>101</v>
      </c>
      <c r="AV661" s="31">
        <f t="shared" si="80"/>
        <v>0</v>
      </c>
      <c r="AW661" s="31">
        <f t="shared" si="81"/>
        <v>0</v>
      </c>
      <c r="AX661" s="31">
        <f t="shared" si="82"/>
        <v>0</v>
      </c>
      <c r="AY661" s="34" t="s">
        <v>1168</v>
      </c>
      <c r="AZ661" s="34" t="s">
        <v>1001</v>
      </c>
      <c r="BA661" s="11" t="s">
        <v>1002</v>
      </c>
      <c r="BC661" s="31">
        <f t="shared" si="83"/>
        <v>0</v>
      </c>
      <c r="BD661" s="31">
        <f t="shared" si="84"/>
        <v>0</v>
      </c>
      <c r="BE661" s="31">
        <v>0</v>
      </c>
      <c r="BF661" s="31">
        <f>661</f>
        <v>661</v>
      </c>
      <c r="BH661" s="42">
        <f t="shared" si="85"/>
        <v>0</v>
      </c>
      <c r="BI661" s="42">
        <f t="shared" si="86"/>
        <v>0</v>
      </c>
      <c r="BJ661" s="42">
        <f t="shared" si="87"/>
        <v>0</v>
      </c>
      <c r="BK661" s="45" t="s">
        <v>70</v>
      </c>
      <c r="BL661" s="31">
        <v>725</v>
      </c>
      <c r="BW661" s="31">
        <v>21</v>
      </c>
      <c r="BX661" s="41" t="s">
        <v>1257</v>
      </c>
    </row>
    <row r="662" spans="1:76" x14ac:dyDescent="0.25">
      <c r="A662" s="2" t="s">
        <v>1258</v>
      </c>
      <c r="B662" s="3" t="s">
        <v>1259</v>
      </c>
      <c r="C662" s="112" t="s">
        <v>1260</v>
      </c>
      <c r="D662" s="107"/>
      <c r="E662" s="3" t="s">
        <v>81</v>
      </c>
      <c r="F662" s="31">
        <v>1</v>
      </c>
      <c r="G662" s="32">
        <v>0</v>
      </c>
      <c r="H662" s="31">
        <f t="shared" si="66"/>
        <v>0</v>
      </c>
      <c r="I662" s="31">
        <f t="shared" si="67"/>
        <v>0</v>
      </c>
      <c r="J662" s="31">
        <f t="shared" si="68"/>
        <v>0</v>
      </c>
      <c r="K662" s="33" t="s">
        <v>60</v>
      </c>
      <c r="Z662" s="31">
        <f t="shared" si="69"/>
        <v>0</v>
      </c>
      <c r="AB662" s="31">
        <f t="shared" si="70"/>
        <v>0</v>
      </c>
      <c r="AC662" s="31">
        <f t="shared" si="71"/>
        <v>0</v>
      </c>
      <c r="AD662" s="31">
        <f t="shared" si="72"/>
        <v>0</v>
      </c>
      <c r="AE662" s="31">
        <f t="shared" si="73"/>
        <v>0</v>
      </c>
      <c r="AF662" s="31">
        <f t="shared" si="74"/>
        <v>0</v>
      </c>
      <c r="AG662" s="31">
        <f t="shared" si="75"/>
        <v>0</v>
      </c>
      <c r="AH662" s="31">
        <f t="shared" si="76"/>
        <v>0</v>
      </c>
      <c r="AI662" s="11" t="s">
        <v>73</v>
      </c>
      <c r="AJ662" s="31">
        <f t="shared" si="77"/>
        <v>0</v>
      </c>
      <c r="AK662" s="31">
        <f t="shared" si="78"/>
        <v>0</v>
      </c>
      <c r="AL662" s="31">
        <f t="shared" si="79"/>
        <v>0</v>
      </c>
      <c r="AN662" s="31">
        <v>21</v>
      </c>
      <c r="AO662" s="31">
        <f>G662*0.342001142</f>
        <v>0</v>
      </c>
      <c r="AP662" s="31">
        <f>G662*(1-0.342001142)</f>
        <v>0</v>
      </c>
      <c r="AQ662" s="34" t="s">
        <v>101</v>
      </c>
      <c r="AV662" s="31">
        <f t="shared" si="80"/>
        <v>0</v>
      </c>
      <c r="AW662" s="31">
        <f t="shared" si="81"/>
        <v>0</v>
      </c>
      <c r="AX662" s="31">
        <f t="shared" si="82"/>
        <v>0</v>
      </c>
      <c r="AY662" s="34" t="s">
        <v>1168</v>
      </c>
      <c r="AZ662" s="34" t="s">
        <v>1001</v>
      </c>
      <c r="BA662" s="11" t="s">
        <v>1002</v>
      </c>
      <c r="BC662" s="31">
        <f t="shared" si="83"/>
        <v>0</v>
      </c>
      <c r="BD662" s="31">
        <f t="shared" si="84"/>
        <v>0</v>
      </c>
      <c r="BE662" s="31">
        <v>0</v>
      </c>
      <c r="BF662" s="31">
        <f>662</f>
        <v>662</v>
      </c>
      <c r="BH662" s="31">
        <f t="shared" si="85"/>
        <v>0</v>
      </c>
      <c r="BI662" s="31">
        <f t="shared" si="86"/>
        <v>0</v>
      </c>
      <c r="BJ662" s="31">
        <f t="shared" si="87"/>
        <v>0</v>
      </c>
      <c r="BK662" s="34" t="s">
        <v>64</v>
      </c>
      <c r="BL662" s="31">
        <v>725</v>
      </c>
      <c r="BW662" s="31">
        <v>21</v>
      </c>
      <c r="BX662" s="5" t="s">
        <v>1260</v>
      </c>
    </row>
    <row r="663" spans="1:76" x14ac:dyDescent="0.25">
      <c r="A663" s="35"/>
      <c r="C663" s="36" t="s">
        <v>56</v>
      </c>
      <c r="D663" s="36" t="s">
        <v>1261</v>
      </c>
      <c r="F663" s="37">
        <v>1</v>
      </c>
      <c r="K663" s="38"/>
    </row>
    <row r="664" spans="1:76" x14ac:dyDescent="0.25">
      <c r="A664" s="2" t="s">
        <v>1262</v>
      </c>
      <c r="B664" s="3" t="s">
        <v>1263</v>
      </c>
      <c r="C664" s="112" t="s">
        <v>1264</v>
      </c>
      <c r="D664" s="107"/>
      <c r="E664" s="3" t="s">
        <v>81</v>
      </c>
      <c r="F664" s="31">
        <v>1</v>
      </c>
      <c r="G664" s="32">
        <v>0</v>
      </c>
      <c r="H664" s="31">
        <f>ROUND(F664*AO664,2)</f>
        <v>0</v>
      </c>
      <c r="I664" s="31">
        <f>ROUND(F664*AP664,2)</f>
        <v>0</v>
      </c>
      <c r="J664" s="31">
        <f>ROUND(F664*G664,2)</f>
        <v>0</v>
      </c>
      <c r="K664" s="33" t="s">
        <v>60</v>
      </c>
      <c r="Z664" s="31">
        <f>ROUND(IF(AQ664="5",BJ664,0),2)</f>
        <v>0</v>
      </c>
      <c r="AB664" s="31">
        <f>ROUND(IF(AQ664="1",BH664,0),2)</f>
        <v>0</v>
      </c>
      <c r="AC664" s="31">
        <f>ROUND(IF(AQ664="1",BI664,0),2)</f>
        <v>0</v>
      </c>
      <c r="AD664" s="31">
        <f>ROUND(IF(AQ664="7",BH664,0),2)</f>
        <v>0</v>
      </c>
      <c r="AE664" s="31">
        <f>ROUND(IF(AQ664="7",BI664,0),2)</f>
        <v>0</v>
      </c>
      <c r="AF664" s="31">
        <f>ROUND(IF(AQ664="2",BH664,0),2)</f>
        <v>0</v>
      </c>
      <c r="AG664" s="31">
        <f>ROUND(IF(AQ664="2",BI664,0),2)</f>
        <v>0</v>
      </c>
      <c r="AH664" s="31">
        <f>ROUND(IF(AQ664="0",BJ664,0),2)</f>
        <v>0</v>
      </c>
      <c r="AI664" s="11" t="s">
        <v>73</v>
      </c>
      <c r="AJ664" s="31">
        <f>IF(AN664=0,J664,0)</f>
        <v>0</v>
      </c>
      <c r="AK664" s="31">
        <f>IF(AN664=12,J664,0)</f>
        <v>0</v>
      </c>
      <c r="AL664" s="31">
        <f>IF(AN664=21,J664,0)</f>
        <v>0</v>
      </c>
      <c r="AN664" s="31">
        <v>21</v>
      </c>
      <c r="AO664" s="31">
        <f>G664*0.824285714</f>
        <v>0</v>
      </c>
      <c r="AP664" s="31">
        <f>G664*(1-0.824285714)</f>
        <v>0</v>
      </c>
      <c r="AQ664" s="34" t="s">
        <v>101</v>
      </c>
      <c r="AV664" s="31">
        <f>ROUND(AW664+AX664,2)</f>
        <v>0</v>
      </c>
      <c r="AW664" s="31">
        <f>ROUND(F664*AO664,2)</f>
        <v>0</v>
      </c>
      <c r="AX664" s="31">
        <f>ROUND(F664*AP664,2)</f>
        <v>0</v>
      </c>
      <c r="AY664" s="34" t="s">
        <v>1168</v>
      </c>
      <c r="AZ664" s="34" t="s">
        <v>1001</v>
      </c>
      <c r="BA664" s="11" t="s">
        <v>1002</v>
      </c>
      <c r="BC664" s="31">
        <f>AW664+AX664</f>
        <v>0</v>
      </c>
      <c r="BD664" s="31">
        <f>G664/(100-BE664)*100</f>
        <v>0</v>
      </c>
      <c r="BE664" s="31">
        <v>0</v>
      </c>
      <c r="BF664" s="31">
        <f>664</f>
        <v>664</v>
      </c>
      <c r="BH664" s="31">
        <f>F664*AO664</f>
        <v>0</v>
      </c>
      <c r="BI664" s="31">
        <f>F664*AP664</f>
        <v>0</v>
      </c>
      <c r="BJ664" s="31">
        <f>F664*G664</f>
        <v>0</v>
      </c>
      <c r="BK664" s="34" t="s">
        <v>64</v>
      </c>
      <c r="BL664" s="31">
        <v>725</v>
      </c>
      <c r="BW664" s="31">
        <v>21</v>
      </c>
      <c r="BX664" s="5" t="s">
        <v>1264</v>
      </c>
    </row>
    <row r="665" spans="1:76" x14ac:dyDescent="0.25">
      <c r="A665" s="2" t="s">
        <v>1265</v>
      </c>
      <c r="B665" s="3" t="s">
        <v>1266</v>
      </c>
      <c r="C665" s="112" t="s">
        <v>1267</v>
      </c>
      <c r="D665" s="107"/>
      <c r="E665" s="3" t="s">
        <v>1118</v>
      </c>
      <c r="F665" s="31">
        <v>1</v>
      </c>
      <c r="G665" s="32">
        <v>0</v>
      </c>
      <c r="H665" s="31">
        <f>ROUND(F665*AO665,2)</f>
        <v>0</v>
      </c>
      <c r="I665" s="31">
        <f>ROUND(F665*AP665,2)</f>
        <v>0</v>
      </c>
      <c r="J665" s="31">
        <f>ROUND(F665*G665,2)</f>
        <v>0</v>
      </c>
      <c r="K665" s="33" t="s">
        <v>60</v>
      </c>
      <c r="Z665" s="31">
        <f>ROUND(IF(AQ665="5",BJ665,0),2)</f>
        <v>0</v>
      </c>
      <c r="AB665" s="31">
        <f>ROUND(IF(AQ665="1",BH665,0),2)</f>
        <v>0</v>
      </c>
      <c r="AC665" s="31">
        <f>ROUND(IF(AQ665="1",BI665,0),2)</f>
        <v>0</v>
      </c>
      <c r="AD665" s="31">
        <f>ROUND(IF(AQ665="7",BH665,0),2)</f>
        <v>0</v>
      </c>
      <c r="AE665" s="31">
        <f>ROUND(IF(AQ665="7",BI665,0),2)</f>
        <v>0</v>
      </c>
      <c r="AF665" s="31">
        <f>ROUND(IF(AQ665="2",BH665,0),2)</f>
        <v>0</v>
      </c>
      <c r="AG665" s="31">
        <f>ROUND(IF(AQ665="2",BI665,0),2)</f>
        <v>0</v>
      </c>
      <c r="AH665" s="31">
        <f>ROUND(IF(AQ665="0",BJ665,0),2)</f>
        <v>0</v>
      </c>
      <c r="AI665" s="11" t="s">
        <v>73</v>
      </c>
      <c r="AJ665" s="31">
        <f>IF(AN665=0,J665,0)</f>
        <v>0</v>
      </c>
      <c r="AK665" s="31">
        <f>IF(AN665=12,J665,0)</f>
        <v>0</v>
      </c>
      <c r="AL665" s="31">
        <f>IF(AN665=21,J665,0)</f>
        <v>0</v>
      </c>
      <c r="AN665" s="31">
        <v>21</v>
      </c>
      <c r="AO665" s="31">
        <f>G665*0.742799747</f>
        <v>0</v>
      </c>
      <c r="AP665" s="31">
        <f>G665*(1-0.742799747)</f>
        <v>0</v>
      </c>
      <c r="AQ665" s="34" t="s">
        <v>101</v>
      </c>
      <c r="AV665" s="31">
        <f>ROUND(AW665+AX665,2)</f>
        <v>0</v>
      </c>
      <c r="AW665" s="31">
        <f>ROUND(F665*AO665,2)</f>
        <v>0</v>
      </c>
      <c r="AX665" s="31">
        <f>ROUND(F665*AP665,2)</f>
        <v>0</v>
      </c>
      <c r="AY665" s="34" t="s">
        <v>1168</v>
      </c>
      <c r="AZ665" s="34" t="s">
        <v>1001</v>
      </c>
      <c r="BA665" s="11" t="s">
        <v>1002</v>
      </c>
      <c r="BC665" s="31">
        <f>AW665+AX665</f>
        <v>0</v>
      </c>
      <c r="BD665" s="31">
        <f>G665/(100-BE665)*100</f>
        <v>0</v>
      </c>
      <c r="BE665" s="31">
        <v>0</v>
      </c>
      <c r="BF665" s="31">
        <f>665</f>
        <v>665</v>
      </c>
      <c r="BH665" s="31">
        <f>F665*AO665</f>
        <v>0</v>
      </c>
      <c r="BI665" s="31">
        <f>F665*AP665</f>
        <v>0</v>
      </c>
      <c r="BJ665" s="31">
        <f>F665*G665</f>
        <v>0</v>
      </c>
      <c r="BK665" s="34" t="s">
        <v>64</v>
      </c>
      <c r="BL665" s="31">
        <v>725</v>
      </c>
      <c r="BW665" s="31">
        <v>21</v>
      </c>
      <c r="BX665" s="5" t="s">
        <v>1267</v>
      </c>
    </row>
    <row r="666" spans="1:76" x14ac:dyDescent="0.25">
      <c r="A666" s="2" t="s">
        <v>1268</v>
      </c>
      <c r="B666" s="3" t="s">
        <v>240</v>
      </c>
      <c r="C666" s="112" t="s">
        <v>1269</v>
      </c>
      <c r="D666" s="107"/>
      <c r="E666" s="3" t="s">
        <v>1118</v>
      </c>
      <c r="F666" s="31">
        <v>1</v>
      </c>
      <c r="G666" s="32">
        <v>0</v>
      </c>
      <c r="H666" s="31">
        <f>ROUND(F666*AO666,2)</f>
        <v>0</v>
      </c>
      <c r="I666" s="31">
        <f>ROUND(F666*AP666,2)</f>
        <v>0</v>
      </c>
      <c r="J666" s="31">
        <f>ROUND(F666*G666,2)</f>
        <v>0</v>
      </c>
      <c r="K666" s="33" t="s">
        <v>242</v>
      </c>
      <c r="Z666" s="31">
        <f>ROUND(IF(AQ666="5",BJ666,0),2)</f>
        <v>0</v>
      </c>
      <c r="AB666" s="31">
        <f>ROUND(IF(AQ666="1",BH666,0),2)</f>
        <v>0</v>
      </c>
      <c r="AC666" s="31">
        <f>ROUND(IF(AQ666="1",BI666,0),2)</f>
        <v>0</v>
      </c>
      <c r="AD666" s="31">
        <f>ROUND(IF(AQ666="7",BH666,0),2)</f>
        <v>0</v>
      </c>
      <c r="AE666" s="31">
        <f>ROUND(IF(AQ666="7",BI666,0),2)</f>
        <v>0</v>
      </c>
      <c r="AF666" s="31">
        <f>ROUND(IF(AQ666="2",BH666,0),2)</f>
        <v>0</v>
      </c>
      <c r="AG666" s="31">
        <f>ROUND(IF(AQ666="2",BI666,0),2)</f>
        <v>0</v>
      </c>
      <c r="AH666" s="31">
        <f>ROUND(IF(AQ666="0",BJ666,0),2)</f>
        <v>0</v>
      </c>
      <c r="AI666" s="11" t="s">
        <v>73</v>
      </c>
      <c r="AJ666" s="31">
        <f>IF(AN666=0,J666,0)</f>
        <v>0</v>
      </c>
      <c r="AK666" s="31">
        <f>IF(AN666=12,J666,0)</f>
        <v>0</v>
      </c>
      <c r="AL666" s="31">
        <f>IF(AN666=21,J666,0)</f>
        <v>0</v>
      </c>
      <c r="AN666" s="31">
        <v>21</v>
      </c>
      <c r="AO666" s="31">
        <f>G666*0.914980697</f>
        <v>0</v>
      </c>
      <c r="AP666" s="31">
        <f>G666*(1-0.914980697)</f>
        <v>0</v>
      </c>
      <c r="AQ666" s="34" t="s">
        <v>101</v>
      </c>
      <c r="AV666" s="31">
        <f>ROUND(AW666+AX666,2)</f>
        <v>0</v>
      </c>
      <c r="AW666" s="31">
        <f>ROUND(F666*AO666,2)</f>
        <v>0</v>
      </c>
      <c r="AX666" s="31">
        <f>ROUND(F666*AP666,2)</f>
        <v>0</v>
      </c>
      <c r="AY666" s="34" t="s">
        <v>1168</v>
      </c>
      <c r="AZ666" s="34" t="s">
        <v>1001</v>
      </c>
      <c r="BA666" s="11" t="s">
        <v>1002</v>
      </c>
      <c r="BC666" s="31">
        <f>AW666+AX666</f>
        <v>0</v>
      </c>
      <c r="BD666" s="31">
        <f>G666/(100-BE666)*100</f>
        <v>0</v>
      </c>
      <c r="BE666" s="31">
        <v>0</v>
      </c>
      <c r="BF666" s="31">
        <f>666</f>
        <v>666</v>
      </c>
      <c r="BH666" s="31">
        <f>F666*AO666</f>
        <v>0</v>
      </c>
      <c r="BI666" s="31">
        <f>F666*AP666</f>
        <v>0</v>
      </c>
      <c r="BJ666" s="31">
        <f>F666*G666</f>
        <v>0</v>
      </c>
      <c r="BK666" s="34" t="s">
        <v>64</v>
      </c>
      <c r="BL666" s="31">
        <v>725</v>
      </c>
      <c r="BW666" s="31">
        <v>21</v>
      </c>
      <c r="BX666" s="5" t="s">
        <v>1269</v>
      </c>
    </row>
    <row r="667" spans="1:76" x14ac:dyDescent="0.25">
      <c r="A667" s="2" t="s">
        <v>1270</v>
      </c>
      <c r="B667" s="3" t="s">
        <v>240</v>
      </c>
      <c r="C667" s="112" t="s">
        <v>1271</v>
      </c>
      <c r="D667" s="107"/>
      <c r="E667" s="3" t="s">
        <v>1118</v>
      </c>
      <c r="F667" s="31">
        <v>1</v>
      </c>
      <c r="G667" s="32">
        <v>0</v>
      </c>
      <c r="H667" s="31">
        <f>ROUND(F667*AO667,2)</f>
        <v>0</v>
      </c>
      <c r="I667" s="31">
        <f>ROUND(F667*AP667,2)</f>
        <v>0</v>
      </c>
      <c r="J667" s="31">
        <f>ROUND(F667*G667,2)</f>
        <v>0</v>
      </c>
      <c r="K667" s="33" t="s">
        <v>242</v>
      </c>
      <c r="Z667" s="31">
        <f>ROUND(IF(AQ667="5",BJ667,0),2)</f>
        <v>0</v>
      </c>
      <c r="AB667" s="31">
        <f>ROUND(IF(AQ667="1",BH667,0),2)</f>
        <v>0</v>
      </c>
      <c r="AC667" s="31">
        <f>ROUND(IF(AQ667="1",BI667,0),2)</f>
        <v>0</v>
      </c>
      <c r="AD667" s="31">
        <f>ROUND(IF(AQ667="7",BH667,0),2)</f>
        <v>0</v>
      </c>
      <c r="AE667" s="31">
        <f>ROUND(IF(AQ667="7",BI667,0),2)</f>
        <v>0</v>
      </c>
      <c r="AF667" s="31">
        <f>ROUND(IF(AQ667="2",BH667,0),2)</f>
        <v>0</v>
      </c>
      <c r="AG667" s="31">
        <f>ROUND(IF(AQ667="2",BI667,0),2)</f>
        <v>0</v>
      </c>
      <c r="AH667" s="31">
        <f>ROUND(IF(AQ667="0",BJ667,0),2)</f>
        <v>0</v>
      </c>
      <c r="AI667" s="11" t="s">
        <v>73</v>
      </c>
      <c r="AJ667" s="31">
        <f>IF(AN667=0,J667,0)</f>
        <v>0</v>
      </c>
      <c r="AK667" s="31">
        <f>IF(AN667=12,J667,0)</f>
        <v>0</v>
      </c>
      <c r="AL667" s="31">
        <f>IF(AN667=21,J667,0)</f>
        <v>0</v>
      </c>
      <c r="AN667" s="31">
        <v>21</v>
      </c>
      <c r="AO667" s="31">
        <f>G667*0.917870947</f>
        <v>0</v>
      </c>
      <c r="AP667" s="31">
        <f>G667*(1-0.917870947)</f>
        <v>0</v>
      </c>
      <c r="AQ667" s="34" t="s">
        <v>101</v>
      </c>
      <c r="AV667" s="31">
        <f>ROUND(AW667+AX667,2)</f>
        <v>0</v>
      </c>
      <c r="AW667" s="31">
        <f>ROUND(F667*AO667,2)</f>
        <v>0</v>
      </c>
      <c r="AX667" s="31">
        <f>ROUND(F667*AP667,2)</f>
        <v>0</v>
      </c>
      <c r="AY667" s="34" t="s">
        <v>1168</v>
      </c>
      <c r="AZ667" s="34" t="s">
        <v>1001</v>
      </c>
      <c r="BA667" s="11" t="s">
        <v>1002</v>
      </c>
      <c r="BC667" s="31">
        <f>AW667+AX667</f>
        <v>0</v>
      </c>
      <c r="BD667" s="31">
        <f>G667/(100-BE667)*100</f>
        <v>0</v>
      </c>
      <c r="BE667" s="31">
        <v>0</v>
      </c>
      <c r="BF667" s="31">
        <f>667</f>
        <v>667</v>
      </c>
      <c r="BH667" s="31">
        <f>F667*AO667</f>
        <v>0</v>
      </c>
      <c r="BI667" s="31">
        <f>F667*AP667</f>
        <v>0</v>
      </c>
      <c r="BJ667" s="31">
        <f>F667*G667</f>
        <v>0</v>
      </c>
      <c r="BK667" s="34" t="s">
        <v>64</v>
      </c>
      <c r="BL667" s="31">
        <v>725</v>
      </c>
      <c r="BW667" s="31">
        <v>21</v>
      </c>
      <c r="BX667" s="5" t="s">
        <v>1271</v>
      </c>
    </row>
    <row r="668" spans="1:76" x14ac:dyDescent="0.25">
      <c r="A668" s="2" t="s">
        <v>1272</v>
      </c>
      <c r="B668" s="3" t="s">
        <v>1273</v>
      </c>
      <c r="C668" s="112" t="s">
        <v>1274</v>
      </c>
      <c r="D668" s="107"/>
      <c r="E668" s="3" t="s">
        <v>81</v>
      </c>
      <c r="F668" s="31">
        <v>4</v>
      </c>
      <c r="G668" s="32">
        <v>0</v>
      </c>
      <c r="H668" s="31">
        <f>ROUND(F668*AO668,2)</f>
        <v>0</v>
      </c>
      <c r="I668" s="31">
        <f>ROUND(F668*AP668,2)</f>
        <v>0</v>
      </c>
      <c r="J668" s="31">
        <f>ROUND(F668*G668,2)</f>
        <v>0</v>
      </c>
      <c r="K668" s="33" t="s">
        <v>60</v>
      </c>
      <c r="Z668" s="31">
        <f>ROUND(IF(AQ668="5",BJ668,0),2)</f>
        <v>0</v>
      </c>
      <c r="AB668" s="31">
        <f>ROUND(IF(AQ668="1",BH668,0),2)</f>
        <v>0</v>
      </c>
      <c r="AC668" s="31">
        <f>ROUND(IF(AQ668="1",BI668,0),2)</f>
        <v>0</v>
      </c>
      <c r="AD668" s="31">
        <f>ROUND(IF(AQ668="7",BH668,0),2)</f>
        <v>0</v>
      </c>
      <c r="AE668" s="31">
        <f>ROUND(IF(AQ668="7",BI668,0),2)</f>
        <v>0</v>
      </c>
      <c r="AF668" s="31">
        <f>ROUND(IF(AQ668="2",BH668,0),2)</f>
        <v>0</v>
      </c>
      <c r="AG668" s="31">
        <f>ROUND(IF(AQ668="2",BI668,0),2)</f>
        <v>0</v>
      </c>
      <c r="AH668" s="31">
        <f>ROUND(IF(AQ668="0",BJ668,0),2)</f>
        <v>0</v>
      </c>
      <c r="AI668" s="11" t="s">
        <v>73</v>
      </c>
      <c r="AJ668" s="31">
        <f>IF(AN668=0,J668,0)</f>
        <v>0</v>
      </c>
      <c r="AK668" s="31">
        <f>IF(AN668=12,J668,0)</f>
        <v>0</v>
      </c>
      <c r="AL668" s="31">
        <f>IF(AN668=21,J668,0)</f>
        <v>0</v>
      </c>
      <c r="AN668" s="31">
        <v>21</v>
      </c>
      <c r="AO668" s="31">
        <f>G668*0.101509486</f>
        <v>0</v>
      </c>
      <c r="AP668" s="31">
        <f>G668*(1-0.101509486)</f>
        <v>0</v>
      </c>
      <c r="AQ668" s="34" t="s">
        <v>101</v>
      </c>
      <c r="AV668" s="31">
        <f>ROUND(AW668+AX668,2)</f>
        <v>0</v>
      </c>
      <c r="AW668" s="31">
        <f>ROUND(F668*AO668,2)</f>
        <v>0</v>
      </c>
      <c r="AX668" s="31">
        <f>ROUND(F668*AP668,2)</f>
        <v>0</v>
      </c>
      <c r="AY668" s="34" t="s">
        <v>1168</v>
      </c>
      <c r="AZ668" s="34" t="s">
        <v>1001</v>
      </c>
      <c r="BA668" s="11" t="s">
        <v>1002</v>
      </c>
      <c r="BC668" s="31">
        <f>AW668+AX668</f>
        <v>0</v>
      </c>
      <c r="BD668" s="31">
        <f>G668/(100-BE668)*100</f>
        <v>0</v>
      </c>
      <c r="BE668" s="31">
        <v>0</v>
      </c>
      <c r="BF668" s="31">
        <f>668</f>
        <v>668</v>
      </c>
      <c r="BH668" s="31">
        <f>F668*AO668</f>
        <v>0</v>
      </c>
      <c r="BI668" s="31">
        <f>F668*AP668</f>
        <v>0</v>
      </c>
      <c r="BJ668" s="31">
        <f>F668*G668</f>
        <v>0</v>
      </c>
      <c r="BK668" s="34" t="s">
        <v>64</v>
      </c>
      <c r="BL668" s="31">
        <v>725</v>
      </c>
      <c r="BW668" s="31">
        <v>21</v>
      </c>
      <c r="BX668" s="5" t="s">
        <v>1274</v>
      </c>
    </row>
    <row r="669" spans="1:76" x14ac:dyDescent="0.25">
      <c r="A669" s="35"/>
      <c r="C669" s="36" t="s">
        <v>1275</v>
      </c>
      <c r="D669" s="36" t="s">
        <v>1276</v>
      </c>
      <c r="F669" s="37">
        <v>4</v>
      </c>
      <c r="K669" s="38"/>
    </row>
    <row r="670" spans="1:76" x14ac:dyDescent="0.25">
      <c r="A670" s="39" t="s">
        <v>1277</v>
      </c>
      <c r="B670" s="40" t="s">
        <v>240</v>
      </c>
      <c r="C670" s="135" t="s">
        <v>1278</v>
      </c>
      <c r="D670" s="136"/>
      <c r="E670" s="40" t="s">
        <v>81</v>
      </c>
      <c r="F670" s="42">
        <v>2</v>
      </c>
      <c r="G670" s="43">
        <v>0</v>
      </c>
      <c r="H670" s="42">
        <f>ROUND(F670*AO670,2)</f>
        <v>0</v>
      </c>
      <c r="I670" s="42">
        <f>ROUND(F670*AP670,2)</f>
        <v>0</v>
      </c>
      <c r="J670" s="42">
        <f>ROUND(F670*G670,2)</f>
        <v>0</v>
      </c>
      <c r="K670" s="44" t="s">
        <v>242</v>
      </c>
      <c r="Z670" s="31">
        <f>ROUND(IF(AQ670="5",BJ670,0),2)</f>
        <v>0</v>
      </c>
      <c r="AB670" s="31">
        <f>ROUND(IF(AQ670="1",BH670,0),2)</f>
        <v>0</v>
      </c>
      <c r="AC670" s="31">
        <f>ROUND(IF(AQ670="1",BI670,0),2)</f>
        <v>0</v>
      </c>
      <c r="AD670" s="31">
        <f>ROUND(IF(AQ670="7",BH670,0),2)</f>
        <v>0</v>
      </c>
      <c r="AE670" s="31">
        <f>ROUND(IF(AQ670="7",BI670,0),2)</f>
        <v>0</v>
      </c>
      <c r="AF670" s="31">
        <f>ROUND(IF(AQ670="2",BH670,0),2)</f>
        <v>0</v>
      </c>
      <c r="AG670" s="31">
        <f>ROUND(IF(AQ670="2",BI670,0),2)</f>
        <v>0</v>
      </c>
      <c r="AH670" s="31">
        <f>ROUND(IF(AQ670="0",BJ670,0),2)</f>
        <v>0</v>
      </c>
      <c r="AI670" s="11" t="s">
        <v>73</v>
      </c>
      <c r="AJ670" s="42">
        <f>IF(AN670=0,J670,0)</f>
        <v>0</v>
      </c>
      <c r="AK670" s="42">
        <f>IF(AN670=12,J670,0)</f>
        <v>0</v>
      </c>
      <c r="AL670" s="42">
        <f>IF(AN670=21,J670,0)</f>
        <v>0</v>
      </c>
      <c r="AN670" s="31">
        <v>21</v>
      </c>
      <c r="AO670" s="31">
        <f>G670*1</f>
        <v>0</v>
      </c>
      <c r="AP670" s="31">
        <f>G670*(1-1)</f>
        <v>0</v>
      </c>
      <c r="AQ670" s="45" t="s">
        <v>101</v>
      </c>
      <c r="AV670" s="31">
        <f>ROUND(AW670+AX670,2)</f>
        <v>0</v>
      </c>
      <c r="AW670" s="31">
        <f>ROUND(F670*AO670,2)</f>
        <v>0</v>
      </c>
      <c r="AX670" s="31">
        <f>ROUND(F670*AP670,2)</f>
        <v>0</v>
      </c>
      <c r="AY670" s="34" t="s">
        <v>1168</v>
      </c>
      <c r="AZ670" s="34" t="s">
        <v>1001</v>
      </c>
      <c r="BA670" s="11" t="s">
        <v>1002</v>
      </c>
      <c r="BC670" s="31">
        <f>AW670+AX670</f>
        <v>0</v>
      </c>
      <c r="BD670" s="31">
        <f>G670/(100-BE670)*100</f>
        <v>0</v>
      </c>
      <c r="BE670" s="31">
        <v>0</v>
      </c>
      <c r="BF670" s="31">
        <f>670</f>
        <v>670</v>
      </c>
      <c r="BH670" s="42">
        <f>F670*AO670</f>
        <v>0</v>
      </c>
      <c r="BI670" s="42">
        <f>F670*AP670</f>
        <v>0</v>
      </c>
      <c r="BJ670" s="42">
        <f>F670*G670</f>
        <v>0</v>
      </c>
      <c r="BK670" s="45" t="s">
        <v>70</v>
      </c>
      <c r="BL670" s="31">
        <v>725</v>
      </c>
      <c r="BW670" s="31">
        <v>21</v>
      </c>
      <c r="BX670" s="41" t="s">
        <v>1278</v>
      </c>
    </row>
    <row r="671" spans="1:76" x14ac:dyDescent="0.25">
      <c r="A671" s="2" t="s">
        <v>1279</v>
      </c>
      <c r="B671" s="3" t="s">
        <v>1280</v>
      </c>
      <c r="C671" s="112" t="s">
        <v>1281</v>
      </c>
      <c r="D671" s="107"/>
      <c r="E671" s="3" t="s">
        <v>276</v>
      </c>
      <c r="F671" s="31">
        <v>0.28891</v>
      </c>
      <c r="G671" s="32">
        <v>0</v>
      </c>
      <c r="H671" s="31">
        <f>ROUND(F671*AO671,2)</f>
        <v>0</v>
      </c>
      <c r="I671" s="31">
        <f>ROUND(F671*AP671,2)</f>
        <v>0</v>
      </c>
      <c r="J671" s="31">
        <f>ROUND(F671*G671,2)</f>
        <v>0</v>
      </c>
      <c r="K671" s="33" t="s">
        <v>60</v>
      </c>
      <c r="Z671" s="31">
        <f>ROUND(IF(AQ671="5",BJ671,0),2)</f>
        <v>0</v>
      </c>
      <c r="AB671" s="31">
        <f>ROUND(IF(AQ671="1",BH671,0),2)</f>
        <v>0</v>
      </c>
      <c r="AC671" s="31">
        <f>ROUND(IF(AQ671="1",BI671,0),2)</f>
        <v>0</v>
      </c>
      <c r="AD671" s="31">
        <f>ROUND(IF(AQ671="7",BH671,0),2)</f>
        <v>0</v>
      </c>
      <c r="AE671" s="31">
        <f>ROUND(IF(AQ671="7",BI671,0),2)</f>
        <v>0</v>
      </c>
      <c r="AF671" s="31">
        <f>ROUND(IF(AQ671="2",BH671,0),2)</f>
        <v>0</v>
      </c>
      <c r="AG671" s="31">
        <f>ROUND(IF(AQ671="2",BI671,0),2)</f>
        <v>0</v>
      </c>
      <c r="AH671" s="31">
        <f>ROUND(IF(AQ671="0",BJ671,0),2)</f>
        <v>0</v>
      </c>
      <c r="AI671" s="11" t="s">
        <v>73</v>
      </c>
      <c r="AJ671" s="31">
        <f>IF(AN671=0,J671,0)</f>
        <v>0</v>
      </c>
      <c r="AK671" s="31">
        <f>IF(AN671=12,J671,0)</f>
        <v>0</v>
      </c>
      <c r="AL671" s="31">
        <f>IF(AN671=21,J671,0)</f>
        <v>0</v>
      </c>
      <c r="AN671" s="31">
        <v>21</v>
      </c>
      <c r="AO671" s="31">
        <f>G671*0</f>
        <v>0</v>
      </c>
      <c r="AP671" s="31">
        <f>G671*(1-0)</f>
        <v>0</v>
      </c>
      <c r="AQ671" s="34" t="s">
        <v>85</v>
      </c>
      <c r="AV671" s="31">
        <f>ROUND(AW671+AX671,2)</f>
        <v>0</v>
      </c>
      <c r="AW671" s="31">
        <f>ROUND(F671*AO671,2)</f>
        <v>0</v>
      </c>
      <c r="AX671" s="31">
        <f>ROUND(F671*AP671,2)</f>
        <v>0</v>
      </c>
      <c r="AY671" s="34" t="s">
        <v>1168</v>
      </c>
      <c r="AZ671" s="34" t="s">
        <v>1001</v>
      </c>
      <c r="BA671" s="11" t="s">
        <v>1002</v>
      </c>
      <c r="BC671" s="31">
        <f>AW671+AX671</f>
        <v>0</v>
      </c>
      <c r="BD671" s="31">
        <f>G671/(100-BE671)*100</f>
        <v>0</v>
      </c>
      <c r="BE671" s="31">
        <v>0</v>
      </c>
      <c r="BF671" s="31">
        <f>671</f>
        <v>671</v>
      </c>
      <c r="BH671" s="31">
        <f>F671*AO671</f>
        <v>0</v>
      </c>
      <c r="BI671" s="31">
        <f>F671*AP671</f>
        <v>0</v>
      </c>
      <c r="BJ671" s="31">
        <f>F671*G671</f>
        <v>0</v>
      </c>
      <c r="BK671" s="34" t="s">
        <v>64</v>
      </c>
      <c r="BL671" s="31">
        <v>725</v>
      </c>
      <c r="BW671" s="31">
        <v>21</v>
      </c>
      <c r="BX671" s="5" t="s">
        <v>1281</v>
      </c>
    </row>
    <row r="672" spans="1:76" x14ac:dyDescent="0.25">
      <c r="A672" s="26" t="s">
        <v>52</v>
      </c>
      <c r="B672" s="27" t="s">
        <v>344</v>
      </c>
      <c r="C672" s="133" t="s">
        <v>345</v>
      </c>
      <c r="D672" s="134"/>
      <c r="E672" s="28" t="s">
        <v>4</v>
      </c>
      <c r="F672" s="28" t="s">
        <v>4</v>
      </c>
      <c r="G672" s="29" t="s">
        <v>4</v>
      </c>
      <c r="H672" s="1">
        <f>SUM(H673:H673)</f>
        <v>0</v>
      </c>
      <c r="I672" s="1">
        <f>SUM(I673:I673)</f>
        <v>0</v>
      </c>
      <c r="J672" s="1">
        <f>SUM(J673:J673)</f>
        <v>0</v>
      </c>
      <c r="K672" s="30" t="s">
        <v>52</v>
      </c>
      <c r="AI672" s="11" t="s">
        <v>73</v>
      </c>
      <c r="AS672" s="1">
        <f>SUM(AJ673:AJ673)</f>
        <v>0</v>
      </c>
      <c r="AT672" s="1">
        <f>SUM(AK673:AK673)</f>
        <v>0</v>
      </c>
      <c r="AU672" s="1">
        <f>SUM(AL673:AL673)</f>
        <v>0</v>
      </c>
    </row>
    <row r="673" spans="1:76" x14ac:dyDescent="0.25">
      <c r="A673" s="2" t="s">
        <v>1282</v>
      </c>
      <c r="B673" s="3" t="s">
        <v>1283</v>
      </c>
      <c r="C673" s="112" t="s">
        <v>958</v>
      </c>
      <c r="D673" s="107"/>
      <c r="E673" s="3" t="s">
        <v>959</v>
      </c>
      <c r="F673" s="31">
        <v>2</v>
      </c>
      <c r="G673" s="32">
        <v>0</v>
      </c>
      <c r="H673" s="31">
        <f>ROUND(F673*AO673,2)</f>
        <v>0</v>
      </c>
      <c r="I673" s="31">
        <f>ROUND(F673*AP673,2)</f>
        <v>0</v>
      </c>
      <c r="J673" s="31">
        <f>ROUND(F673*G673,2)</f>
        <v>0</v>
      </c>
      <c r="K673" s="33" t="s">
        <v>60</v>
      </c>
      <c r="Z673" s="31">
        <f>ROUND(IF(AQ673="5",BJ673,0),2)</f>
        <v>0</v>
      </c>
      <c r="AB673" s="31">
        <f>ROUND(IF(AQ673="1",BH673,0),2)</f>
        <v>0</v>
      </c>
      <c r="AC673" s="31">
        <f>ROUND(IF(AQ673="1",BI673,0),2)</f>
        <v>0</v>
      </c>
      <c r="AD673" s="31">
        <f>ROUND(IF(AQ673="7",BH673,0),2)</f>
        <v>0</v>
      </c>
      <c r="AE673" s="31">
        <f>ROUND(IF(AQ673="7",BI673,0),2)</f>
        <v>0</v>
      </c>
      <c r="AF673" s="31">
        <f>ROUND(IF(AQ673="2",BH673,0),2)</f>
        <v>0</v>
      </c>
      <c r="AG673" s="31">
        <f>ROUND(IF(AQ673="2",BI673,0),2)</f>
        <v>0</v>
      </c>
      <c r="AH673" s="31">
        <f>ROUND(IF(AQ673="0",BJ673,0),2)</f>
        <v>0</v>
      </c>
      <c r="AI673" s="11" t="s">
        <v>73</v>
      </c>
      <c r="AJ673" s="31">
        <f>IF(AN673=0,J673,0)</f>
        <v>0</v>
      </c>
      <c r="AK673" s="31">
        <f>IF(AN673=12,J673,0)</f>
        <v>0</v>
      </c>
      <c r="AL673" s="31">
        <f>IF(AN673=21,J673,0)</f>
        <v>0</v>
      </c>
      <c r="AN673" s="31">
        <v>21</v>
      </c>
      <c r="AO673" s="31">
        <f>G673*0.098211382</f>
        <v>0</v>
      </c>
      <c r="AP673" s="31">
        <f>G673*(1-0.098211382)</f>
        <v>0</v>
      </c>
      <c r="AQ673" s="34" t="s">
        <v>101</v>
      </c>
      <c r="AV673" s="31">
        <f>ROUND(AW673+AX673,2)</f>
        <v>0</v>
      </c>
      <c r="AW673" s="31">
        <f>ROUND(F673*AO673,2)</f>
        <v>0</v>
      </c>
      <c r="AX673" s="31">
        <f>ROUND(F673*AP673,2)</f>
        <v>0</v>
      </c>
      <c r="AY673" s="34" t="s">
        <v>349</v>
      </c>
      <c r="AZ673" s="34" t="s">
        <v>1284</v>
      </c>
      <c r="BA673" s="11" t="s">
        <v>1002</v>
      </c>
      <c r="BC673" s="31">
        <f>AW673+AX673</f>
        <v>0</v>
      </c>
      <c r="BD673" s="31">
        <f>G673/(100-BE673)*100</f>
        <v>0</v>
      </c>
      <c r="BE673" s="31">
        <v>0</v>
      </c>
      <c r="BF673" s="31">
        <f>673</f>
        <v>673</v>
      </c>
      <c r="BH673" s="31">
        <f>F673*AO673</f>
        <v>0</v>
      </c>
      <c r="BI673" s="31">
        <f>F673*AP673</f>
        <v>0</v>
      </c>
      <c r="BJ673" s="31">
        <f>F673*G673</f>
        <v>0</v>
      </c>
      <c r="BK673" s="34" t="s">
        <v>64</v>
      </c>
      <c r="BL673" s="31">
        <v>767</v>
      </c>
      <c r="BW673" s="31">
        <v>21</v>
      </c>
      <c r="BX673" s="5" t="s">
        <v>958</v>
      </c>
    </row>
    <row r="674" spans="1:76" ht="13.5" customHeight="1" x14ac:dyDescent="0.25">
      <c r="A674" s="35"/>
      <c r="C674" s="137" t="s">
        <v>1285</v>
      </c>
      <c r="D674" s="138"/>
      <c r="E674" s="138"/>
      <c r="F674" s="138"/>
      <c r="G674" s="139"/>
      <c r="H674" s="138"/>
      <c r="I674" s="138"/>
      <c r="J674" s="138"/>
      <c r="K674" s="140"/>
    </row>
    <row r="675" spans="1:76" x14ac:dyDescent="0.25">
      <c r="A675" s="35"/>
      <c r="C675" s="36" t="s">
        <v>66</v>
      </c>
      <c r="D675" s="36" t="s">
        <v>1286</v>
      </c>
      <c r="F675" s="37">
        <v>2</v>
      </c>
      <c r="K675" s="38"/>
    </row>
    <row r="676" spans="1:76" x14ac:dyDescent="0.25">
      <c r="A676" s="26" t="s">
        <v>52</v>
      </c>
      <c r="B676" s="27" t="s">
        <v>580</v>
      </c>
      <c r="C676" s="133" t="s">
        <v>670</v>
      </c>
      <c r="D676" s="134"/>
      <c r="E676" s="28" t="s">
        <v>4</v>
      </c>
      <c r="F676" s="28" t="s">
        <v>4</v>
      </c>
      <c r="G676" s="29" t="s">
        <v>4</v>
      </c>
      <c r="H676" s="1">
        <f>SUM(H677:H684)</f>
        <v>0</v>
      </c>
      <c r="I676" s="1">
        <f>SUM(I677:I684)</f>
        <v>0</v>
      </c>
      <c r="J676" s="1">
        <f>SUM(J677:J684)</f>
        <v>0</v>
      </c>
      <c r="K676" s="30" t="s">
        <v>52</v>
      </c>
      <c r="AI676" s="11" t="s">
        <v>73</v>
      </c>
      <c r="AS676" s="1">
        <f>SUM(AJ677:AJ684)</f>
        <v>0</v>
      </c>
      <c r="AT676" s="1">
        <f>SUM(AK677:AK684)</f>
        <v>0</v>
      </c>
      <c r="AU676" s="1">
        <f>SUM(AL677:AL684)</f>
        <v>0</v>
      </c>
    </row>
    <row r="677" spans="1:76" x14ac:dyDescent="0.25">
      <c r="A677" s="2" t="s">
        <v>1287</v>
      </c>
      <c r="B677" s="3" t="s">
        <v>672</v>
      </c>
      <c r="C677" s="112" t="s">
        <v>1288</v>
      </c>
      <c r="D677" s="107"/>
      <c r="E677" s="3" t="s">
        <v>674</v>
      </c>
      <c r="F677" s="31">
        <v>2</v>
      </c>
      <c r="G677" s="32">
        <v>0</v>
      </c>
      <c r="H677" s="31">
        <f>ROUND(F677*AO677,2)</f>
        <v>0</v>
      </c>
      <c r="I677" s="31">
        <f>ROUND(F677*AP677,2)</f>
        <v>0</v>
      </c>
      <c r="J677" s="31">
        <f>ROUND(F677*G677,2)</f>
        <v>0</v>
      </c>
      <c r="K677" s="33" t="s">
        <v>60</v>
      </c>
      <c r="Z677" s="31">
        <f>ROUND(IF(AQ677="5",BJ677,0),2)</f>
        <v>0</v>
      </c>
      <c r="AB677" s="31">
        <f>ROUND(IF(AQ677="1",BH677,0),2)</f>
        <v>0</v>
      </c>
      <c r="AC677" s="31">
        <f>ROUND(IF(AQ677="1",BI677,0),2)</f>
        <v>0</v>
      </c>
      <c r="AD677" s="31">
        <f>ROUND(IF(AQ677="7",BH677,0),2)</f>
        <v>0</v>
      </c>
      <c r="AE677" s="31">
        <f>ROUND(IF(AQ677="7",BI677,0),2)</f>
        <v>0</v>
      </c>
      <c r="AF677" s="31">
        <f>ROUND(IF(AQ677="2",BH677,0),2)</f>
        <v>0</v>
      </c>
      <c r="AG677" s="31">
        <f>ROUND(IF(AQ677="2",BI677,0),2)</f>
        <v>0</v>
      </c>
      <c r="AH677" s="31">
        <f>ROUND(IF(AQ677="0",BJ677,0),2)</f>
        <v>0</v>
      </c>
      <c r="AI677" s="11" t="s">
        <v>73</v>
      </c>
      <c r="AJ677" s="31">
        <f>IF(AN677=0,J677,0)</f>
        <v>0</v>
      </c>
      <c r="AK677" s="31">
        <f>IF(AN677=12,J677,0)</f>
        <v>0</v>
      </c>
      <c r="AL677" s="31">
        <f>IF(AN677=21,J677,0)</f>
        <v>0</v>
      </c>
      <c r="AN677" s="31">
        <v>21</v>
      </c>
      <c r="AO677" s="31">
        <f>G677*0</f>
        <v>0</v>
      </c>
      <c r="AP677" s="31">
        <f>G677*(1-0)</f>
        <v>0</v>
      </c>
      <c r="AQ677" s="34" t="s">
        <v>56</v>
      </c>
      <c r="AV677" s="31">
        <f>ROUND(AW677+AX677,2)</f>
        <v>0</v>
      </c>
      <c r="AW677" s="31">
        <f>ROUND(F677*AO677,2)</f>
        <v>0</v>
      </c>
      <c r="AX677" s="31">
        <f>ROUND(F677*AP677,2)</f>
        <v>0</v>
      </c>
      <c r="AY677" s="34" t="s">
        <v>675</v>
      </c>
      <c r="AZ677" s="34" t="s">
        <v>1289</v>
      </c>
      <c r="BA677" s="11" t="s">
        <v>1002</v>
      </c>
      <c r="BC677" s="31">
        <f>AW677+AX677</f>
        <v>0</v>
      </c>
      <c r="BD677" s="31">
        <f>G677/(100-BE677)*100</f>
        <v>0</v>
      </c>
      <c r="BE677" s="31">
        <v>0</v>
      </c>
      <c r="BF677" s="31">
        <f>677</f>
        <v>677</v>
      </c>
      <c r="BH677" s="31">
        <f>F677*AO677</f>
        <v>0</v>
      </c>
      <c r="BI677" s="31">
        <f>F677*AP677</f>
        <v>0</v>
      </c>
      <c r="BJ677" s="31">
        <f>F677*G677</f>
        <v>0</v>
      </c>
      <c r="BK677" s="34" t="s">
        <v>64</v>
      </c>
      <c r="BL677" s="31">
        <v>90</v>
      </c>
      <c r="BW677" s="31">
        <v>21</v>
      </c>
      <c r="BX677" s="5" t="s">
        <v>1288</v>
      </c>
    </row>
    <row r="678" spans="1:76" x14ac:dyDescent="0.25">
      <c r="A678" s="35"/>
      <c r="C678" s="36" t="s">
        <v>1290</v>
      </c>
      <c r="D678" s="36" t="s">
        <v>52</v>
      </c>
      <c r="F678" s="37">
        <v>0</v>
      </c>
      <c r="K678" s="38"/>
    </row>
    <row r="679" spans="1:76" x14ac:dyDescent="0.25">
      <c r="A679" s="35"/>
      <c r="C679" s="36" t="s">
        <v>1291</v>
      </c>
      <c r="D679" s="36" t="s">
        <v>52</v>
      </c>
      <c r="F679" s="37">
        <v>2</v>
      </c>
      <c r="K679" s="38"/>
    </row>
    <row r="680" spans="1:76" x14ac:dyDescent="0.25">
      <c r="A680" s="2" t="s">
        <v>1292</v>
      </c>
      <c r="B680" s="3" t="s">
        <v>672</v>
      </c>
      <c r="C680" s="112" t="s">
        <v>1293</v>
      </c>
      <c r="D680" s="107"/>
      <c r="E680" s="3" t="s">
        <v>674</v>
      </c>
      <c r="F680" s="31">
        <v>6</v>
      </c>
      <c r="G680" s="32">
        <v>0</v>
      </c>
      <c r="H680" s="31">
        <f>ROUND(F680*AO680,2)</f>
        <v>0</v>
      </c>
      <c r="I680" s="31">
        <f>ROUND(F680*AP680,2)</f>
        <v>0</v>
      </c>
      <c r="J680" s="31">
        <f>ROUND(F680*G680,2)</f>
        <v>0</v>
      </c>
      <c r="K680" s="33" t="s">
        <v>60</v>
      </c>
      <c r="Z680" s="31">
        <f>ROUND(IF(AQ680="5",BJ680,0),2)</f>
        <v>0</v>
      </c>
      <c r="AB680" s="31">
        <f>ROUND(IF(AQ680="1",BH680,0),2)</f>
        <v>0</v>
      </c>
      <c r="AC680" s="31">
        <f>ROUND(IF(AQ680="1",BI680,0),2)</f>
        <v>0</v>
      </c>
      <c r="AD680" s="31">
        <f>ROUND(IF(AQ680="7",BH680,0),2)</f>
        <v>0</v>
      </c>
      <c r="AE680" s="31">
        <f>ROUND(IF(AQ680="7",BI680,0),2)</f>
        <v>0</v>
      </c>
      <c r="AF680" s="31">
        <f>ROUND(IF(AQ680="2",BH680,0),2)</f>
        <v>0</v>
      </c>
      <c r="AG680" s="31">
        <f>ROUND(IF(AQ680="2",BI680,0),2)</f>
        <v>0</v>
      </c>
      <c r="AH680" s="31">
        <f>ROUND(IF(AQ680="0",BJ680,0),2)</f>
        <v>0</v>
      </c>
      <c r="AI680" s="11" t="s">
        <v>73</v>
      </c>
      <c r="AJ680" s="31">
        <f>IF(AN680=0,J680,0)</f>
        <v>0</v>
      </c>
      <c r="AK680" s="31">
        <f>IF(AN680=12,J680,0)</f>
        <v>0</v>
      </c>
      <c r="AL680" s="31">
        <f>IF(AN680=21,J680,0)</f>
        <v>0</v>
      </c>
      <c r="AN680" s="31">
        <v>21</v>
      </c>
      <c r="AO680" s="31">
        <f>G680*0</f>
        <v>0</v>
      </c>
      <c r="AP680" s="31">
        <f>G680*(1-0)</f>
        <v>0</v>
      </c>
      <c r="AQ680" s="34" t="s">
        <v>56</v>
      </c>
      <c r="AV680" s="31">
        <f>ROUND(AW680+AX680,2)</f>
        <v>0</v>
      </c>
      <c r="AW680" s="31">
        <f>ROUND(F680*AO680,2)</f>
        <v>0</v>
      </c>
      <c r="AX680" s="31">
        <f>ROUND(F680*AP680,2)</f>
        <v>0</v>
      </c>
      <c r="AY680" s="34" t="s">
        <v>675</v>
      </c>
      <c r="AZ680" s="34" t="s">
        <v>1289</v>
      </c>
      <c r="BA680" s="11" t="s">
        <v>1002</v>
      </c>
      <c r="BC680" s="31">
        <f>AW680+AX680</f>
        <v>0</v>
      </c>
      <c r="BD680" s="31">
        <f>G680/(100-BE680)*100</f>
        <v>0</v>
      </c>
      <c r="BE680" s="31">
        <v>0</v>
      </c>
      <c r="BF680" s="31">
        <f>680</f>
        <v>680</v>
      </c>
      <c r="BH680" s="31">
        <f>F680*AO680</f>
        <v>0</v>
      </c>
      <c r="BI680" s="31">
        <f>F680*AP680</f>
        <v>0</v>
      </c>
      <c r="BJ680" s="31">
        <f>F680*G680</f>
        <v>0</v>
      </c>
      <c r="BK680" s="34" t="s">
        <v>64</v>
      </c>
      <c r="BL680" s="31">
        <v>90</v>
      </c>
      <c r="BW680" s="31">
        <v>21</v>
      </c>
      <c r="BX680" s="5" t="s">
        <v>1293</v>
      </c>
    </row>
    <row r="681" spans="1:76" x14ac:dyDescent="0.25">
      <c r="A681" s="35"/>
      <c r="C681" s="36" t="s">
        <v>1294</v>
      </c>
      <c r="D681" s="36" t="s">
        <v>52</v>
      </c>
      <c r="F681" s="37">
        <v>0</v>
      </c>
      <c r="K681" s="38"/>
    </row>
    <row r="682" spans="1:76" x14ac:dyDescent="0.25">
      <c r="A682" s="35"/>
      <c r="C682" s="36" t="s">
        <v>1295</v>
      </c>
      <c r="D682" s="36" t="s">
        <v>52</v>
      </c>
      <c r="F682" s="37">
        <v>6</v>
      </c>
      <c r="K682" s="38"/>
    </row>
    <row r="683" spans="1:76" x14ac:dyDescent="0.25">
      <c r="A683" s="39" t="s">
        <v>1296</v>
      </c>
      <c r="B683" s="40" t="s">
        <v>240</v>
      </c>
      <c r="C683" s="135" t="s">
        <v>1297</v>
      </c>
      <c r="D683" s="136"/>
      <c r="E683" s="40" t="s">
        <v>81</v>
      </c>
      <c r="F683" s="42">
        <v>1</v>
      </c>
      <c r="G683" s="43">
        <v>0</v>
      </c>
      <c r="H683" s="42">
        <f>ROUND(F683*AO683,2)</f>
        <v>0</v>
      </c>
      <c r="I683" s="42">
        <f>ROUND(F683*AP683,2)</f>
        <v>0</v>
      </c>
      <c r="J683" s="42">
        <f>ROUND(F683*G683,2)</f>
        <v>0</v>
      </c>
      <c r="K683" s="44" t="s">
        <v>242</v>
      </c>
      <c r="Z683" s="31">
        <f>ROUND(IF(AQ683="5",BJ683,0),2)</f>
        <v>0</v>
      </c>
      <c r="AB683" s="31">
        <f>ROUND(IF(AQ683="1",BH683,0),2)</f>
        <v>0</v>
      </c>
      <c r="AC683" s="31">
        <f>ROUND(IF(AQ683="1",BI683,0),2)</f>
        <v>0</v>
      </c>
      <c r="AD683" s="31">
        <f>ROUND(IF(AQ683="7",BH683,0),2)</f>
        <v>0</v>
      </c>
      <c r="AE683" s="31">
        <f>ROUND(IF(AQ683="7",BI683,0),2)</f>
        <v>0</v>
      </c>
      <c r="AF683" s="31">
        <f>ROUND(IF(AQ683="2",BH683,0),2)</f>
        <v>0</v>
      </c>
      <c r="AG683" s="31">
        <f>ROUND(IF(AQ683="2",BI683,0),2)</f>
        <v>0</v>
      </c>
      <c r="AH683" s="31">
        <f>ROUND(IF(AQ683="0",BJ683,0),2)</f>
        <v>0</v>
      </c>
      <c r="AI683" s="11" t="s">
        <v>73</v>
      </c>
      <c r="AJ683" s="42">
        <f>IF(AN683=0,J683,0)</f>
        <v>0</v>
      </c>
      <c r="AK683" s="42">
        <f>IF(AN683=12,J683,0)</f>
        <v>0</v>
      </c>
      <c r="AL683" s="42">
        <f>IF(AN683=21,J683,0)</f>
        <v>0</v>
      </c>
      <c r="AN683" s="31">
        <v>21</v>
      </c>
      <c r="AO683" s="31">
        <f>G683*1</f>
        <v>0</v>
      </c>
      <c r="AP683" s="31">
        <f>G683*(1-1)</f>
        <v>0</v>
      </c>
      <c r="AQ683" s="45" t="s">
        <v>56</v>
      </c>
      <c r="AV683" s="31">
        <f>ROUND(AW683+AX683,2)</f>
        <v>0</v>
      </c>
      <c r="AW683" s="31">
        <f>ROUND(F683*AO683,2)</f>
        <v>0</v>
      </c>
      <c r="AX683" s="31">
        <f>ROUND(F683*AP683,2)</f>
        <v>0</v>
      </c>
      <c r="AY683" s="34" t="s">
        <v>675</v>
      </c>
      <c r="AZ683" s="34" t="s">
        <v>1289</v>
      </c>
      <c r="BA683" s="11" t="s">
        <v>1002</v>
      </c>
      <c r="BC683" s="31">
        <f>AW683+AX683</f>
        <v>0</v>
      </c>
      <c r="BD683" s="31">
        <f>G683/(100-BE683)*100</f>
        <v>0</v>
      </c>
      <c r="BE683" s="31">
        <v>0</v>
      </c>
      <c r="BF683" s="31">
        <f>683</f>
        <v>683</v>
      </c>
      <c r="BH683" s="42">
        <f>F683*AO683</f>
        <v>0</v>
      </c>
      <c r="BI683" s="42">
        <f>F683*AP683</f>
        <v>0</v>
      </c>
      <c r="BJ683" s="42">
        <f>F683*G683</f>
        <v>0</v>
      </c>
      <c r="BK683" s="45" t="s">
        <v>70</v>
      </c>
      <c r="BL683" s="31">
        <v>90</v>
      </c>
      <c r="BW683" s="31">
        <v>21</v>
      </c>
      <c r="BX683" s="41" t="s">
        <v>1297</v>
      </c>
    </row>
    <row r="684" spans="1:76" ht="25.5" x14ac:dyDescent="0.25">
      <c r="A684" s="39" t="s">
        <v>1298</v>
      </c>
      <c r="B684" s="40" t="s">
        <v>240</v>
      </c>
      <c r="C684" s="135" t="s">
        <v>1299</v>
      </c>
      <c r="D684" s="136"/>
      <c r="E684" s="40" t="s">
        <v>81</v>
      </c>
      <c r="F684" s="42">
        <v>1</v>
      </c>
      <c r="G684" s="43">
        <v>0</v>
      </c>
      <c r="H684" s="42">
        <f>ROUND(F684*AO684,2)</f>
        <v>0</v>
      </c>
      <c r="I684" s="42">
        <f>ROUND(F684*AP684,2)</f>
        <v>0</v>
      </c>
      <c r="J684" s="42">
        <f>ROUND(F684*G684,2)</f>
        <v>0</v>
      </c>
      <c r="K684" s="44" t="s">
        <v>242</v>
      </c>
      <c r="Z684" s="31">
        <f>ROUND(IF(AQ684="5",BJ684,0),2)</f>
        <v>0</v>
      </c>
      <c r="AB684" s="31">
        <f>ROUND(IF(AQ684="1",BH684,0),2)</f>
        <v>0</v>
      </c>
      <c r="AC684" s="31">
        <f>ROUND(IF(AQ684="1",BI684,0),2)</f>
        <v>0</v>
      </c>
      <c r="AD684" s="31">
        <f>ROUND(IF(AQ684="7",BH684,0),2)</f>
        <v>0</v>
      </c>
      <c r="AE684" s="31">
        <f>ROUND(IF(AQ684="7",BI684,0),2)</f>
        <v>0</v>
      </c>
      <c r="AF684" s="31">
        <f>ROUND(IF(AQ684="2",BH684,0),2)</f>
        <v>0</v>
      </c>
      <c r="AG684" s="31">
        <f>ROUND(IF(AQ684="2",BI684,0),2)</f>
        <v>0</v>
      </c>
      <c r="AH684" s="31">
        <f>ROUND(IF(AQ684="0",BJ684,0),2)</f>
        <v>0</v>
      </c>
      <c r="AI684" s="11" t="s">
        <v>73</v>
      </c>
      <c r="AJ684" s="42">
        <f>IF(AN684=0,J684,0)</f>
        <v>0</v>
      </c>
      <c r="AK684" s="42">
        <f>IF(AN684=12,J684,0)</f>
        <v>0</v>
      </c>
      <c r="AL684" s="42">
        <f>IF(AN684=21,J684,0)</f>
        <v>0</v>
      </c>
      <c r="AN684" s="31">
        <v>21</v>
      </c>
      <c r="AO684" s="31">
        <f>G684*1</f>
        <v>0</v>
      </c>
      <c r="AP684" s="31">
        <f>G684*(1-1)</f>
        <v>0</v>
      </c>
      <c r="AQ684" s="45" t="s">
        <v>56</v>
      </c>
      <c r="AV684" s="31">
        <f>ROUND(AW684+AX684,2)</f>
        <v>0</v>
      </c>
      <c r="AW684" s="31">
        <f>ROUND(F684*AO684,2)</f>
        <v>0</v>
      </c>
      <c r="AX684" s="31">
        <f>ROUND(F684*AP684,2)</f>
        <v>0</v>
      </c>
      <c r="AY684" s="34" t="s">
        <v>675</v>
      </c>
      <c r="AZ684" s="34" t="s">
        <v>1289</v>
      </c>
      <c r="BA684" s="11" t="s">
        <v>1002</v>
      </c>
      <c r="BC684" s="31">
        <f>AW684+AX684</f>
        <v>0</v>
      </c>
      <c r="BD684" s="31">
        <f>G684/(100-BE684)*100</f>
        <v>0</v>
      </c>
      <c r="BE684" s="31">
        <v>0</v>
      </c>
      <c r="BF684" s="31">
        <f>684</f>
        <v>684</v>
      </c>
      <c r="BH684" s="42">
        <f>F684*AO684</f>
        <v>0</v>
      </c>
      <c r="BI684" s="42">
        <f>F684*AP684</f>
        <v>0</v>
      </c>
      <c r="BJ684" s="42">
        <f>F684*G684</f>
        <v>0</v>
      </c>
      <c r="BK684" s="45" t="s">
        <v>70</v>
      </c>
      <c r="BL684" s="31">
        <v>90</v>
      </c>
      <c r="BW684" s="31">
        <v>21</v>
      </c>
      <c r="BX684" s="41" t="s">
        <v>1299</v>
      </c>
    </row>
    <row r="685" spans="1:76" x14ac:dyDescent="0.25">
      <c r="A685" s="26" t="s">
        <v>52</v>
      </c>
      <c r="B685" s="27" t="s">
        <v>605</v>
      </c>
      <c r="C685" s="133" t="s">
        <v>688</v>
      </c>
      <c r="D685" s="134"/>
      <c r="E685" s="28" t="s">
        <v>4</v>
      </c>
      <c r="F685" s="28" t="s">
        <v>4</v>
      </c>
      <c r="G685" s="29" t="s">
        <v>4</v>
      </c>
      <c r="H685" s="1">
        <f>SUM(H686:H686)</f>
        <v>0</v>
      </c>
      <c r="I685" s="1">
        <f>SUM(I686:I686)</f>
        <v>0</v>
      </c>
      <c r="J685" s="1">
        <f>SUM(J686:J686)</f>
        <v>0</v>
      </c>
      <c r="K685" s="30" t="s">
        <v>52</v>
      </c>
      <c r="AI685" s="11" t="s">
        <v>73</v>
      </c>
      <c r="AS685" s="1">
        <f>SUM(AJ686:AJ686)</f>
        <v>0</v>
      </c>
      <c r="AT685" s="1">
        <f>SUM(AK686:AK686)</f>
        <v>0</v>
      </c>
      <c r="AU685" s="1">
        <f>SUM(AL686:AL686)</f>
        <v>0</v>
      </c>
    </row>
    <row r="686" spans="1:76" x14ac:dyDescent="0.25">
      <c r="A686" s="2" t="s">
        <v>1300</v>
      </c>
      <c r="B686" s="3" t="s">
        <v>976</v>
      </c>
      <c r="C686" s="112" t="s">
        <v>977</v>
      </c>
      <c r="D686" s="107"/>
      <c r="E686" s="3" t="s">
        <v>59</v>
      </c>
      <c r="F686" s="31">
        <v>1.2</v>
      </c>
      <c r="G686" s="32">
        <v>0</v>
      </c>
      <c r="H686" s="31">
        <f>ROUND(F686*AO686,2)</f>
        <v>0</v>
      </c>
      <c r="I686" s="31">
        <f>ROUND(F686*AP686,2)</f>
        <v>0</v>
      </c>
      <c r="J686" s="31">
        <f>ROUND(F686*G686,2)</f>
        <v>0</v>
      </c>
      <c r="K686" s="33" t="s">
        <v>60</v>
      </c>
      <c r="Z686" s="31">
        <f>ROUND(IF(AQ686="5",BJ686,0),2)</f>
        <v>0</v>
      </c>
      <c r="AB686" s="31">
        <f>ROUND(IF(AQ686="1",BH686,0),2)</f>
        <v>0</v>
      </c>
      <c r="AC686" s="31">
        <f>ROUND(IF(AQ686="1",BI686,0),2)</f>
        <v>0</v>
      </c>
      <c r="AD686" s="31">
        <f>ROUND(IF(AQ686="7",BH686,0),2)</f>
        <v>0</v>
      </c>
      <c r="AE686" s="31">
        <f>ROUND(IF(AQ686="7",BI686,0),2)</f>
        <v>0</v>
      </c>
      <c r="AF686" s="31">
        <f>ROUND(IF(AQ686="2",BH686,0),2)</f>
        <v>0</v>
      </c>
      <c r="AG686" s="31">
        <f>ROUND(IF(AQ686="2",BI686,0),2)</f>
        <v>0</v>
      </c>
      <c r="AH686" s="31">
        <f>ROUND(IF(AQ686="0",BJ686,0),2)</f>
        <v>0</v>
      </c>
      <c r="AI686" s="11" t="s">
        <v>73</v>
      </c>
      <c r="AJ686" s="31">
        <f>IF(AN686=0,J686,0)</f>
        <v>0</v>
      </c>
      <c r="AK686" s="31">
        <f>IF(AN686=12,J686,0)</f>
        <v>0</v>
      </c>
      <c r="AL686" s="31">
        <f>IF(AN686=21,J686,0)</f>
        <v>0</v>
      </c>
      <c r="AN686" s="31">
        <v>21</v>
      </c>
      <c r="AO686" s="31">
        <f>G686*0.309857664</f>
        <v>0</v>
      </c>
      <c r="AP686" s="31">
        <f>G686*(1-0.309857664)</f>
        <v>0</v>
      </c>
      <c r="AQ686" s="34" t="s">
        <v>56</v>
      </c>
      <c r="AV686" s="31">
        <f>ROUND(AW686+AX686,2)</f>
        <v>0</v>
      </c>
      <c r="AW686" s="31">
        <f>ROUND(F686*AO686,2)</f>
        <v>0</v>
      </c>
      <c r="AX686" s="31">
        <f>ROUND(F686*AP686,2)</f>
        <v>0</v>
      </c>
      <c r="AY686" s="34" t="s">
        <v>692</v>
      </c>
      <c r="AZ686" s="34" t="s">
        <v>1289</v>
      </c>
      <c r="BA686" s="11" t="s">
        <v>1002</v>
      </c>
      <c r="BC686" s="31">
        <f>AW686+AX686</f>
        <v>0</v>
      </c>
      <c r="BD686" s="31">
        <f>G686/(100-BE686)*100</f>
        <v>0</v>
      </c>
      <c r="BE686" s="31">
        <v>0</v>
      </c>
      <c r="BF686" s="31">
        <f>686</f>
        <v>686</v>
      </c>
      <c r="BH686" s="31">
        <f>F686*AO686</f>
        <v>0</v>
      </c>
      <c r="BI686" s="31">
        <f>F686*AP686</f>
        <v>0</v>
      </c>
      <c r="BJ686" s="31">
        <f>F686*G686</f>
        <v>0</v>
      </c>
      <c r="BK686" s="34" t="s">
        <v>64</v>
      </c>
      <c r="BL686" s="31">
        <v>94</v>
      </c>
      <c r="BW686" s="31">
        <v>21</v>
      </c>
      <c r="BX686" s="5" t="s">
        <v>977</v>
      </c>
    </row>
    <row r="687" spans="1:76" x14ac:dyDescent="0.25">
      <c r="A687" s="35"/>
      <c r="C687" s="36" t="s">
        <v>1301</v>
      </c>
      <c r="D687" s="36" t="s">
        <v>52</v>
      </c>
      <c r="F687" s="37">
        <v>1.2</v>
      </c>
      <c r="K687" s="38"/>
    </row>
    <row r="688" spans="1:76" x14ac:dyDescent="0.25">
      <c r="A688" s="26" t="s">
        <v>52</v>
      </c>
      <c r="B688" s="27" t="s">
        <v>613</v>
      </c>
      <c r="C688" s="133" t="s">
        <v>695</v>
      </c>
      <c r="D688" s="134"/>
      <c r="E688" s="28" t="s">
        <v>4</v>
      </c>
      <c r="F688" s="28" t="s">
        <v>4</v>
      </c>
      <c r="G688" s="29" t="s">
        <v>4</v>
      </c>
      <c r="H688" s="1">
        <f>SUM(H689:H690)</f>
        <v>0</v>
      </c>
      <c r="I688" s="1">
        <f>SUM(I689:I690)</f>
        <v>0</v>
      </c>
      <c r="J688" s="1">
        <f>SUM(J689:J690)</f>
        <v>0</v>
      </c>
      <c r="K688" s="30" t="s">
        <v>52</v>
      </c>
      <c r="AI688" s="11" t="s">
        <v>73</v>
      </c>
      <c r="AS688" s="1">
        <f>SUM(AJ689:AJ690)</f>
        <v>0</v>
      </c>
      <c r="AT688" s="1">
        <f>SUM(AK689:AK690)</f>
        <v>0</v>
      </c>
      <c r="AU688" s="1">
        <f>SUM(AL689:AL690)</f>
        <v>0</v>
      </c>
    </row>
    <row r="689" spans="1:76" x14ac:dyDescent="0.25">
      <c r="A689" s="2" t="s">
        <v>1302</v>
      </c>
      <c r="B689" s="3" t="s">
        <v>1303</v>
      </c>
      <c r="C689" s="112" t="s">
        <v>1304</v>
      </c>
      <c r="D689" s="107"/>
      <c r="E689" s="3" t="s">
        <v>81</v>
      </c>
      <c r="F689" s="31">
        <v>2</v>
      </c>
      <c r="G689" s="32">
        <v>0</v>
      </c>
      <c r="H689" s="31">
        <f>ROUND(F689*AO689,2)</f>
        <v>0</v>
      </c>
      <c r="I689" s="31">
        <f>ROUND(F689*AP689,2)</f>
        <v>0</v>
      </c>
      <c r="J689" s="31">
        <f>ROUND(F689*G689,2)</f>
        <v>0</v>
      </c>
      <c r="K689" s="33" t="s">
        <v>60</v>
      </c>
      <c r="Z689" s="31">
        <f>ROUND(IF(AQ689="5",BJ689,0),2)</f>
        <v>0</v>
      </c>
      <c r="AB689" s="31">
        <f>ROUND(IF(AQ689="1",BH689,0),2)</f>
        <v>0</v>
      </c>
      <c r="AC689" s="31">
        <f>ROUND(IF(AQ689="1",BI689,0),2)</f>
        <v>0</v>
      </c>
      <c r="AD689" s="31">
        <f>ROUND(IF(AQ689="7",BH689,0),2)</f>
        <v>0</v>
      </c>
      <c r="AE689" s="31">
        <f>ROUND(IF(AQ689="7",BI689,0),2)</f>
        <v>0</v>
      </c>
      <c r="AF689" s="31">
        <f>ROUND(IF(AQ689="2",BH689,0),2)</f>
        <v>0</v>
      </c>
      <c r="AG689" s="31">
        <f>ROUND(IF(AQ689="2",BI689,0),2)</f>
        <v>0</v>
      </c>
      <c r="AH689" s="31">
        <f>ROUND(IF(AQ689="0",BJ689,0),2)</f>
        <v>0</v>
      </c>
      <c r="AI689" s="11" t="s">
        <v>73</v>
      </c>
      <c r="AJ689" s="31">
        <f>IF(AN689=0,J689,0)</f>
        <v>0</v>
      </c>
      <c r="AK689" s="31">
        <f>IF(AN689=12,J689,0)</f>
        <v>0</v>
      </c>
      <c r="AL689" s="31">
        <f>IF(AN689=21,J689,0)</f>
        <v>0</v>
      </c>
      <c r="AN689" s="31">
        <v>21</v>
      </c>
      <c r="AO689" s="31">
        <f>G689*0.141145374</f>
        <v>0</v>
      </c>
      <c r="AP689" s="31">
        <f>G689*(1-0.141145374)</f>
        <v>0</v>
      </c>
      <c r="AQ689" s="34" t="s">
        <v>56</v>
      </c>
      <c r="AV689" s="31">
        <f>ROUND(AW689+AX689,2)</f>
        <v>0</v>
      </c>
      <c r="AW689" s="31">
        <f>ROUND(F689*AO689,2)</f>
        <v>0</v>
      </c>
      <c r="AX689" s="31">
        <f>ROUND(F689*AP689,2)</f>
        <v>0</v>
      </c>
      <c r="AY689" s="34" t="s">
        <v>699</v>
      </c>
      <c r="AZ689" s="34" t="s">
        <v>1289</v>
      </c>
      <c r="BA689" s="11" t="s">
        <v>1002</v>
      </c>
      <c r="BC689" s="31">
        <f>AW689+AX689</f>
        <v>0</v>
      </c>
      <c r="BD689" s="31">
        <f>G689/(100-BE689)*100</f>
        <v>0</v>
      </c>
      <c r="BE689" s="31">
        <v>0</v>
      </c>
      <c r="BF689" s="31">
        <f>689</f>
        <v>689</v>
      </c>
      <c r="BH689" s="31">
        <f>F689*AO689</f>
        <v>0</v>
      </c>
      <c r="BI689" s="31">
        <f>F689*AP689</f>
        <v>0</v>
      </c>
      <c r="BJ689" s="31">
        <f>F689*G689</f>
        <v>0</v>
      </c>
      <c r="BK689" s="34" t="s">
        <v>64</v>
      </c>
      <c r="BL689" s="31">
        <v>95</v>
      </c>
      <c r="BW689" s="31">
        <v>21</v>
      </c>
      <c r="BX689" s="5" t="s">
        <v>1304</v>
      </c>
    </row>
    <row r="690" spans="1:76" x14ac:dyDescent="0.25">
      <c r="A690" s="39" t="s">
        <v>1305</v>
      </c>
      <c r="B690" s="40" t="s">
        <v>240</v>
      </c>
      <c r="C690" s="135" t="s">
        <v>1306</v>
      </c>
      <c r="D690" s="136"/>
      <c r="E690" s="40" t="s">
        <v>81</v>
      </c>
      <c r="F690" s="42">
        <v>2</v>
      </c>
      <c r="G690" s="43">
        <v>0</v>
      </c>
      <c r="H690" s="42">
        <f>ROUND(F690*AO690,2)</f>
        <v>0</v>
      </c>
      <c r="I690" s="42">
        <f>ROUND(F690*AP690,2)</f>
        <v>0</v>
      </c>
      <c r="J690" s="42">
        <f>ROUND(F690*G690,2)</f>
        <v>0</v>
      </c>
      <c r="K690" s="44" t="s">
        <v>242</v>
      </c>
      <c r="Z690" s="31">
        <f>ROUND(IF(AQ690="5",BJ690,0),2)</f>
        <v>0</v>
      </c>
      <c r="AB690" s="31">
        <f>ROUND(IF(AQ690="1",BH690,0),2)</f>
        <v>0</v>
      </c>
      <c r="AC690" s="31">
        <f>ROUND(IF(AQ690="1",BI690,0),2)</f>
        <v>0</v>
      </c>
      <c r="AD690" s="31">
        <f>ROUND(IF(AQ690="7",BH690,0),2)</f>
        <v>0</v>
      </c>
      <c r="AE690" s="31">
        <f>ROUND(IF(AQ690="7",BI690,0),2)</f>
        <v>0</v>
      </c>
      <c r="AF690" s="31">
        <f>ROUND(IF(AQ690="2",BH690,0),2)</f>
        <v>0</v>
      </c>
      <c r="AG690" s="31">
        <f>ROUND(IF(AQ690="2",BI690,0),2)</f>
        <v>0</v>
      </c>
      <c r="AH690" s="31">
        <f>ROUND(IF(AQ690="0",BJ690,0),2)</f>
        <v>0</v>
      </c>
      <c r="AI690" s="11" t="s">
        <v>73</v>
      </c>
      <c r="AJ690" s="42">
        <f>IF(AN690=0,J690,0)</f>
        <v>0</v>
      </c>
      <c r="AK690" s="42">
        <f>IF(AN690=12,J690,0)</f>
        <v>0</v>
      </c>
      <c r="AL690" s="42">
        <f>IF(AN690=21,J690,0)</f>
        <v>0</v>
      </c>
      <c r="AN690" s="31">
        <v>21</v>
      </c>
      <c r="AO690" s="31">
        <f>G690*1</f>
        <v>0</v>
      </c>
      <c r="AP690" s="31">
        <f>G690*(1-1)</f>
        <v>0</v>
      </c>
      <c r="AQ690" s="45" t="s">
        <v>56</v>
      </c>
      <c r="AV690" s="31">
        <f>ROUND(AW690+AX690,2)</f>
        <v>0</v>
      </c>
      <c r="AW690" s="31">
        <f>ROUND(F690*AO690,2)</f>
        <v>0</v>
      </c>
      <c r="AX690" s="31">
        <f>ROUND(F690*AP690,2)</f>
        <v>0</v>
      </c>
      <c r="AY690" s="34" t="s">
        <v>699</v>
      </c>
      <c r="AZ690" s="34" t="s">
        <v>1289</v>
      </c>
      <c r="BA690" s="11" t="s">
        <v>1002</v>
      </c>
      <c r="BC690" s="31">
        <f>AW690+AX690</f>
        <v>0</v>
      </c>
      <c r="BD690" s="31">
        <f>G690/(100-BE690)*100</f>
        <v>0</v>
      </c>
      <c r="BE690" s="31">
        <v>0</v>
      </c>
      <c r="BF690" s="31">
        <f>690</f>
        <v>690</v>
      </c>
      <c r="BH690" s="42">
        <f>F690*AO690</f>
        <v>0</v>
      </c>
      <c r="BI690" s="42">
        <f>F690*AP690</f>
        <v>0</v>
      </c>
      <c r="BJ690" s="42">
        <f>F690*G690</f>
        <v>0</v>
      </c>
      <c r="BK690" s="45" t="s">
        <v>70</v>
      </c>
      <c r="BL690" s="31">
        <v>95</v>
      </c>
      <c r="BW690" s="31">
        <v>21</v>
      </c>
      <c r="BX690" s="41" t="s">
        <v>1306</v>
      </c>
    </row>
    <row r="691" spans="1:76" x14ac:dyDescent="0.25">
      <c r="A691" s="26" t="s">
        <v>52</v>
      </c>
      <c r="B691" s="27" t="s">
        <v>618</v>
      </c>
      <c r="C691" s="133" t="s">
        <v>700</v>
      </c>
      <c r="D691" s="134"/>
      <c r="E691" s="28" t="s">
        <v>4</v>
      </c>
      <c r="F691" s="28" t="s">
        <v>4</v>
      </c>
      <c r="G691" s="29" t="s">
        <v>4</v>
      </c>
      <c r="H691" s="1">
        <f>SUM(H692:H692)</f>
        <v>0</v>
      </c>
      <c r="I691" s="1">
        <f>SUM(I692:I692)</f>
        <v>0</v>
      </c>
      <c r="J691" s="1">
        <f>SUM(J692:J692)</f>
        <v>0</v>
      </c>
      <c r="K691" s="30" t="s">
        <v>52</v>
      </c>
      <c r="AI691" s="11" t="s">
        <v>73</v>
      </c>
      <c r="AS691" s="1">
        <f>SUM(AJ692:AJ692)</f>
        <v>0</v>
      </c>
      <c r="AT691" s="1">
        <f>SUM(AK692:AK692)</f>
        <v>0</v>
      </c>
      <c r="AU691" s="1">
        <f>SUM(AL692:AL692)</f>
        <v>0</v>
      </c>
    </row>
    <row r="692" spans="1:76" x14ac:dyDescent="0.25">
      <c r="A692" s="2" t="s">
        <v>1307</v>
      </c>
      <c r="B692" s="3" t="s">
        <v>1308</v>
      </c>
      <c r="C692" s="112" t="s">
        <v>1309</v>
      </c>
      <c r="D692" s="107"/>
      <c r="E692" s="3" t="s">
        <v>215</v>
      </c>
      <c r="F692" s="31">
        <v>1</v>
      </c>
      <c r="G692" s="32">
        <v>0</v>
      </c>
      <c r="H692" s="31">
        <f>ROUND(F692*AO692,2)</f>
        <v>0</v>
      </c>
      <c r="I692" s="31">
        <f>ROUND(F692*AP692,2)</f>
        <v>0</v>
      </c>
      <c r="J692" s="31">
        <f>ROUND(F692*G692,2)</f>
        <v>0</v>
      </c>
      <c r="K692" s="33" t="s">
        <v>60</v>
      </c>
      <c r="Z692" s="31">
        <f>ROUND(IF(AQ692="5",BJ692,0),2)</f>
        <v>0</v>
      </c>
      <c r="AB692" s="31">
        <f>ROUND(IF(AQ692="1",BH692,0),2)</f>
        <v>0</v>
      </c>
      <c r="AC692" s="31">
        <f>ROUND(IF(AQ692="1",BI692,0),2)</f>
        <v>0</v>
      </c>
      <c r="AD692" s="31">
        <f>ROUND(IF(AQ692="7",BH692,0),2)</f>
        <v>0</v>
      </c>
      <c r="AE692" s="31">
        <f>ROUND(IF(AQ692="7",BI692,0),2)</f>
        <v>0</v>
      </c>
      <c r="AF692" s="31">
        <f>ROUND(IF(AQ692="2",BH692,0),2)</f>
        <v>0</v>
      </c>
      <c r="AG692" s="31">
        <f>ROUND(IF(AQ692="2",BI692,0),2)</f>
        <v>0</v>
      </c>
      <c r="AH692" s="31">
        <f>ROUND(IF(AQ692="0",BJ692,0),2)</f>
        <v>0</v>
      </c>
      <c r="AI692" s="11" t="s">
        <v>73</v>
      </c>
      <c r="AJ692" s="31">
        <f>IF(AN692=0,J692,0)</f>
        <v>0</v>
      </c>
      <c r="AK692" s="31">
        <f>IF(AN692=12,J692,0)</f>
        <v>0</v>
      </c>
      <c r="AL692" s="31">
        <f>IF(AN692=21,J692,0)</f>
        <v>0</v>
      </c>
      <c r="AN692" s="31">
        <v>21</v>
      </c>
      <c r="AO692" s="31">
        <f>G692*0.064245705</f>
        <v>0</v>
      </c>
      <c r="AP692" s="31">
        <f>G692*(1-0.064245705)</f>
        <v>0</v>
      </c>
      <c r="AQ692" s="34" t="s">
        <v>56</v>
      </c>
      <c r="AV692" s="31">
        <f>ROUND(AW692+AX692,2)</f>
        <v>0</v>
      </c>
      <c r="AW692" s="31">
        <f>ROUND(F692*AO692,2)</f>
        <v>0</v>
      </c>
      <c r="AX692" s="31">
        <f>ROUND(F692*AP692,2)</f>
        <v>0</v>
      </c>
      <c r="AY692" s="34" t="s">
        <v>704</v>
      </c>
      <c r="AZ692" s="34" t="s">
        <v>1289</v>
      </c>
      <c r="BA692" s="11" t="s">
        <v>1002</v>
      </c>
      <c r="BC692" s="31">
        <f>AW692+AX692</f>
        <v>0</v>
      </c>
      <c r="BD692" s="31">
        <f>G692/(100-BE692)*100</f>
        <v>0</v>
      </c>
      <c r="BE692" s="31">
        <v>0</v>
      </c>
      <c r="BF692" s="31">
        <f>692</f>
        <v>692</v>
      </c>
      <c r="BH692" s="31">
        <f>F692*AO692</f>
        <v>0</v>
      </c>
      <c r="BI692" s="31">
        <f>F692*AP692</f>
        <v>0</v>
      </c>
      <c r="BJ692" s="31">
        <f>F692*G692</f>
        <v>0</v>
      </c>
      <c r="BK692" s="34" t="s">
        <v>64</v>
      </c>
      <c r="BL692" s="31">
        <v>96</v>
      </c>
      <c r="BW692" s="31">
        <v>21</v>
      </c>
      <c r="BX692" s="5" t="s">
        <v>1309</v>
      </c>
    </row>
    <row r="693" spans="1:76" x14ac:dyDescent="0.25">
      <c r="A693" s="26" t="s">
        <v>52</v>
      </c>
      <c r="B693" s="27" t="s">
        <v>771</v>
      </c>
      <c r="C693" s="133" t="s">
        <v>772</v>
      </c>
      <c r="D693" s="134"/>
      <c r="E693" s="28" t="s">
        <v>4</v>
      </c>
      <c r="F693" s="28" t="s">
        <v>4</v>
      </c>
      <c r="G693" s="29" t="s">
        <v>4</v>
      </c>
      <c r="H693" s="1">
        <f>SUM(H694:H694)</f>
        <v>0</v>
      </c>
      <c r="I693" s="1">
        <f>SUM(I694:I694)</f>
        <v>0</v>
      </c>
      <c r="J693" s="1">
        <f>SUM(J694:J694)</f>
        <v>0</v>
      </c>
      <c r="K693" s="30" t="s">
        <v>52</v>
      </c>
      <c r="AI693" s="11" t="s">
        <v>73</v>
      </c>
      <c r="AS693" s="1">
        <f>SUM(AJ694:AJ694)</f>
        <v>0</v>
      </c>
      <c r="AT693" s="1">
        <f>SUM(AK694:AK694)</f>
        <v>0</v>
      </c>
      <c r="AU693" s="1">
        <f>SUM(AL694:AL694)</f>
        <v>0</v>
      </c>
    </row>
    <row r="694" spans="1:76" x14ac:dyDescent="0.25">
      <c r="A694" s="2" t="s">
        <v>1310</v>
      </c>
      <c r="B694" s="3" t="s">
        <v>774</v>
      </c>
      <c r="C694" s="112" t="s">
        <v>775</v>
      </c>
      <c r="D694" s="107"/>
      <c r="E694" s="3" t="s">
        <v>276</v>
      </c>
      <c r="F694" s="31">
        <v>9.5519999999999994E-2</v>
      </c>
      <c r="G694" s="32">
        <v>0</v>
      </c>
      <c r="H694" s="31">
        <f>ROUND(F694*AO694,2)</f>
        <v>0</v>
      </c>
      <c r="I694" s="31">
        <f>ROUND(F694*AP694,2)</f>
        <v>0</v>
      </c>
      <c r="J694" s="31">
        <f>ROUND(F694*G694,2)</f>
        <v>0</v>
      </c>
      <c r="K694" s="33" t="s">
        <v>60</v>
      </c>
      <c r="Z694" s="31">
        <f>ROUND(IF(AQ694="5",BJ694,0),2)</f>
        <v>0</v>
      </c>
      <c r="AB694" s="31">
        <f>ROUND(IF(AQ694="1",BH694,0),2)</f>
        <v>0</v>
      </c>
      <c r="AC694" s="31">
        <f>ROUND(IF(AQ694="1",BI694,0),2)</f>
        <v>0</v>
      </c>
      <c r="AD694" s="31">
        <f>ROUND(IF(AQ694="7",BH694,0),2)</f>
        <v>0</v>
      </c>
      <c r="AE694" s="31">
        <f>ROUND(IF(AQ694="7",BI694,0),2)</f>
        <v>0</v>
      </c>
      <c r="AF694" s="31">
        <f>ROUND(IF(AQ694="2",BH694,0),2)</f>
        <v>0</v>
      </c>
      <c r="AG694" s="31">
        <f>ROUND(IF(AQ694="2",BI694,0),2)</f>
        <v>0</v>
      </c>
      <c r="AH694" s="31">
        <f>ROUND(IF(AQ694="0",BJ694,0),2)</f>
        <v>0</v>
      </c>
      <c r="AI694" s="11" t="s">
        <v>73</v>
      </c>
      <c r="AJ694" s="31">
        <f>IF(AN694=0,J694,0)</f>
        <v>0</v>
      </c>
      <c r="AK694" s="31">
        <f>IF(AN694=12,J694,0)</f>
        <v>0</v>
      </c>
      <c r="AL694" s="31">
        <f>IF(AN694=21,J694,0)</f>
        <v>0</v>
      </c>
      <c r="AN694" s="31">
        <v>21</v>
      </c>
      <c r="AO694" s="31">
        <f>G694*0</f>
        <v>0</v>
      </c>
      <c r="AP694" s="31">
        <f>G694*(1-0)</f>
        <v>0</v>
      </c>
      <c r="AQ694" s="34" t="s">
        <v>85</v>
      </c>
      <c r="AV694" s="31">
        <f>ROUND(AW694+AX694,2)</f>
        <v>0</v>
      </c>
      <c r="AW694" s="31">
        <f>ROUND(F694*AO694,2)</f>
        <v>0</v>
      </c>
      <c r="AX694" s="31">
        <f>ROUND(F694*AP694,2)</f>
        <v>0</v>
      </c>
      <c r="AY694" s="34" t="s">
        <v>776</v>
      </c>
      <c r="AZ694" s="34" t="s">
        <v>1289</v>
      </c>
      <c r="BA694" s="11" t="s">
        <v>1002</v>
      </c>
      <c r="BC694" s="31">
        <f>AW694+AX694</f>
        <v>0</v>
      </c>
      <c r="BD694" s="31">
        <f>G694/(100-BE694)*100</f>
        <v>0</v>
      </c>
      <c r="BE694" s="31">
        <v>0</v>
      </c>
      <c r="BF694" s="31">
        <f>694</f>
        <v>694</v>
      </c>
      <c r="BH694" s="31">
        <f>F694*AO694</f>
        <v>0</v>
      </c>
      <c r="BI694" s="31">
        <f>F694*AP694</f>
        <v>0</v>
      </c>
      <c r="BJ694" s="31">
        <f>F694*G694</f>
        <v>0</v>
      </c>
      <c r="BK694" s="34" t="s">
        <v>64</v>
      </c>
      <c r="BL694" s="31"/>
      <c r="BW694" s="31">
        <v>21</v>
      </c>
      <c r="BX694" s="5" t="s">
        <v>775</v>
      </c>
    </row>
    <row r="695" spans="1:76" x14ac:dyDescent="0.25">
      <c r="A695" s="26" t="s">
        <v>52</v>
      </c>
      <c r="B695" s="27" t="s">
        <v>777</v>
      </c>
      <c r="C695" s="133" t="s">
        <v>778</v>
      </c>
      <c r="D695" s="134"/>
      <c r="E695" s="28" t="s">
        <v>4</v>
      </c>
      <c r="F695" s="28" t="s">
        <v>4</v>
      </c>
      <c r="G695" s="29" t="s">
        <v>4</v>
      </c>
      <c r="H695" s="1">
        <f>SUM(H696:H702)</f>
        <v>0</v>
      </c>
      <c r="I695" s="1">
        <f>SUM(I696:I702)</f>
        <v>0</v>
      </c>
      <c r="J695" s="1">
        <f>SUM(J696:J702)</f>
        <v>0</v>
      </c>
      <c r="K695" s="30" t="s">
        <v>52</v>
      </c>
      <c r="AI695" s="11" t="s">
        <v>73</v>
      </c>
      <c r="AS695" s="1">
        <f>SUM(AJ696:AJ702)</f>
        <v>0</v>
      </c>
      <c r="AT695" s="1">
        <f>SUM(AK696:AK702)</f>
        <v>0</v>
      </c>
      <c r="AU695" s="1">
        <f>SUM(AL696:AL702)</f>
        <v>0</v>
      </c>
    </row>
    <row r="696" spans="1:76" x14ac:dyDescent="0.25">
      <c r="A696" s="2" t="s">
        <v>1311</v>
      </c>
      <c r="B696" s="3" t="s">
        <v>780</v>
      </c>
      <c r="C696" s="112" t="s">
        <v>781</v>
      </c>
      <c r="D696" s="107"/>
      <c r="E696" s="3" t="s">
        <v>276</v>
      </c>
      <c r="F696" s="31">
        <v>0.19464000000000001</v>
      </c>
      <c r="G696" s="32">
        <v>0</v>
      </c>
      <c r="H696" s="31">
        <f>ROUND(F696*AO696,2)</f>
        <v>0</v>
      </c>
      <c r="I696" s="31">
        <f>ROUND(F696*AP696,2)</f>
        <v>0</v>
      </c>
      <c r="J696" s="31">
        <f>ROUND(F696*G696,2)</f>
        <v>0</v>
      </c>
      <c r="K696" s="33" t="s">
        <v>60</v>
      </c>
      <c r="Z696" s="31">
        <f>ROUND(IF(AQ696="5",BJ696,0),2)</f>
        <v>0</v>
      </c>
      <c r="AB696" s="31">
        <f>ROUND(IF(AQ696="1",BH696,0),2)</f>
        <v>0</v>
      </c>
      <c r="AC696" s="31">
        <f>ROUND(IF(AQ696="1",BI696,0),2)</f>
        <v>0</v>
      </c>
      <c r="AD696" s="31">
        <f>ROUND(IF(AQ696="7",BH696,0),2)</f>
        <v>0</v>
      </c>
      <c r="AE696" s="31">
        <f>ROUND(IF(AQ696="7",BI696,0),2)</f>
        <v>0</v>
      </c>
      <c r="AF696" s="31">
        <f>ROUND(IF(AQ696="2",BH696,0),2)</f>
        <v>0</v>
      </c>
      <c r="AG696" s="31">
        <f>ROUND(IF(AQ696="2",BI696,0),2)</f>
        <v>0</v>
      </c>
      <c r="AH696" s="31">
        <f>ROUND(IF(AQ696="0",BJ696,0),2)</f>
        <v>0</v>
      </c>
      <c r="AI696" s="11" t="s">
        <v>73</v>
      </c>
      <c r="AJ696" s="31">
        <f>IF(AN696=0,J696,0)</f>
        <v>0</v>
      </c>
      <c r="AK696" s="31">
        <f>IF(AN696=12,J696,0)</f>
        <v>0</v>
      </c>
      <c r="AL696" s="31">
        <f>IF(AN696=21,J696,0)</f>
        <v>0</v>
      </c>
      <c r="AN696" s="31">
        <v>21</v>
      </c>
      <c r="AO696" s="31">
        <f>G696*0</f>
        <v>0</v>
      </c>
      <c r="AP696" s="31">
        <f>G696*(1-0)</f>
        <v>0</v>
      </c>
      <c r="AQ696" s="34" t="s">
        <v>85</v>
      </c>
      <c r="AV696" s="31">
        <f>ROUND(AW696+AX696,2)</f>
        <v>0</v>
      </c>
      <c r="AW696" s="31">
        <f>ROUND(F696*AO696,2)</f>
        <v>0</v>
      </c>
      <c r="AX696" s="31">
        <f>ROUND(F696*AP696,2)</f>
        <v>0</v>
      </c>
      <c r="AY696" s="34" t="s">
        <v>782</v>
      </c>
      <c r="AZ696" s="34" t="s">
        <v>1289</v>
      </c>
      <c r="BA696" s="11" t="s">
        <v>1002</v>
      </c>
      <c r="BC696" s="31">
        <f>AW696+AX696</f>
        <v>0</v>
      </c>
      <c r="BD696" s="31">
        <f>G696/(100-BE696)*100</f>
        <v>0</v>
      </c>
      <c r="BE696" s="31">
        <v>0</v>
      </c>
      <c r="BF696" s="31">
        <f>696</f>
        <v>696</v>
      </c>
      <c r="BH696" s="31">
        <f>F696*AO696</f>
        <v>0</v>
      </c>
      <c r="BI696" s="31">
        <f>F696*AP696</f>
        <v>0</v>
      </c>
      <c r="BJ696" s="31">
        <f>F696*G696</f>
        <v>0</v>
      </c>
      <c r="BK696" s="34" t="s">
        <v>64</v>
      </c>
      <c r="BL696" s="31"/>
      <c r="BW696" s="31">
        <v>21</v>
      </c>
      <c r="BX696" s="5" t="s">
        <v>781</v>
      </c>
    </row>
    <row r="697" spans="1:76" x14ac:dyDescent="0.25">
      <c r="A697" s="2" t="s">
        <v>1312</v>
      </c>
      <c r="B697" s="3" t="s">
        <v>784</v>
      </c>
      <c r="C697" s="112" t="s">
        <v>785</v>
      </c>
      <c r="D697" s="107"/>
      <c r="E697" s="3" t="s">
        <v>276</v>
      </c>
      <c r="F697" s="31">
        <v>2.9196</v>
      </c>
      <c r="G697" s="32">
        <v>0</v>
      </c>
      <c r="H697" s="31">
        <f>ROUND(F697*AO697,2)</f>
        <v>0</v>
      </c>
      <c r="I697" s="31">
        <f>ROUND(F697*AP697,2)</f>
        <v>0</v>
      </c>
      <c r="J697" s="31">
        <f>ROUND(F697*G697,2)</f>
        <v>0</v>
      </c>
      <c r="K697" s="33" t="s">
        <v>60</v>
      </c>
      <c r="Z697" s="31">
        <f>ROUND(IF(AQ697="5",BJ697,0),2)</f>
        <v>0</v>
      </c>
      <c r="AB697" s="31">
        <f>ROUND(IF(AQ697="1",BH697,0),2)</f>
        <v>0</v>
      </c>
      <c r="AC697" s="31">
        <f>ROUND(IF(AQ697="1",BI697,0),2)</f>
        <v>0</v>
      </c>
      <c r="AD697" s="31">
        <f>ROUND(IF(AQ697="7",BH697,0),2)</f>
        <v>0</v>
      </c>
      <c r="AE697" s="31">
        <f>ROUND(IF(AQ697="7",BI697,0),2)</f>
        <v>0</v>
      </c>
      <c r="AF697" s="31">
        <f>ROUND(IF(AQ697="2",BH697,0),2)</f>
        <v>0</v>
      </c>
      <c r="AG697" s="31">
        <f>ROUND(IF(AQ697="2",BI697,0),2)</f>
        <v>0</v>
      </c>
      <c r="AH697" s="31">
        <f>ROUND(IF(AQ697="0",BJ697,0),2)</f>
        <v>0</v>
      </c>
      <c r="AI697" s="11" t="s">
        <v>73</v>
      </c>
      <c r="AJ697" s="31">
        <f>IF(AN697=0,J697,0)</f>
        <v>0</v>
      </c>
      <c r="AK697" s="31">
        <f>IF(AN697=12,J697,0)</f>
        <v>0</v>
      </c>
      <c r="AL697" s="31">
        <f>IF(AN697=21,J697,0)</f>
        <v>0</v>
      </c>
      <c r="AN697" s="31">
        <v>21</v>
      </c>
      <c r="AO697" s="31">
        <f>G697*0</f>
        <v>0</v>
      </c>
      <c r="AP697" s="31">
        <f>G697*(1-0)</f>
        <v>0</v>
      </c>
      <c r="AQ697" s="34" t="s">
        <v>85</v>
      </c>
      <c r="AV697" s="31">
        <f>ROUND(AW697+AX697,2)</f>
        <v>0</v>
      </c>
      <c r="AW697" s="31">
        <f>ROUND(F697*AO697,2)</f>
        <v>0</v>
      </c>
      <c r="AX697" s="31">
        <f>ROUND(F697*AP697,2)</f>
        <v>0</v>
      </c>
      <c r="AY697" s="34" t="s">
        <v>782</v>
      </c>
      <c r="AZ697" s="34" t="s">
        <v>1289</v>
      </c>
      <c r="BA697" s="11" t="s">
        <v>1002</v>
      </c>
      <c r="BC697" s="31">
        <f>AW697+AX697</f>
        <v>0</v>
      </c>
      <c r="BD697" s="31">
        <f>G697/(100-BE697)*100</f>
        <v>0</v>
      </c>
      <c r="BE697" s="31">
        <v>0</v>
      </c>
      <c r="BF697" s="31">
        <f>697</f>
        <v>697</v>
      </c>
      <c r="BH697" s="31">
        <f>F697*AO697</f>
        <v>0</v>
      </c>
      <c r="BI697" s="31">
        <f>F697*AP697</f>
        <v>0</v>
      </c>
      <c r="BJ697" s="31">
        <f>F697*G697</f>
        <v>0</v>
      </c>
      <c r="BK697" s="34" t="s">
        <v>64</v>
      </c>
      <c r="BL697" s="31"/>
      <c r="BW697" s="31">
        <v>21</v>
      </c>
      <c r="BX697" s="5" t="s">
        <v>785</v>
      </c>
    </row>
    <row r="698" spans="1:76" x14ac:dyDescent="0.25">
      <c r="A698" s="35"/>
      <c r="C698" s="36" t="s">
        <v>1313</v>
      </c>
      <c r="D698" s="36" t="s">
        <v>52</v>
      </c>
      <c r="F698" s="37">
        <v>2.9196</v>
      </c>
      <c r="K698" s="38"/>
    </row>
    <row r="699" spans="1:76" x14ac:dyDescent="0.25">
      <c r="A699" s="2" t="s">
        <v>1314</v>
      </c>
      <c r="B699" s="3" t="s">
        <v>788</v>
      </c>
      <c r="C699" s="112" t="s">
        <v>789</v>
      </c>
      <c r="D699" s="107"/>
      <c r="E699" s="3" t="s">
        <v>276</v>
      </c>
      <c r="F699" s="31">
        <v>0.19464000000000001</v>
      </c>
      <c r="G699" s="32">
        <v>0</v>
      </c>
      <c r="H699" s="31">
        <f>ROUND(F699*AO699,2)</f>
        <v>0</v>
      </c>
      <c r="I699" s="31">
        <f>ROUND(F699*AP699,2)</f>
        <v>0</v>
      </c>
      <c r="J699" s="31">
        <f>ROUND(F699*G699,2)</f>
        <v>0</v>
      </c>
      <c r="K699" s="33" t="s">
        <v>60</v>
      </c>
      <c r="Z699" s="31">
        <f>ROUND(IF(AQ699="5",BJ699,0),2)</f>
        <v>0</v>
      </c>
      <c r="AB699" s="31">
        <f>ROUND(IF(AQ699="1",BH699,0),2)</f>
        <v>0</v>
      </c>
      <c r="AC699" s="31">
        <f>ROUND(IF(AQ699="1",BI699,0),2)</f>
        <v>0</v>
      </c>
      <c r="AD699" s="31">
        <f>ROUND(IF(AQ699="7",BH699,0),2)</f>
        <v>0</v>
      </c>
      <c r="AE699" s="31">
        <f>ROUND(IF(AQ699="7",BI699,0),2)</f>
        <v>0</v>
      </c>
      <c r="AF699" s="31">
        <f>ROUND(IF(AQ699="2",BH699,0),2)</f>
        <v>0</v>
      </c>
      <c r="AG699" s="31">
        <f>ROUND(IF(AQ699="2",BI699,0),2)</f>
        <v>0</v>
      </c>
      <c r="AH699" s="31">
        <f>ROUND(IF(AQ699="0",BJ699,0),2)</f>
        <v>0</v>
      </c>
      <c r="AI699" s="11" t="s">
        <v>73</v>
      </c>
      <c r="AJ699" s="31">
        <f>IF(AN699=0,J699,0)</f>
        <v>0</v>
      </c>
      <c r="AK699" s="31">
        <f>IF(AN699=12,J699,0)</f>
        <v>0</v>
      </c>
      <c r="AL699" s="31">
        <f>IF(AN699=21,J699,0)</f>
        <v>0</v>
      </c>
      <c r="AN699" s="31">
        <v>21</v>
      </c>
      <c r="AO699" s="31">
        <f>G699*0</f>
        <v>0</v>
      </c>
      <c r="AP699" s="31">
        <f>G699*(1-0)</f>
        <v>0</v>
      </c>
      <c r="AQ699" s="34" t="s">
        <v>85</v>
      </c>
      <c r="AV699" s="31">
        <f>ROUND(AW699+AX699,2)</f>
        <v>0</v>
      </c>
      <c r="AW699" s="31">
        <f>ROUND(F699*AO699,2)</f>
        <v>0</v>
      </c>
      <c r="AX699" s="31">
        <f>ROUND(F699*AP699,2)</f>
        <v>0</v>
      </c>
      <c r="AY699" s="34" t="s">
        <v>782</v>
      </c>
      <c r="AZ699" s="34" t="s">
        <v>1289</v>
      </c>
      <c r="BA699" s="11" t="s">
        <v>1002</v>
      </c>
      <c r="BC699" s="31">
        <f>AW699+AX699</f>
        <v>0</v>
      </c>
      <c r="BD699" s="31">
        <f>G699/(100-BE699)*100</f>
        <v>0</v>
      </c>
      <c r="BE699" s="31">
        <v>0</v>
      </c>
      <c r="BF699" s="31">
        <f>699</f>
        <v>699</v>
      </c>
      <c r="BH699" s="31">
        <f>F699*AO699</f>
        <v>0</v>
      </c>
      <c r="BI699" s="31">
        <f>F699*AP699</f>
        <v>0</v>
      </c>
      <c r="BJ699" s="31">
        <f>F699*G699</f>
        <v>0</v>
      </c>
      <c r="BK699" s="34" t="s">
        <v>64</v>
      </c>
      <c r="BL699" s="31"/>
      <c r="BW699" s="31">
        <v>21</v>
      </c>
      <c r="BX699" s="5" t="s">
        <v>789</v>
      </c>
    </row>
    <row r="700" spans="1:76" x14ac:dyDescent="0.25">
      <c r="A700" s="2" t="s">
        <v>1315</v>
      </c>
      <c r="B700" s="3" t="s">
        <v>791</v>
      </c>
      <c r="C700" s="112" t="s">
        <v>792</v>
      </c>
      <c r="D700" s="107"/>
      <c r="E700" s="3" t="s">
        <v>276</v>
      </c>
      <c r="F700" s="31">
        <v>0.19464000000000001</v>
      </c>
      <c r="G700" s="32">
        <v>0</v>
      </c>
      <c r="H700" s="31">
        <f>ROUND(F700*AO700,2)</f>
        <v>0</v>
      </c>
      <c r="I700" s="31">
        <f>ROUND(F700*AP700,2)</f>
        <v>0</v>
      </c>
      <c r="J700" s="31">
        <f>ROUND(F700*G700,2)</f>
        <v>0</v>
      </c>
      <c r="K700" s="33" t="s">
        <v>60</v>
      </c>
      <c r="Z700" s="31">
        <f>ROUND(IF(AQ700="5",BJ700,0),2)</f>
        <v>0</v>
      </c>
      <c r="AB700" s="31">
        <f>ROUND(IF(AQ700="1",BH700,0),2)</f>
        <v>0</v>
      </c>
      <c r="AC700" s="31">
        <f>ROUND(IF(AQ700="1",BI700,0),2)</f>
        <v>0</v>
      </c>
      <c r="AD700" s="31">
        <f>ROUND(IF(AQ700="7",BH700,0),2)</f>
        <v>0</v>
      </c>
      <c r="AE700" s="31">
        <f>ROUND(IF(AQ700="7",BI700,0),2)</f>
        <v>0</v>
      </c>
      <c r="AF700" s="31">
        <f>ROUND(IF(AQ700="2",BH700,0),2)</f>
        <v>0</v>
      </c>
      <c r="AG700" s="31">
        <f>ROUND(IF(AQ700="2",BI700,0),2)</f>
        <v>0</v>
      </c>
      <c r="AH700" s="31">
        <f>ROUND(IF(AQ700="0",BJ700,0),2)</f>
        <v>0</v>
      </c>
      <c r="AI700" s="11" t="s">
        <v>73</v>
      </c>
      <c r="AJ700" s="31">
        <f>IF(AN700=0,J700,0)</f>
        <v>0</v>
      </c>
      <c r="AK700" s="31">
        <f>IF(AN700=12,J700,0)</f>
        <v>0</v>
      </c>
      <c r="AL700" s="31">
        <f>IF(AN700=21,J700,0)</f>
        <v>0</v>
      </c>
      <c r="AN700" s="31">
        <v>21</v>
      </c>
      <c r="AO700" s="31">
        <f>G700*0</f>
        <v>0</v>
      </c>
      <c r="AP700" s="31">
        <f>G700*(1-0)</f>
        <v>0</v>
      </c>
      <c r="AQ700" s="34" t="s">
        <v>85</v>
      </c>
      <c r="AV700" s="31">
        <f>ROUND(AW700+AX700,2)</f>
        <v>0</v>
      </c>
      <c r="AW700" s="31">
        <f>ROUND(F700*AO700,2)</f>
        <v>0</v>
      </c>
      <c r="AX700" s="31">
        <f>ROUND(F700*AP700,2)</f>
        <v>0</v>
      </c>
      <c r="AY700" s="34" t="s">
        <v>782</v>
      </c>
      <c r="AZ700" s="34" t="s">
        <v>1289</v>
      </c>
      <c r="BA700" s="11" t="s">
        <v>1002</v>
      </c>
      <c r="BC700" s="31">
        <f>AW700+AX700</f>
        <v>0</v>
      </c>
      <c r="BD700" s="31">
        <f>G700/(100-BE700)*100</f>
        <v>0</v>
      </c>
      <c r="BE700" s="31">
        <v>0</v>
      </c>
      <c r="BF700" s="31">
        <f>700</f>
        <v>700</v>
      </c>
      <c r="BH700" s="31">
        <f>F700*AO700</f>
        <v>0</v>
      </c>
      <c r="BI700" s="31">
        <f>F700*AP700</f>
        <v>0</v>
      </c>
      <c r="BJ700" s="31">
        <f>F700*G700</f>
        <v>0</v>
      </c>
      <c r="BK700" s="34" t="s">
        <v>64</v>
      </c>
      <c r="BL700" s="31"/>
      <c r="BW700" s="31">
        <v>21</v>
      </c>
      <c r="BX700" s="5" t="s">
        <v>792</v>
      </c>
    </row>
    <row r="701" spans="1:76" x14ac:dyDescent="0.25">
      <c r="A701" s="2" t="s">
        <v>1316</v>
      </c>
      <c r="B701" s="3" t="s">
        <v>794</v>
      </c>
      <c r="C701" s="112" t="s">
        <v>795</v>
      </c>
      <c r="D701" s="107"/>
      <c r="E701" s="3" t="s">
        <v>276</v>
      </c>
      <c r="F701" s="31">
        <v>0.19464000000000001</v>
      </c>
      <c r="G701" s="32">
        <v>0</v>
      </c>
      <c r="H701" s="31">
        <f>ROUND(F701*AO701,2)</f>
        <v>0</v>
      </c>
      <c r="I701" s="31">
        <f>ROUND(F701*AP701,2)</f>
        <v>0</v>
      </c>
      <c r="J701" s="31">
        <f>ROUND(F701*G701,2)</f>
        <v>0</v>
      </c>
      <c r="K701" s="33" t="s">
        <v>60</v>
      </c>
      <c r="Z701" s="31">
        <f>ROUND(IF(AQ701="5",BJ701,0),2)</f>
        <v>0</v>
      </c>
      <c r="AB701" s="31">
        <f>ROUND(IF(AQ701="1",BH701,0),2)</f>
        <v>0</v>
      </c>
      <c r="AC701" s="31">
        <f>ROUND(IF(AQ701="1",BI701,0),2)</f>
        <v>0</v>
      </c>
      <c r="AD701" s="31">
        <f>ROUND(IF(AQ701="7",BH701,0),2)</f>
        <v>0</v>
      </c>
      <c r="AE701" s="31">
        <f>ROUND(IF(AQ701="7",BI701,0),2)</f>
        <v>0</v>
      </c>
      <c r="AF701" s="31">
        <f>ROUND(IF(AQ701="2",BH701,0),2)</f>
        <v>0</v>
      </c>
      <c r="AG701" s="31">
        <f>ROUND(IF(AQ701="2",BI701,0),2)</f>
        <v>0</v>
      </c>
      <c r="AH701" s="31">
        <f>ROUND(IF(AQ701="0",BJ701,0),2)</f>
        <v>0</v>
      </c>
      <c r="AI701" s="11" t="s">
        <v>73</v>
      </c>
      <c r="AJ701" s="31">
        <f>IF(AN701=0,J701,0)</f>
        <v>0</v>
      </c>
      <c r="AK701" s="31">
        <f>IF(AN701=12,J701,0)</f>
        <v>0</v>
      </c>
      <c r="AL701" s="31">
        <f>IF(AN701=21,J701,0)</f>
        <v>0</v>
      </c>
      <c r="AN701" s="31">
        <v>21</v>
      </c>
      <c r="AO701" s="31">
        <f>G701*0</f>
        <v>0</v>
      </c>
      <c r="AP701" s="31">
        <f>G701*(1-0)</f>
        <v>0</v>
      </c>
      <c r="AQ701" s="34" t="s">
        <v>85</v>
      </c>
      <c r="AV701" s="31">
        <f>ROUND(AW701+AX701,2)</f>
        <v>0</v>
      </c>
      <c r="AW701" s="31">
        <f>ROUND(F701*AO701,2)</f>
        <v>0</v>
      </c>
      <c r="AX701" s="31">
        <f>ROUND(F701*AP701,2)</f>
        <v>0</v>
      </c>
      <c r="AY701" s="34" t="s">
        <v>782</v>
      </c>
      <c r="AZ701" s="34" t="s">
        <v>1289</v>
      </c>
      <c r="BA701" s="11" t="s">
        <v>1002</v>
      </c>
      <c r="BC701" s="31">
        <f>AW701+AX701</f>
        <v>0</v>
      </c>
      <c r="BD701" s="31">
        <f>G701/(100-BE701)*100</f>
        <v>0</v>
      </c>
      <c r="BE701" s="31">
        <v>0</v>
      </c>
      <c r="BF701" s="31">
        <f>701</f>
        <v>701</v>
      </c>
      <c r="BH701" s="31">
        <f>F701*AO701</f>
        <v>0</v>
      </c>
      <c r="BI701" s="31">
        <f>F701*AP701</f>
        <v>0</v>
      </c>
      <c r="BJ701" s="31">
        <f>F701*G701</f>
        <v>0</v>
      </c>
      <c r="BK701" s="34" t="s">
        <v>64</v>
      </c>
      <c r="BL701" s="31"/>
      <c r="BW701" s="31">
        <v>21</v>
      </c>
      <c r="BX701" s="5" t="s">
        <v>795</v>
      </c>
    </row>
    <row r="702" spans="1:76" x14ac:dyDescent="0.25">
      <c r="A702" s="2" t="s">
        <v>1317</v>
      </c>
      <c r="B702" s="3" t="s">
        <v>797</v>
      </c>
      <c r="C702" s="112" t="s">
        <v>798</v>
      </c>
      <c r="D702" s="107"/>
      <c r="E702" s="3" t="s">
        <v>276</v>
      </c>
      <c r="F702" s="31">
        <v>0.19464000000000001</v>
      </c>
      <c r="G702" s="32">
        <v>0</v>
      </c>
      <c r="H702" s="31">
        <f>ROUND(F702*AO702,2)</f>
        <v>0</v>
      </c>
      <c r="I702" s="31">
        <f>ROUND(F702*AP702,2)</f>
        <v>0</v>
      </c>
      <c r="J702" s="31">
        <f>ROUND(F702*G702,2)</f>
        <v>0</v>
      </c>
      <c r="K702" s="33" t="s">
        <v>60</v>
      </c>
      <c r="Z702" s="31">
        <f>ROUND(IF(AQ702="5",BJ702,0),2)</f>
        <v>0</v>
      </c>
      <c r="AB702" s="31">
        <f>ROUND(IF(AQ702="1",BH702,0),2)</f>
        <v>0</v>
      </c>
      <c r="AC702" s="31">
        <f>ROUND(IF(AQ702="1",BI702,0),2)</f>
        <v>0</v>
      </c>
      <c r="AD702" s="31">
        <f>ROUND(IF(AQ702="7",BH702,0),2)</f>
        <v>0</v>
      </c>
      <c r="AE702" s="31">
        <f>ROUND(IF(AQ702="7",BI702,0),2)</f>
        <v>0</v>
      </c>
      <c r="AF702" s="31">
        <f>ROUND(IF(AQ702="2",BH702,0),2)</f>
        <v>0</v>
      </c>
      <c r="AG702" s="31">
        <f>ROUND(IF(AQ702="2",BI702,0),2)</f>
        <v>0</v>
      </c>
      <c r="AH702" s="31">
        <f>ROUND(IF(AQ702="0",BJ702,0),2)</f>
        <v>0</v>
      </c>
      <c r="AI702" s="11" t="s">
        <v>73</v>
      </c>
      <c r="AJ702" s="31">
        <f>IF(AN702=0,J702,0)</f>
        <v>0</v>
      </c>
      <c r="AK702" s="31">
        <f>IF(AN702=12,J702,0)</f>
        <v>0</v>
      </c>
      <c r="AL702" s="31">
        <f>IF(AN702=21,J702,0)</f>
        <v>0</v>
      </c>
      <c r="AN702" s="31">
        <v>21</v>
      </c>
      <c r="AO702" s="31">
        <f>G702*0</f>
        <v>0</v>
      </c>
      <c r="AP702" s="31">
        <f>G702*(1-0)</f>
        <v>0</v>
      </c>
      <c r="AQ702" s="34" t="s">
        <v>85</v>
      </c>
      <c r="AV702" s="31">
        <f>ROUND(AW702+AX702,2)</f>
        <v>0</v>
      </c>
      <c r="AW702" s="31">
        <f>ROUND(F702*AO702,2)</f>
        <v>0</v>
      </c>
      <c r="AX702" s="31">
        <f>ROUND(F702*AP702,2)</f>
        <v>0</v>
      </c>
      <c r="AY702" s="34" t="s">
        <v>782</v>
      </c>
      <c r="AZ702" s="34" t="s">
        <v>1289</v>
      </c>
      <c r="BA702" s="11" t="s">
        <v>1002</v>
      </c>
      <c r="BC702" s="31">
        <f>AW702+AX702</f>
        <v>0</v>
      </c>
      <c r="BD702" s="31">
        <f>G702/(100-BE702)*100</f>
        <v>0</v>
      </c>
      <c r="BE702" s="31">
        <v>0</v>
      </c>
      <c r="BF702" s="31">
        <f>702</f>
        <v>702</v>
      </c>
      <c r="BH702" s="31">
        <f>F702*AO702</f>
        <v>0</v>
      </c>
      <c r="BI702" s="31">
        <f>F702*AP702</f>
        <v>0</v>
      </c>
      <c r="BJ702" s="31">
        <f>F702*G702</f>
        <v>0</v>
      </c>
      <c r="BK702" s="34" t="s">
        <v>64</v>
      </c>
      <c r="BL702" s="31"/>
      <c r="BW702" s="31">
        <v>21</v>
      </c>
      <c r="BX702" s="5" t="s">
        <v>798</v>
      </c>
    </row>
    <row r="703" spans="1:76" x14ac:dyDescent="0.25">
      <c r="A703" s="46" t="s">
        <v>52</v>
      </c>
      <c r="B703" s="47" t="s">
        <v>52</v>
      </c>
      <c r="C703" s="141" t="s">
        <v>1318</v>
      </c>
      <c r="D703" s="142"/>
      <c r="E703" s="48" t="s">
        <v>4</v>
      </c>
      <c r="F703" s="48" t="s">
        <v>4</v>
      </c>
      <c r="G703" s="29" t="s">
        <v>4</v>
      </c>
      <c r="H703" s="49">
        <f>H704+H722+H725</f>
        <v>0</v>
      </c>
      <c r="I703" s="49">
        <f>I704+I722+I725</f>
        <v>0</v>
      </c>
      <c r="J703" s="49">
        <f>J704+J722+J725</f>
        <v>0</v>
      </c>
      <c r="K703" s="50" t="s">
        <v>52</v>
      </c>
    </row>
    <row r="704" spans="1:76" x14ac:dyDescent="0.25">
      <c r="A704" s="26" t="s">
        <v>52</v>
      </c>
      <c r="B704" s="27" t="s">
        <v>288</v>
      </c>
      <c r="C704" s="133" t="s">
        <v>289</v>
      </c>
      <c r="D704" s="134"/>
      <c r="E704" s="28" t="s">
        <v>4</v>
      </c>
      <c r="F704" s="28" t="s">
        <v>4</v>
      </c>
      <c r="G704" s="29" t="s">
        <v>4</v>
      </c>
      <c r="H704" s="1">
        <f>SUM(H705:H721)</f>
        <v>0</v>
      </c>
      <c r="I704" s="1">
        <f>SUM(I705:I721)</f>
        <v>0</v>
      </c>
      <c r="J704" s="1">
        <f>SUM(J705:J721)</f>
        <v>0</v>
      </c>
      <c r="K704" s="30" t="s">
        <v>52</v>
      </c>
      <c r="AI704" s="11" t="s">
        <v>78</v>
      </c>
      <c r="AS704" s="1">
        <f>SUM(AJ705:AJ721)</f>
        <v>0</v>
      </c>
      <c r="AT704" s="1">
        <f>SUM(AK705:AK721)</f>
        <v>0</v>
      </c>
      <c r="AU704" s="1">
        <f>SUM(AL705:AL721)</f>
        <v>0</v>
      </c>
    </row>
    <row r="705" spans="1:76" x14ac:dyDescent="0.25">
      <c r="A705" s="2" t="s">
        <v>1319</v>
      </c>
      <c r="B705" s="3" t="s">
        <v>1320</v>
      </c>
      <c r="C705" s="112" t="s">
        <v>1321</v>
      </c>
      <c r="D705" s="107"/>
      <c r="E705" s="3" t="s">
        <v>215</v>
      </c>
      <c r="F705" s="31">
        <v>2.2000000000000002</v>
      </c>
      <c r="G705" s="32">
        <v>0</v>
      </c>
      <c r="H705" s="31">
        <f>ROUND(F705*AO705,2)</f>
        <v>0</v>
      </c>
      <c r="I705" s="31">
        <f>ROUND(F705*AP705,2)</f>
        <v>0</v>
      </c>
      <c r="J705" s="31">
        <f>ROUND(F705*G705,2)</f>
        <v>0</v>
      </c>
      <c r="K705" s="33" t="s">
        <v>60</v>
      </c>
      <c r="Z705" s="31">
        <f>ROUND(IF(AQ705="5",BJ705,0),2)</f>
        <v>0</v>
      </c>
      <c r="AB705" s="31">
        <f>ROUND(IF(AQ705="1",BH705,0),2)</f>
        <v>0</v>
      </c>
      <c r="AC705" s="31">
        <f>ROUND(IF(AQ705="1",BI705,0),2)</f>
        <v>0</v>
      </c>
      <c r="AD705" s="31">
        <f>ROUND(IF(AQ705="7",BH705,0),2)</f>
        <v>0</v>
      </c>
      <c r="AE705" s="31">
        <f>ROUND(IF(AQ705="7",BI705,0),2)</f>
        <v>0</v>
      </c>
      <c r="AF705" s="31">
        <f>ROUND(IF(AQ705="2",BH705,0),2)</f>
        <v>0</v>
      </c>
      <c r="AG705" s="31">
        <f>ROUND(IF(AQ705="2",BI705,0),2)</f>
        <v>0</v>
      </c>
      <c r="AH705" s="31">
        <f>ROUND(IF(AQ705="0",BJ705,0),2)</f>
        <v>0</v>
      </c>
      <c r="AI705" s="11" t="s">
        <v>78</v>
      </c>
      <c r="AJ705" s="31">
        <f>IF(AN705=0,J705,0)</f>
        <v>0</v>
      </c>
      <c r="AK705" s="31">
        <f>IF(AN705=12,J705,0)</f>
        <v>0</v>
      </c>
      <c r="AL705" s="31">
        <f>IF(AN705=21,J705,0)</f>
        <v>0</v>
      </c>
      <c r="AN705" s="31">
        <v>21</v>
      </c>
      <c r="AO705" s="31">
        <f>G705*0</f>
        <v>0</v>
      </c>
      <c r="AP705" s="31">
        <f>G705*(1-0)</f>
        <v>0</v>
      </c>
      <c r="AQ705" s="34" t="s">
        <v>101</v>
      </c>
      <c r="AV705" s="31">
        <f>ROUND(AW705+AX705,2)</f>
        <v>0</v>
      </c>
      <c r="AW705" s="31">
        <f>ROUND(F705*AO705,2)</f>
        <v>0</v>
      </c>
      <c r="AX705" s="31">
        <f>ROUND(F705*AP705,2)</f>
        <v>0</v>
      </c>
      <c r="AY705" s="34" t="s">
        <v>292</v>
      </c>
      <c r="AZ705" s="34" t="s">
        <v>1322</v>
      </c>
      <c r="BA705" s="11" t="s">
        <v>1323</v>
      </c>
      <c r="BC705" s="31">
        <f>AW705+AX705</f>
        <v>0</v>
      </c>
      <c r="BD705" s="31">
        <f>G705/(100-BE705)*100</f>
        <v>0</v>
      </c>
      <c r="BE705" s="31">
        <v>0</v>
      </c>
      <c r="BF705" s="31">
        <f>705</f>
        <v>705</v>
      </c>
      <c r="BH705" s="31">
        <f>F705*AO705</f>
        <v>0</v>
      </c>
      <c r="BI705" s="31">
        <f>F705*AP705</f>
        <v>0</v>
      </c>
      <c r="BJ705" s="31">
        <f>F705*G705</f>
        <v>0</v>
      </c>
      <c r="BK705" s="34" t="s">
        <v>64</v>
      </c>
      <c r="BL705" s="31">
        <v>728</v>
      </c>
      <c r="BW705" s="31">
        <v>21</v>
      </c>
      <c r="BX705" s="5" t="s">
        <v>1321</v>
      </c>
    </row>
    <row r="706" spans="1:76" x14ac:dyDescent="0.25">
      <c r="A706" s="2" t="s">
        <v>1324</v>
      </c>
      <c r="B706" s="3" t="s">
        <v>1325</v>
      </c>
      <c r="C706" s="112" t="s">
        <v>1326</v>
      </c>
      <c r="D706" s="107"/>
      <c r="E706" s="3" t="s">
        <v>81</v>
      </c>
      <c r="F706" s="31">
        <v>1</v>
      </c>
      <c r="G706" s="32">
        <v>0</v>
      </c>
      <c r="H706" s="31">
        <f>ROUND(F706*AO706,2)</f>
        <v>0</v>
      </c>
      <c r="I706" s="31">
        <f>ROUND(F706*AP706,2)</f>
        <v>0</v>
      </c>
      <c r="J706" s="31">
        <f>ROUND(F706*G706,2)</f>
        <v>0</v>
      </c>
      <c r="K706" s="33" t="s">
        <v>60</v>
      </c>
      <c r="Z706" s="31">
        <f>ROUND(IF(AQ706="5",BJ706,0),2)</f>
        <v>0</v>
      </c>
      <c r="AB706" s="31">
        <f>ROUND(IF(AQ706="1",BH706,0),2)</f>
        <v>0</v>
      </c>
      <c r="AC706" s="31">
        <f>ROUND(IF(AQ706="1",BI706,0),2)</f>
        <v>0</v>
      </c>
      <c r="AD706" s="31">
        <f>ROUND(IF(AQ706="7",BH706,0),2)</f>
        <v>0</v>
      </c>
      <c r="AE706" s="31">
        <f>ROUND(IF(AQ706="7",BI706,0),2)</f>
        <v>0</v>
      </c>
      <c r="AF706" s="31">
        <f>ROUND(IF(AQ706="2",BH706,0),2)</f>
        <v>0</v>
      </c>
      <c r="AG706" s="31">
        <f>ROUND(IF(AQ706="2",BI706,0),2)</f>
        <v>0</v>
      </c>
      <c r="AH706" s="31">
        <f>ROUND(IF(AQ706="0",BJ706,0),2)</f>
        <v>0</v>
      </c>
      <c r="AI706" s="11" t="s">
        <v>78</v>
      </c>
      <c r="AJ706" s="31">
        <f>IF(AN706=0,J706,0)</f>
        <v>0</v>
      </c>
      <c r="AK706" s="31">
        <f>IF(AN706=12,J706,0)</f>
        <v>0</v>
      </c>
      <c r="AL706" s="31">
        <f>IF(AN706=21,J706,0)</f>
        <v>0</v>
      </c>
      <c r="AN706" s="31">
        <v>21</v>
      </c>
      <c r="AO706" s="31">
        <f>G706*0</f>
        <v>0</v>
      </c>
      <c r="AP706" s="31">
        <f>G706*(1-0)</f>
        <v>0</v>
      </c>
      <c r="AQ706" s="34" t="s">
        <v>101</v>
      </c>
      <c r="AV706" s="31">
        <f>ROUND(AW706+AX706,2)</f>
        <v>0</v>
      </c>
      <c r="AW706" s="31">
        <f>ROUND(F706*AO706,2)</f>
        <v>0</v>
      </c>
      <c r="AX706" s="31">
        <f>ROUND(F706*AP706,2)</f>
        <v>0</v>
      </c>
      <c r="AY706" s="34" t="s">
        <v>292</v>
      </c>
      <c r="AZ706" s="34" t="s">
        <v>1322</v>
      </c>
      <c r="BA706" s="11" t="s">
        <v>1323</v>
      </c>
      <c r="BC706" s="31">
        <f>AW706+AX706</f>
        <v>0</v>
      </c>
      <c r="BD706" s="31">
        <f>G706/(100-BE706)*100</f>
        <v>0</v>
      </c>
      <c r="BE706" s="31">
        <v>0</v>
      </c>
      <c r="BF706" s="31">
        <f>706</f>
        <v>706</v>
      </c>
      <c r="BH706" s="31">
        <f>F706*AO706</f>
        <v>0</v>
      </c>
      <c r="BI706" s="31">
        <f>F706*AP706</f>
        <v>0</v>
      </c>
      <c r="BJ706" s="31">
        <f>F706*G706</f>
        <v>0</v>
      </c>
      <c r="BK706" s="34" t="s">
        <v>64</v>
      </c>
      <c r="BL706" s="31">
        <v>728</v>
      </c>
      <c r="BW706" s="31">
        <v>21</v>
      </c>
      <c r="BX706" s="5" t="s">
        <v>1326</v>
      </c>
    </row>
    <row r="707" spans="1:76" x14ac:dyDescent="0.25">
      <c r="A707" s="2" t="s">
        <v>1327</v>
      </c>
      <c r="B707" s="3" t="s">
        <v>1328</v>
      </c>
      <c r="C707" s="112" t="s">
        <v>1329</v>
      </c>
      <c r="D707" s="107"/>
      <c r="E707" s="3" t="s">
        <v>276</v>
      </c>
      <c r="F707" s="31">
        <v>2.1600000000000001E-2</v>
      </c>
      <c r="G707" s="32">
        <v>0</v>
      </c>
      <c r="H707" s="31">
        <f>ROUND(F707*AO707,2)</f>
        <v>0</v>
      </c>
      <c r="I707" s="31">
        <f>ROUND(F707*AP707,2)</f>
        <v>0</v>
      </c>
      <c r="J707" s="31">
        <f>ROUND(F707*G707,2)</f>
        <v>0</v>
      </c>
      <c r="K707" s="33" t="s">
        <v>60</v>
      </c>
      <c r="Z707" s="31">
        <f>ROUND(IF(AQ707="5",BJ707,0),2)</f>
        <v>0</v>
      </c>
      <c r="AB707" s="31">
        <f>ROUND(IF(AQ707="1",BH707,0),2)</f>
        <v>0</v>
      </c>
      <c r="AC707" s="31">
        <f>ROUND(IF(AQ707="1",BI707,0),2)</f>
        <v>0</v>
      </c>
      <c r="AD707" s="31">
        <f>ROUND(IF(AQ707="7",BH707,0),2)</f>
        <v>0</v>
      </c>
      <c r="AE707" s="31">
        <f>ROUND(IF(AQ707="7",BI707,0),2)</f>
        <v>0</v>
      </c>
      <c r="AF707" s="31">
        <f>ROUND(IF(AQ707="2",BH707,0),2)</f>
        <v>0</v>
      </c>
      <c r="AG707" s="31">
        <f>ROUND(IF(AQ707="2",BI707,0),2)</f>
        <v>0</v>
      </c>
      <c r="AH707" s="31">
        <f>ROUND(IF(AQ707="0",BJ707,0),2)</f>
        <v>0</v>
      </c>
      <c r="AI707" s="11" t="s">
        <v>78</v>
      </c>
      <c r="AJ707" s="31">
        <f>IF(AN707=0,J707,0)</f>
        <v>0</v>
      </c>
      <c r="AK707" s="31">
        <f>IF(AN707=12,J707,0)</f>
        <v>0</v>
      </c>
      <c r="AL707" s="31">
        <f>IF(AN707=21,J707,0)</f>
        <v>0</v>
      </c>
      <c r="AN707" s="31">
        <v>21</v>
      </c>
      <c r="AO707" s="31">
        <f>G707*0</f>
        <v>0</v>
      </c>
      <c r="AP707" s="31">
        <f>G707*(1-0)</f>
        <v>0</v>
      </c>
      <c r="AQ707" s="34" t="s">
        <v>101</v>
      </c>
      <c r="AV707" s="31">
        <f>ROUND(AW707+AX707,2)</f>
        <v>0</v>
      </c>
      <c r="AW707" s="31">
        <f>ROUND(F707*AO707,2)</f>
        <v>0</v>
      </c>
      <c r="AX707" s="31">
        <f>ROUND(F707*AP707,2)</f>
        <v>0</v>
      </c>
      <c r="AY707" s="34" t="s">
        <v>292</v>
      </c>
      <c r="AZ707" s="34" t="s">
        <v>1322</v>
      </c>
      <c r="BA707" s="11" t="s">
        <v>1323</v>
      </c>
      <c r="BC707" s="31">
        <f>AW707+AX707</f>
        <v>0</v>
      </c>
      <c r="BD707" s="31">
        <f>G707/(100-BE707)*100</f>
        <v>0</v>
      </c>
      <c r="BE707" s="31">
        <v>0</v>
      </c>
      <c r="BF707" s="31">
        <f>707</f>
        <v>707</v>
      </c>
      <c r="BH707" s="31">
        <f>F707*AO707</f>
        <v>0</v>
      </c>
      <c r="BI707" s="31">
        <f>F707*AP707</f>
        <v>0</v>
      </c>
      <c r="BJ707" s="31">
        <f>F707*G707</f>
        <v>0</v>
      </c>
      <c r="BK707" s="34" t="s">
        <v>64</v>
      </c>
      <c r="BL707" s="31">
        <v>728</v>
      </c>
      <c r="BW707" s="31">
        <v>21</v>
      </c>
      <c r="BX707" s="5" t="s">
        <v>1329</v>
      </c>
    </row>
    <row r="708" spans="1:76" x14ac:dyDescent="0.25">
      <c r="A708" s="35"/>
      <c r="C708" s="36" t="s">
        <v>1330</v>
      </c>
      <c r="D708" s="36" t="s">
        <v>52</v>
      </c>
      <c r="F708" s="37">
        <v>2.1600000000000001E-2</v>
      </c>
      <c r="K708" s="38"/>
    </row>
    <row r="709" spans="1:76" x14ac:dyDescent="0.25">
      <c r="A709" s="2" t="s">
        <v>1331</v>
      </c>
      <c r="B709" s="3" t="s">
        <v>1332</v>
      </c>
      <c r="C709" s="112" t="s">
        <v>1333</v>
      </c>
      <c r="D709" s="107"/>
      <c r="E709" s="3" t="s">
        <v>81</v>
      </c>
      <c r="F709" s="31">
        <v>1</v>
      </c>
      <c r="G709" s="32">
        <v>0</v>
      </c>
      <c r="H709" s="31">
        <f>ROUND(F709*AO709,2)</f>
        <v>0</v>
      </c>
      <c r="I709" s="31">
        <f>ROUND(F709*AP709,2)</f>
        <v>0</v>
      </c>
      <c r="J709" s="31">
        <f>ROUND(F709*G709,2)</f>
        <v>0</v>
      </c>
      <c r="K709" s="33" t="s">
        <v>60</v>
      </c>
      <c r="Z709" s="31">
        <f>ROUND(IF(AQ709="5",BJ709,0),2)</f>
        <v>0</v>
      </c>
      <c r="AB709" s="31">
        <f>ROUND(IF(AQ709="1",BH709,0),2)</f>
        <v>0</v>
      </c>
      <c r="AC709" s="31">
        <f>ROUND(IF(AQ709="1",BI709,0),2)</f>
        <v>0</v>
      </c>
      <c r="AD709" s="31">
        <f>ROUND(IF(AQ709="7",BH709,0),2)</f>
        <v>0</v>
      </c>
      <c r="AE709" s="31">
        <f>ROUND(IF(AQ709="7",BI709,0),2)</f>
        <v>0</v>
      </c>
      <c r="AF709" s="31">
        <f>ROUND(IF(AQ709="2",BH709,0),2)</f>
        <v>0</v>
      </c>
      <c r="AG709" s="31">
        <f>ROUND(IF(AQ709="2",BI709,0),2)</f>
        <v>0</v>
      </c>
      <c r="AH709" s="31">
        <f>ROUND(IF(AQ709="0",BJ709,0),2)</f>
        <v>0</v>
      </c>
      <c r="AI709" s="11" t="s">
        <v>78</v>
      </c>
      <c r="AJ709" s="31">
        <f>IF(AN709=0,J709,0)</f>
        <v>0</v>
      </c>
      <c r="AK709" s="31">
        <f>IF(AN709=12,J709,0)</f>
        <v>0</v>
      </c>
      <c r="AL709" s="31">
        <f>IF(AN709=21,J709,0)</f>
        <v>0</v>
      </c>
      <c r="AN709" s="31">
        <v>21</v>
      </c>
      <c r="AO709" s="31">
        <f>G709*0</f>
        <v>0</v>
      </c>
      <c r="AP709" s="31">
        <f>G709*(1-0)</f>
        <v>0</v>
      </c>
      <c r="AQ709" s="34" t="s">
        <v>101</v>
      </c>
      <c r="AV709" s="31">
        <f>ROUND(AW709+AX709,2)</f>
        <v>0</v>
      </c>
      <c r="AW709" s="31">
        <f>ROUND(F709*AO709,2)</f>
        <v>0</v>
      </c>
      <c r="AX709" s="31">
        <f>ROUND(F709*AP709,2)</f>
        <v>0</v>
      </c>
      <c r="AY709" s="34" t="s">
        <v>292</v>
      </c>
      <c r="AZ709" s="34" t="s">
        <v>1322</v>
      </c>
      <c r="BA709" s="11" t="s">
        <v>1323</v>
      </c>
      <c r="BC709" s="31">
        <f>AW709+AX709</f>
        <v>0</v>
      </c>
      <c r="BD709" s="31">
        <f>G709/(100-BE709)*100</f>
        <v>0</v>
      </c>
      <c r="BE709" s="31">
        <v>0</v>
      </c>
      <c r="BF709" s="31">
        <f>709</f>
        <v>709</v>
      </c>
      <c r="BH709" s="31">
        <f>F709*AO709</f>
        <v>0</v>
      </c>
      <c r="BI709" s="31">
        <f>F709*AP709</f>
        <v>0</v>
      </c>
      <c r="BJ709" s="31">
        <f>F709*G709</f>
        <v>0</v>
      </c>
      <c r="BK709" s="34" t="s">
        <v>64</v>
      </c>
      <c r="BL709" s="31">
        <v>728</v>
      </c>
      <c r="BW709" s="31">
        <v>21</v>
      </c>
      <c r="BX709" s="5" t="s">
        <v>1333</v>
      </c>
    </row>
    <row r="710" spans="1:76" x14ac:dyDescent="0.25">
      <c r="A710" s="35"/>
      <c r="C710" s="36" t="s">
        <v>56</v>
      </c>
      <c r="D710" s="36" t="s">
        <v>1334</v>
      </c>
      <c r="F710" s="37">
        <v>1</v>
      </c>
      <c r="K710" s="38"/>
    </row>
    <row r="711" spans="1:76" x14ac:dyDescent="0.25">
      <c r="A711" s="2" t="s">
        <v>1335</v>
      </c>
      <c r="B711" s="3" t="s">
        <v>1336</v>
      </c>
      <c r="C711" s="112" t="s">
        <v>1337</v>
      </c>
      <c r="D711" s="107"/>
      <c r="E711" s="3" t="s">
        <v>81</v>
      </c>
      <c r="F711" s="31">
        <v>1</v>
      </c>
      <c r="G711" s="32">
        <v>0</v>
      </c>
      <c r="H711" s="31">
        <f>ROUND(F711*AO711,2)</f>
        <v>0</v>
      </c>
      <c r="I711" s="31">
        <f>ROUND(F711*AP711,2)</f>
        <v>0</v>
      </c>
      <c r="J711" s="31">
        <f>ROUND(F711*G711,2)</f>
        <v>0</v>
      </c>
      <c r="K711" s="33" t="s">
        <v>60</v>
      </c>
      <c r="Z711" s="31">
        <f>ROUND(IF(AQ711="5",BJ711,0),2)</f>
        <v>0</v>
      </c>
      <c r="AB711" s="31">
        <f>ROUND(IF(AQ711="1",BH711,0),2)</f>
        <v>0</v>
      </c>
      <c r="AC711" s="31">
        <f>ROUND(IF(AQ711="1",BI711,0),2)</f>
        <v>0</v>
      </c>
      <c r="AD711" s="31">
        <f>ROUND(IF(AQ711="7",BH711,0),2)</f>
        <v>0</v>
      </c>
      <c r="AE711" s="31">
        <f>ROUND(IF(AQ711="7",BI711,0),2)</f>
        <v>0</v>
      </c>
      <c r="AF711" s="31">
        <f>ROUND(IF(AQ711="2",BH711,0),2)</f>
        <v>0</v>
      </c>
      <c r="AG711" s="31">
        <f>ROUND(IF(AQ711="2",BI711,0),2)</f>
        <v>0</v>
      </c>
      <c r="AH711" s="31">
        <f>ROUND(IF(AQ711="0",BJ711,0),2)</f>
        <v>0</v>
      </c>
      <c r="AI711" s="11" t="s">
        <v>78</v>
      </c>
      <c r="AJ711" s="31">
        <f>IF(AN711=0,J711,0)</f>
        <v>0</v>
      </c>
      <c r="AK711" s="31">
        <f>IF(AN711=12,J711,0)</f>
        <v>0</v>
      </c>
      <c r="AL711" s="31">
        <f>IF(AN711=21,J711,0)</f>
        <v>0</v>
      </c>
      <c r="AN711" s="31">
        <v>21</v>
      </c>
      <c r="AO711" s="31">
        <f>G711*0</f>
        <v>0</v>
      </c>
      <c r="AP711" s="31">
        <f>G711*(1-0)</f>
        <v>0</v>
      </c>
      <c r="AQ711" s="34" t="s">
        <v>101</v>
      </c>
      <c r="AV711" s="31">
        <f>ROUND(AW711+AX711,2)</f>
        <v>0</v>
      </c>
      <c r="AW711" s="31">
        <f>ROUND(F711*AO711,2)</f>
        <v>0</v>
      </c>
      <c r="AX711" s="31">
        <f>ROUND(F711*AP711,2)</f>
        <v>0</v>
      </c>
      <c r="AY711" s="34" t="s">
        <v>292</v>
      </c>
      <c r="AZ711" s="34" t="s">
        <v>1322</v>
      </c>
      <c r="BA711" s="11" t="s">
        <v>1323</v>
      </c>
      <c r="BC711" s="31">
        <f>AW711+AX711</f>
        <v>0</v>
      </c>
      <c r="BD711" s="31">
        <f>G711/(100-BE711)*100</f>
        <v>0</v>
      </c>
      <c r="BE711" s="31">
        <v>0</v>
      </c>
      <c r="BF711" s="31">
        <f>711</f>
        <v>711</v>
      </c>
      <c r="BH711" s="31">
        <f>F711*AO711</f>
        <v>0</v>
      </c>
      <c r="BI711" s="31">
        <f>F711*AP711</f>
        <v>0</v>
      </c>
      <c r="BJ711" s="31">
        <f>F711*G711</f>
        <v>0</v>
      </c>
      <c r="BK711" s="34" t="s">
        <v>64</v>
      </c>
      <c r="BL711" s="31">
        <v>728</v>
      </c>
      <c r="BW711" s="31">
        <v>21</v>
      </c>
      <c r="BX711" s="5" t="s">
        <v>1337</v>
      </c>
    </row>
    <row r="712" spans="1:76" ht="25.5" x14ac:dyDescent="0.25">
      <c r="A712" s="39" t="s">
        <v>1338</v>
      </c>
      <c r="B712" s="40" t="s">
        <v>240</v>
      </c>
      <c r="C712" s="135" t="s">
        <v>1339</v>
      </c>
      <c r="D712" s="136"/>
      <c r="E712" s="40" t="s">
        <v>81</v>
      </c>
      <c r="F712" s="42">
        <v>1</v>
      </c>
      <c r="G712" s="43">
        <v>0</v>
      </c>
      <c r="H712" s="42">
        <f>ROUND(F712*AO712,2)</f>
        <v>0</v>
      </c>
      <c r="I712" s="42">
        <f>ROUND(F712*AP712,2)</f>
        <v>0</v>
      </c>
      <c r="J712" s="42">
        <f>ROUND(F712*G712,2)</f>
        <v>0</v>
      </c>
      <c r="K712" s="44" t="s">
        <v>242</v>
      </c>
      <c r="Z712" s="31">
        <f>ROUND(IF(AQ712="5",BJ712,0),2)</f>
        <v>0</v>
      </c>
      <c r="AB712" s="31">
        <f>ROUND(IF(AQ712="1",BH712,0),2)</f>
        <v>0</v>
      </c>
      <c r="AC712" s="31">
        <f>ROUND(IF(AQ712="1",BI712,0),2)</f>
        <v>0</v>
      </c>
      <c r="AD712" s="31">
        <f>ROUND(IF(AQ712="7",BH712,0),2)</f>
        <v>0</v>
      </c>
      <c r="AE712" s="31">
        <f>ROUND(IF(AQ712="7",BI712,0),2)</f>
        <v>0</v>
      </c>
      <c r="AF712" s="31">
        <f>ROUND(IF(AQ712="2",BH712,0),2)</f>
        <v>0</v>
      </c>
      <c r="AG712" s="31">
        <f>ROUND(IF(AQ712="2",BI712,0),2)</f>
        <v>0</v>
      </c>
      <c r="AH712" s="31">
        <f>ROUND(IF(AQ712="0",BJ712,0),2)</f>
        <v>0</v>
      </c>
      <c r="AI712" s="11" t="s">
        <v>78</v>
      </c>
      <c r="AJ712" s="42">
        <f>IF(AN712=0,J712,0)</f>
        <v>0</v>
      </c>
      <c r="AK712" s="42">
        <f>IF(AN712=12,J712,0)</f>
        <v>0</v>
      </c>
      <c r="AL712" s="42">
        <f>IF(AN712=21,J712,0)</f>
        <v>0</v>
      </c>
      <c r="AN712" s="31">
        <v>21</v>
      </c>
      <c r="AO712" s="31">
        <f>G712*1</f>
        <v>0</v>
      </c>
      <c r="AP712" s="31">
        <f>G712*(1-1)</f>
        <v>0</v>
      </c>
      <c r="AQ712" s="45" t="s">
        <v>101</v>
      </c>
      <c r="AV712" s="31">
        <f>ROUND(AW712+AX712,2)</f>
        <v>0</v>
      </c>
      <c r="AW712" s="31">
        <f>ROUND(F712*AO712,2)</f>
        <v>0</v>
      </c>
      <c r="AX712" s="31">
        <f>ROUND(F712*AP712,2)</f>
        <v>0</v>
      </c>
      <c r="AY712" s="34" t="s">
        <v>292</v>
      </c>
      <c r="AZ712" s="34" t="s">
        <v>1322</v>
      </c>
      <c r="BA712" s="11" t="s">
        <v>1323</v>
      </c>
      <c r="BC712" s="31">
        <f>AW712+AX712</f>
        <v>0</v>
      </c>
      <c r="BD712" s="31">
        <f>G712/(100-BE712)*100</f>
        <v>0</v>
      </c>
      <c r="BE712" s="31">
        <v>0</v>
      </c>
      <c r="BF712" s="31">
        <f>712</f>
        <v>712</v>
      </c>
      <c r="BH712" s="42">
        <f>F712*AO712</f>
        <v>0</v>
      </c>
      <c r="BI712" s="42">
        <f>F712*AP712</f>
        <v>0</v>
      </c>
      <c r="BJ712" s="42">
        <f>F712*G712</f>
        <v>0</v>
      </c>
      <c r="BK712" s="45" t="s">
        <v>70</v>
      </c>
      <c r="BL712" s="31">
        <v>728</v>
      </c>
      <c r="BW712" s="31">
        <v>21</v>
      </c>
      <c r="BX712" s="41" t="s">
        <v>1339</v>
      </c>
    </row>
    <row r="713" spans="1:76" x14ac:dyDescent="0.25">
      <c r="A713" s="2" t="s">
        <v>1340</v>
      </c>
      <c r="B713" s="3" t="s">
        <v>1341</v>
      </c>
      <c r="C713" s="112" t="s">
        <v>1342</v>
      </c>
      <c r="D713" s="107"/>
      <c r="E713" s="3" t="s">
        <v>215</v>
      </c>
      <c r="F713" s="31">
        <v>0.5</v>
      </c>
      <c r="G713" s="32">
        <v>0</v>
      </c>
      <c r="H713" s="31">
        <f>ROUND(F713*AO713,2)</f>
        <v>0</v>
      </c>
      <c r="I713" s="31">
        <f>ROUND(F713*AP713,2)</f>
        <v>0</v>
      </c>
      <c r="J713" s="31">
        <f>ROUND(F713*G713,2)</f>
        <v>0</v>
      </c>
      <c r="K713" s="33" t="s">
        <v>60</v>
      </c>
      <c r="Z713" s="31">
        <f>ROUND(IF(AQ713="5",BJ713,0),2)</f>
        <v>0</v>
      </c>
      <c r="AB713" s="31">
        <f>ROUND(IF(AQ713="1",BH713,0),2)</f>
        <v>0</v>
      </c>
      <c r="AC713" s="31">
        <f>ROUND(IF(AQ713="1",BI713,0),2)</f>
        <v>0</v>
      </c>
      <c r="AD713" s="31">
        <f>ROUND(IF(AQ713="7",BH713,0),2)</f>
        <v>0</v>
      </c>
      <c r="AE713" s="31">
        <f>ROUND(IF(AQ713="7",BI713,0),2)</f>
        <v>0</v>
      </c>
      <c r="AF713" s="31">
        <f>ROUND(IF(AQ713="2",BH713,0),2)</f>
        <v>0</v>
      </c>
      <c r="AG713" s="31">
        <f>ROUND(IF(AQ713="2",BI713,0),2)</f>
        <v>0</v>
      </c>
      <c r="AH713" s="31">
        <f>ROUND(IF(AQ713="0",BJ713,0),2)</f>
        <v>0</v>
      </c>
      <c r="AI713" s="11" t="s">
        <v>78</v>
      </c>
      <c r="AJ713" s="31">
        <f>IF(AN713=0,J713,0)</f>
        <v>0</v>
      </c>
      <c r="AK713" s="31">
        <f>IF(AN713=12,J713,0)</f>
        <v>0</v>
      </c>
      <c r="AL713" s="31">
        <f>IF(AN713=21,J713,0)</f>
        <v>0</v>
      </c>
      <c r="AN713" s="31">
        <v>21</v>
      </c>
      <c r="AO713" s="31">
        <f>G713*0.242274882</f>
        <v>0</v>
      </c>
      <c r="AP713" s="31">
        <f>G713*(1-0.242274882)</f>
        <v>0</v>
      </c>
      <c r="AQ713" s="34" t="s">
        <v>101</v>
      </c>
      <c r="AV713" s="31">
        <f>ROUND(AW713+AX713,2)</f>
        <v>0</v>
      </c>
      <c r="AW713" s="31">
        <f>ROUND(F713*AO713,2)</f>
        <v>0</v>
      </c>
      <c r="AX713" s="31">
        <f>ROUND(F713*AP713,2)</f>
        <v>0</v>
      </c>
      <c r="AY713" s="34" t="s">
        <v>292</v>
      </c>
      <c r="AZ713" s="34" t="s">
        <v>1322</v>
      </c>
      <c r="BA713" s="11" t="s">
        <v>1323</v>
      </c>
      <c r="BC713" s="31">
        <f>AW713+AX713</f>
        <v>0</v>
      </c>
      <c r="BD713" s="31">
        <f>G713/(100-BE713)*100</f>
        <v>0</v>
      </c>
      <c r="BE713" s="31">
        <v>0</v>
      </c>
      <c r="BF713" s="31">
        <f>713</f>
        <v>713</v>
      </c>
      <c r="BH713" s="31">
        <f>F713*AO713</f>
        <v>0</v>
      </c>
      <c r="BI713" s="31">
        <f>F713*AP713</f>
        <v>0</v>
      </c>
      <c r="BJ713" s="31">
        <f>F713*G713</f>
        <v>0</v>
      </c>
      <c r="BK713" s="34" t="s">
        <v>64</v>
      </c>
      <c r="BL713" s="31">
        <v>728</v>
      </c>
      <c r="BW713" s="31">
        <v>21</v>
      </c>
      <c r="BX713" s="5" t="s">
        <v>1342</v>
      </c>
    </row>
    <row r="714" spans="1:76" ht="27" customHeight="1" x14ac:dyDescent="0.25">
      <c r="A714" s="35"/>
      <c r="C714" s="137" t="s">
        <v>1343</v>
      </c>
      <c r="D714" s="138"/>
      <c r="E714" s="138"/>
      <c r="F714" s="138"/>
      <c r="G714" s="139"/>
      <c r="H714" s="138"/>
      <c r="I714" s="138"/>
      <c r="J714" s="138"/>
      <c r="K714" s="140"/>
    </row>
    <row r="715" spans="1:76" x14ac:dyDescent="0.25">
      <c r="A715" s="2" t="s">
        <v>1344</v>
      </c>
      <c r="B715" s="3" t="s">
        <v>1345</v>
      </c>
      <c r="C715" s="112" t="s">
        <v>1346</v>
      </c>
      <c r="D715" s="107"/>
      <c r="E715" s="3" t="s">
        <v>215</v>
      </c>
      <c r="F715" s="31">
        <v>0.6</v>
      </c>
      <c r="G715" s="32">
        <v>0</v>
      </c>
      <c r="H715" s="31">
        <f>ROUND(F715*AO715,2)</f>
        <v>0</v>
      </c>
      <c r="I715" s="31">
        <f>ROUND(F715*AP715,2)</f>
        <v>0</v>
      </c>
      <c r="J715" s="31">
        <f>ROUND(F715*G715,2)</f>
        <v>0</v>
      </c>
      <c r="K715" s="33" t="s">
        <v>60</v>
      </c>
      <c r="Z715" s="31">
        <f>ROUND(IF(AQ715="5",BJ715,0),2)</f>
        <v>0</v>
      </c>
      <c r="AB715" s="31">
        <f>ROUND(IF(AQ715="1",BH715,0),2)</f>
        <v>0</v>
      </c>
      <c r="AC715" s="31">
        <f>ROUND(IF(AQ715="1",BI715,0),2)</f>
        <v>0</v>
      </c>
      <c r="AD715" s="31">
        <f>ROUND(IF(AQ715="7",BH715,0),2)</f>
        <v>0</v>
      </c>
      <c r="AE715" s="31">
        <f>ROUND(IF(AQ715="7",BI715,0),2)</f>
        <v>0</v>
      </c>
      <c r="AF715" s="31">
        <f>ROUND(IF(AQ715="2",BH715,0),2)</f>
        <v>0</v>
      </c>
      <c r="AG715" s="31">
        <f>ROUND(IF(AQ715="2",BI715,0),2)</f>
        <v>0</v>
      </c>
      <c r="AH715" s="31">
        <f>ROUND(IF(AQ715="0",BJ715,0),2)</f>
        <v>0</v>
      </c>
      <c r="AI715" s="11" t="s">
        <v>78</v>
      </c>
      <c r="AJ715" s="31">
        <f>IF(AN715=0,J715,0)</f>
        <v>0</v>
      </c>
      <c r="AK715" s="31">
        <f>IF(AN715=12,J715,0)</f>
        <v>0</v>
      </c>
      <c r="AL715" s="31">
        <f>IF(AN715=21,J715,0)</f>
        <v>0</v>
      </c>
      <c r="AN715" s="31">
        <v>21</v>
      </c>
      <c r="AO715" s="31">
        <f>G715*0.255362989</f>
        <v>0</v>
      </c>
      <c r="AP715" s="31">
        <f>G715*(1-0.255362989)</f>
        <v>0</v>
      </c>
      <c r="AQ715" s="34" t="s">
        <v>101</v>
      </c>
      <c r="AV715" s="31">
        <f>ROUND(AW715+AX715,2)</f>
        <v>0</v>
      </c>
      <c r="AW715" s="31">
        <f>ROUND(F715*AO715,2)</f>
        <v>0</v>
      </c>
      <c r="AX715" s="31">
        <f>ROUND(F715*AP715,2)</f>
        <v>0</v>
      </c>
      <c r="AY715" s="34" t="s">
        <v>292</v>
      </c>
      <c r="AZ715" s="34" t="s">
        <v>1322</v>
      </c>
      <c r="BA715" s="11" t="s">
        <v>1323</v>
      </c>
      <c r="BC715" s="31">
        <f>AW715+AX715</f>
        <v>0</v>
      </c>
      <c r="BD715" s="31">
        <f>G715/(100-BE715)*100</f>
        <v>0</v>
      </c>
      <c r="BE715" s="31">
        <v>0</v>
      </c>
      <c r="BF715" s="31">
        <f>715</f>
        <v>715</v>
      </c>
      <c r="BH715" s="31">
        <f>F715*AO715</f>
        <v>0</v>
      </c>
      <c r="BI715" s="31">
        <f>F715*AP715</f>
        <v>0</v>
      </c>
      <c r="BJ715" s="31">
        <f>F715*G715</f>
        <v>0</v>
      </c>
      <c r="BK715" s="34" t="s">
        <v>64</v>
      </c>
      <c r="BL715" s="31">
        <v>728</v>
      </c>
      <c r="BW715" s="31">
        <v>21</v>
      </c>
      <c r="BX715" s="5" t="s">
        <v>1346</v>
      </c>
    </row>
    <row r="716" spans="1:76" ht="27" customHeight="1" x14ac:dyDescent="0.25">
      <c r="A716" s="35"/>
      <c r="C716" s="137" t="s">
        <v>1347</v>
      </c>
      <c r="D716" s="138"/>
      <c r="E716" s="138"/>
      <c r="F716" s="138"/>
      <c r="G716" s="139"/>
      <c r="H716" s="138"/>
      <c r="I716" s="138"/>
      <c r="J716" s="138"/>
      <c r="K716" s="140"/>
    </row>
    <row r="717" spans="1:76" x14ac:dyDescent="0.25">
      <c r="A717" s="2" t="s">
        <v>1348</v>
      </c>
      <c r="B717" s="3" t="s">
        <v>1349</v>
      </c>
      <c r="C717" s="112" t="s">
        <v>1350</v>
      </c>
      <c r="D717" s="107"/>
      <c r="E717" s="3" t="s">
        <v>81</v>
      </c>
      <c r="F717" s="31">
        <v>1</v>
      </c>
      <c r="G717" s="32">
        <v>0</v>
      </c>
      <c r="H717" s="31">
        <f>ROUND(F717*AO717,2)</f>
        <v>0</v>
      </c>
      <c r="I717" s="31">
        <f>ROUND(F717*AP717,2)</f>
        <v>0</v>
      </c>
      <c r="J717" s="31">
        <f>ROUND(F717*G717,2)</f>
        <v>0</v>
      </c>
      <c r="K717" s="33" t="s">
        <v>60</v>
      </c>
      <c r="Z717" s="31">
        <f>ROUND(IF(AQ717="5",BJ717,0),2)</f>
        <v>0</v>
      </c>
      <c r="AB717" s="31">
        <f>ROUND(IF(AQ717="1",BH717,0),2)</f>
        <v>0</v>
      </c>
      <c r="AC717" s="31">
        <f>ROUND(IF(AQ717="1",BI717,0),2)</f>
        <v>0</v>
      </c>
      <c r="AD717" s="31">
        <f>ROUND(IF(AQ717="7",BH717,0),2)</f>
        <v>0</v>
      </c>
      <c r="AE717" s="31">
        <f>ROUND(IF(AQ717="7",BI717,0),2)</f>
        <v>0</v>
      </c>
      <c r="AF717" s="31">
        <f>ROUND(IF(AQ717="2",BH717,0),2)</f>
        <v>0</v>
      </c>
      <c r="AG717" s="31">
        <f>ROUND(IF(AQ717="2",BI717,0),2)</f>
        <v>0</v>
      </c>
      <c r="AH717" s="31">
        <f>ROUND(IF(AQ717="0",BJ717,0),2)</f>
        <v>0</v>
      </c>
      <c r="AI717" s="11" t="s">
        <v>78</v>
      </c>
      <c r="AJ717" s="31">
        <f>IF(AN717=0,J717,0)</f>
        <v>0</v>
      </c>
      <c r="AK717" s="31">
        <f>IF(AN717=12,J717,0)</f>
        <v>0</v>
      </c>
      <c r="AL717" s="31">
        <f>IF(AN717=21,J717,0)</f>
        <v>0</v>
      </c>
      <c r="AN717" s="31">
        <v>21</v>
      </c>
      <c r="AO717" s="31">
        <f>G717*0</f>
        <v>0</v>
      </c>
      <c r="AP717" s="31">
        <f>G717*(1-0)</f>
        <v>0</v>
      </c>
      <c r="AQ717" s="34" t="s">
        <v>101</v>
      </c>
      <c r="AV717" s="31">
        <f>ROUND(AW717+AX717,2)</f>
        <v>0</v>
      </c>
      <c r="AW717" s="31">
        <f>ROUND(F717*AO717,2)</f>
        <v>0</v>
      </c>
      <c r="AX717" s="31">
        <f>ROUND(F717*AP717,2)</f>
        <v>0</v>
      </c>
      <c r="AY717" s="34" t="s">
        <v>292</v>
      </c>
      <c r="AZ717" s="34" t="s">
        <v>1322</v>
      </c>
      <c r="BA717" s="11" t="s">
        <v>1323</v>
      </c>
      <c r="BC717" s="31">
        <f>AW717+AX717</f>
        <v>0</v>
      </c>
      <c r="BD717" s="31">
        <f>G717/(100-BE717)*100</f>
        <v>0</v>
      </c>
      <c r="BE717" s="31">
        <v>0</v>
      </c>
      <c r="BF717" s="31">
        <f>717</f>
        <v>717</v>
      </c>
      <c r="BH717" s="31">
        <f>F717*AO717</f>
        <v>0</v>
      </c>
      <c r="BI717" s="31">
        <f>F717*AP717</f>
        <v>0</v>
      </c>
      <c r="BJ717" s="31">
        <f>F717*G717</f>
        <v>0</v>
      </c>
      <c r="BK717" s="34" t="s">
        <v>64</v>
      </c>
      <c r="BL717" s="31">
        <v>728</v>
      </c>
      <c r="BW717" s="31">
        <v>21</v>
      </c>
      <c r="BX717" s="5" t="s">
        <v>1350</v>
      </c>
    </row>
    <row r="718" spans="1:76" x14ac:dyDescent="0.25">
      <c r="A718" s="39" t="s">
        <v>1351</v>
      </c>
      <c r="B718" s="40" t="s">
        <v>240</v>
      </c>
      <c r="C718" s="135" t="s">
        <v>1352</v>
      </c>
      <c r="D718" s="136"/>
      <c r="E718" s="40" t="s">
        <v>81</v>
      </c>
      <c r="F718" s="42">
        <v>1</v>
      </c>
      <c r="G718" s="43">
        <v>0</v>
      </c>
      <c r="H718" s="42">
        <f>ROUND(F718*AO718,2)</f>
        <v>0</v>
      </c>
      <c r="I718" s="42">
        <f>ROUND(F718*AP718,2)</f>
        <v>0</v>
      </c>
      <c r="J718" s="42">
        <f>ROUND(F718*G718,2)</f>
        <v>0</v>
      </c>
      <c r="K718" s="44" t="s">
        <v>242</v>
      </c>
      <c r="Z718" s="31">
        <f>ROUND(IF(AQ718="5",BJ718,0),2)</f>
        <v>0</v>
      </c>
      <c r="AB718" s="31">
        <f>ROUND(IF(AQ718="1",BH718,0),2)</f>
        <v>0</v>
      </c>
      <c r="AC718" s="31">
        <f>ROUND(IF(AQ718="1",BI718,0),2)</f>
        <v>0</v>
      </c>
      <c r="AD718" s="31">
        <f>ROUND(IF(AQ718="7",BH718,0),2)</f>
        <v>0</v>
      </c>
      <c r="AE718" s="31">
        <f>ROUND(IF(AQ718="7",BI718,0),2)</f>
        <v>0</v>
      </c>
      <c r="AF718" s="31">
        <f>ROUND(IF(AQ718="2",BH718,0),2)</f>
        <v>0</v>
      </c>
      <c r="AG718" s="31">
        <f>ROUND(IF(AQ718="2",BI718,0),2)</f>
        <v>0</v>
      </c>
      <c r="AH718" s="31">
        <f>ROUND(IF(AQ718="0",BJ718,0),2)</f>
        <v>0</v>
      </c>
      <c r="AI718" s="11" t="s">
        <v>78</v>
      </c>
      <c r="AJ718" s="42">
        <f>IF(AN718=0,J718,0)</f>
        <v>0</v>
      </c>
      <c r="AK718" s="42">
        <f>IF(AN718=12,J718,0)</f>
        <v>0</v>
      </c>
      <c r="AL718" s="42">
        <f>IF(AN718=21,J718,0)</f>
        <v>0</v>
      </c>
      <c r="AN718" s="31">
        <v>21</v>
      </c>
      <c r="AO718" s="31">
        <f>G718*1</f>
        <v>0</v>
      </c>
      <c r="AP718" s="31">
        <f>G718*(1-1)</f>
        <v>0</v>
      </c>
      <c r="AQ718" s="45" t="s">
        <v>101</v>
      </c>
      <c r="AV718" s="31">
        <f>ROUND(AW718+AX718,2)</f>
        <v>0</v>
      </c>
      <c r="AW718" s="31">
        <f>ROUND(F718*AO718,2)</f>
        <v>0</v>
      </c>
      <c r="AX718" s="31">
        <f>ROUND(F718*AP718,2)</f>
        <v>0</v>
      </c>
      <c r="AY718" s="34" t="s">
        <v>292</v>
      </c>
      <c r="AZ718" s="34" t="s">
        <v>1322</v>
      </c>
      <c r="BA718" s="11" t="s">
        <v>1323</v>
      </c>
      <c r="BC718" s="31">
        <f>AW718+AX718</f>
        <v>0</v>
      </c>
      <c r="BD718" s="31">
        <f>G718/(100-BE718)*100</f>
        <v>0</v>
      </c>
      <c r="BE718" s="31">
        <v>0</v>
      </c>
      <c r="BF718" s="31">
        <f>718</f>
        <v>718</v>
      </c>
      <c r="BH718" s="42">
        <f>F718*AO718</f>
        <v>0</v>
      </c>
      <c r="BI718" s="42">
        <f>F718*AP718</f>
        <v>0</v>
      </c>
      <c r="BJ718" s="42">
        <f>F718*G718</f>
        <v>0</v>
      </c>
      <c r="BK718" s="45" t="s">
        <v>70</v>
      </c>
      <c r="BL718" s="31">
        <v>728</v>
      </c>
      <c r="BW718" s="31">
        <v>21</v>
      </c>
      <c r="BX718" s="41" t="s">
        <v>1352</v>
      </c>
    </row>
    <row r="719" spans="1:76" x14ac:dyDescent="0.25">
      <c r="A719" s="2" t="s">
        <v>1353</v>
      </c>
      <c r="B719" s="3" t="s">
        <v>1354</v>
      </c>
      <c r="C719" s="112" t="s">
        <v>1355</v>
      </c>
      <c r="D719" s="107"/>
      <c r="E719" s="3" t="s">
        <v>81</v>
      </c>
      <c r="F719" s="31">
        <v>1</v>
      </c>
      <c r="G719" s="32">
        <v>0</v>
      </c>
      <c r="H719" s="31">
        <f>ROUND(F719*AO719,2)</f>
        <v>0</v>
      </c>
      <c r="I719" s="31">
        <f>ROUND(F719*AP719,2)</f>
        <v>0</v>
      </c>
      <c r="J719" s="31">
        <f>ROUND(F719*G719,2)</f>
        <v>0</v>
      </c>
      <c r="K719" s="33" t="s">
        <v>60</v>
      </c>
      <c r="Z719" s="31">
        <f>ROUND(IF(AQ719="5",BJ719,0),2)</f>
        <v>0</v>
      </c>
      <c r="AB719" s="31">
        <f>ROUND(IF(AQ719="1",BH719,0),2)</f>
        <v>0</v>
      </c>
      <c r="AC719" s="31">
        <f>ROUND(IF(AQ719="1",BI719,0),2)</f>
        <v>0</v>
      </c>
      <c r="AD719" s="31">
        <f>ROUND(IF(AQ719="7",BH719,0),2)</f>
        <v>0</v>
      </c>
      <c r="AE719" s="31">
        <f>ROUND(IF(AQ719="7",BI719,0),2)</f>
        <v>0</v>
      </c>
      <c r="AF719" s="31">
        <f>ROUND(IF(AQ719="2",BH719,0),2)</f>
        <v>0</v>
      </c>
      <c r="AG719" s="31">
        <f>ROUND(IF(AQ719="2",BI719,0),2)</f>
        <v>0</v>
      </c>
      <c r="AH719" s="31">
        <f>ROUND(IF(AQ719="0",BJ719,0),2)</f>
        <v>0</v>
      </c>
      <c r="AI719" s="11" t="s">
        <v>78</v>
      </c>
      <c r="AJ719" s="31">
        <f>IF(AN719=0,J719,0)</f>
        <v>0</v>
      </c>
      <c r="AK719" s="31">
        <f>IF(AN719=12,J719,0)</f>
        <v>0</v>
      </c>
      <c r="AL719" s="31">
        <f>IF(AN719=21,J719,0)</f>
        <v>0</v>
      </c>
      <c r="AN719" s="31">
        <v>21</v>
      </c>
      <c r="AO719" s="31">
        <f>G719*0</f>
        <v>0</v>
      </c>
      <c r="AP719" s="31">
        <f>G719*(1-0)</f>
        <v>0</v>
      </c>
      <c r="AQ719" s="34" t="s">
        <v>101</v>
      </c>
      <c r="AV719" s="31">
        <f>ROUND(AW719+AX719,2)</f>
        <v>0</v>
      </c>
      <c r="AW719" s="31">
        <f>ROUND(F719*AO719,2)</f>
        <v>0</v>
      </c>
      <c r="AX719" s="31">
        <f>ROUND(F719*AP719,2)</f>
        <v>0</v>
      </c>
      <c r="AY719" s="34" t="s">
        <v>292</v>
      </c>
      <c r="AZ719" s="34" t="s">
        <v>1322</v>
      </c>
      <c r="BA719" s="11" t="s">
        <v>1323</v>
      </c>
      <c r="BC719" s="31">
        <f>AW719+AX719</f>
        <v>0</v>
      </c>
      <c r="BD719" s="31">
        <f>G719/(100-BE719)*100</f>
        <v>0</v>
      </c>
      <c r="BE719" s="31">
        <v>0</v>
      </c>
      <c r="BF719" s="31">
        <f>719</f>
        <v>719</v>
      </c>
      <c r="BH719" s="31">
        <f>F719*AO719</f>
        <v>0</v>
      </c>
      <c r="BI719" s="31">
        <f>F719*AP719</f>
        <v>0</v>
      </c>
      <c r="BJ719" s="31">
        <f>F719*G719</f>
        <v>0</v>
      </c>
      <c r="BK719" s="34" t="s">
        <v>64</v>
      </c>
      <c r="BL719" s="31">
        <v>728</v>
      </c>
      <c r="BW719" s="31">
        <v>21</v>
      </c>
      <c r="BX719" s="5" t="s">
        <v>1355</v>
      </c>
    </row>
    <row r="720" spans="1:76" x14ac:dyDescent="0.25">
      <c r="A720" s="39" t="s">
        <v>1356</v>
      </c>
      <c r="B720" s="40" t="s">
        <v>240</v>
      </c>
      <c r="C720" s="135" t="s">
        <v>1357</v>
      </c>
      <c r="D720" s="136"/>
      <c r="E720" s="40" t="s">
        <v>81</v>
      </c>
      <c r="F720" s="42">
        <v>1</v>
      </c>
      <c r="G720" s="43">
        <v>0</v>
      </c>
      <c r="H720" s="42">
        <f>ROUND(F720*AO720,2)</f>
        <v>0</v>
      </c>
      <c r="I720" s="42">
        <f>ROUND(F720*AP720,2)</f>
        <v>0</v>
      </c>
      <c r="J720" s="42">
        <f>ROUND(F720*G720,2)</f>
        <v>0</v>
      </c>
      <c r="K720" s="44" t="s">
        <v>242</v>
      </c>
      <c r="Z720" s="31">
        <f>ROUND(IF(AQ720="5",BJ720,0),2)</f>
        <v>0</v>
      </c>
      <c r="AB720" s="31">
        <f>ROUND(IF(AQ720="1",BH720,0),2)</f>
        <v>0</v>
      </c>
      <c r="AC720" s="31">
        <f>ROUND(IF(AQ720="1",BI720,0),2)</f>
        <v>0</v>
      </c>
      <c r="AD720" s="31">
        <f>ROUND(IF(AQ720="7",BH720,0),2)</f>
        <v>0</v>
      </c>
      <c r="AE720" s="31">
        <f>ROUND(IF(AQ720="7",BI720,0),2)</f>
        <v>0</v>
      </c>
      <c r="AF720" s="31">
        <f>ROUND(IF(AQ720="2",BH720,0),2)</f>
        <v>0</v>
      </c>
      <c r="AG720" s="31">
        <f>ROUND(IF(AQ720="2",BI720,0),2)</f>
        <v>0</v>
      </c>
      <c r="AH720" s="31">
        <f>ROUND(IF(AQ720="0",BJ720,0),2)</f>
        <v>0</v>
      </c>
      <c r="AI720" s="11" t="s">
        <v>78</v>
      </c>
      <c r="AJ720" s="42">
        <f>IF(AN720=0,J720,0)</f>
        <v>0</v>
      </c>
      <c r="AK720" s="42">
        <f>IF(AN720=12,J720,0)</f>
        <v>0</v>
      </c>
      <c r="AL720" s="42">
        <f>IF(AN720=21,J720,0)</f>
        <v>0</v>
      </c>
      <c r="AN720" s="31">
        <v>21</v>
      </c>
      <c r="AO720" s="31">
        <f>G720*1</f>
        <v>0</v>
      </c>
      <c r="AP720" s="31">
        <f>G720*(1-1)</f>
        <v>0</v>
      </c>
      <c r="AQ720" s="45" t="s">
        <v>101</v>
      </c>
      <c r="AV720" s="31">
        <f>ROUND(AW720+AX720,2)</f>
        <v>0</v>
      </c>
      <c r="AW720" s="31">
        <f>ROUND(F720*AO720,2)</f>
        <v>0</v>
      </c>
      <c r="AX720" s="31">
        <f>ROUND(F720*AP720,2)</f>
        <v>0</v>
      </c>
      <c r="AY720" s="34" t="s">
        <v>292</v>
      </c>
      <c r="AZ720" s="34" t="s">
        <v>1322</v>
      </c>
      <c r="BA720" s="11" t="s">
        <v>1323</v>
      </c>
      <c r="BC720" s="31">
        <f>AW720+AX720</f>
        <v>0</v>
      </c>
      <c r="BD720" s="31">
        <f>G720/(100-BE720)*100</f>
        <v>0</v>
      </c>
      <c r="BE720" s="31">
        <v>0</v>
      </c>
      <c r="BF720" s="31">
        <f>720</f>
        <v>720</v>
      </c>
      <c r="BH720" s="42">
        <f>F720*AO720</f>
        <v>0</v>
      </c>
      <c r="BI720" s="42">
        <f>F720*AP720</f>
        <v>0</v>
      </c>
      <c r="BJ720" s="42">
        <f>F720*G720</f>
        <v>0</v>
      </c>
      <c r="BK720" s="45" t="s">
        <v>70</v>
      </c>
      <c r="BL720" s="31">
        <v>728</v>
      </c>
      <c r="BW720" s="31">
        <v>21</v>
      </c>
      <c r="BX720" s="41" t="s">
        <v>1357</v>
      </c>
    </row>
    <row r="721" spans="1:76" x14ac:dyDescent="0.25">
      <c r="A721" s="2" t="s">
        <v>1358</v>
      </c>
      <c r="B721" s="3" t="s">
        <v>296</v>
      </c>
      <c r="C721" s="112" t="s">
        <v>297</v>
      </c>
      <c r="D721" s="107"/>
      <c r="E721" s="3" t="s">
        <v>276</v>
      </c>
      <c r="F721" s="31">
        <v>2.4850000000000001E-2</v>
      </c>
      <c r="G721" s="32">
        <v>0</v>
      </c>
      <c r="H721" s="31">
        <f>ROUND(F721*AO721,2)</f>
        <v>0</v>
      </c>
      <c r="I721" s="31">
        <f>ROUND(F721*AP721,2)</f>
        <v>0</v>
      </c>
      <c r="J721" s="31">
        <f>ROUND(F721*G721,2)</f>
        <v>0</v>
      </c>
      <c r="K721" s="33" t="s">
        <v>60</v>
      </c>
      <c r="Z721" s="31">
        <f>ROUND(IF(AQ721="5",BJ721,0),2)</f>
        <v>0</v>
      </c>
      <c r="AB721" s="31">
        <f>ROUND(IF(AQ721="1",BH721,0),2)</f>
        <v>0</v>
      </c>
      <c r="AC721" s="31">
        <f>ROUND(IF(AQ721="1",BI721,0),2)</f>
        <v>0</v>
      </c>
      <c r="AD721" s="31">
        <f>ROUND(IF(AQ721="7",BH721,0),2)</f>
        <v>0</v>
      </c>
      <c r="AE721" s="31">
        <f>ROUND(IF(AQ721="7",BI721,0),2)</f>
        <v>0</v>
      </c>
      <c r="AF721" s="31">
        <f>ROUND(IF(AQ721="2",BH721,0),2)</f>
        <v>0</v>
      </c>
      <c r="AG721" s="31">
        <f>ROUND(IF(AQ721="2",BI721,0),2)</f>
        <v>0</v>
      </c>
      <c r="AH721" s="31">
        <f>ROUND(IF(AQ721="0",BJ721,0),2)</f>
        <v>0</v>
      </c>
      <c r="AI721" s="11" t="s">
        <v>78</v>
      </c>
      <c r="AJ721" s="31">
        <f>IF(AN721=0,J721,0)</f>
        <v>0</v>
      </c>
      <c r="AK721" s="31">
        <f>IF(AN721=12,J721,0)</f>
        <v>0</v>
      </c>
      <c r="AL721" s="31">
        <f>IF(AN721=21,J721,0)</f>
        <v>0</v>
      </c>
      <c r="AN721" s="31">
        <v>21</v>
      </c>
      <c r="AO721" s="31">
        <f>G721*0</f>
        <v>0</v>
      </c>
      <c r="AP721" s="31">
        <f>G721*(1-0)</f>
        <v>0</v>
      </c>
      <c r="AQ721" s="34" t="s">
        <v>85</v>
      </c>
      <c r="AV721" s="31">
        <f>ROUND(AW721+AX721,2)</f>
        <v>0</v>
      </c>
      <c r="AW721" s="31">
        <f>ROUND(F721*AO721,2)</f>
        <v>0</v>
      </c>
      <c r="AX721" s="31">
        <f>ROUND(F721*AP721,2)</f>
        <v>0</v>
      </c>
      <c r="AY721" s="34" t="s">
        <v>292</v>
      </c>
      <c r="AZ721" s="34" t="s">
        <v>1322</v>
      </c>
      <c r="BA721" s="11" t="s">
        <v>1323</v>
      </c>
      <c r="BC721" s="31">
        <f>AW721+AX721</f>
        <v>0</v>
      </c>
      <c r="BD721" s="31">
        <f>G721/(100-BE721)*100</f>
        <v>0</v>
      </c>
      <c r="BE721" s="31">
        <v>0</v>
      </c>
      <c r="BF721" s="31">
        <f>721</f>
        <v>721</v>
      </c>
      <c r="BH721" s="31">
        <f>F721*AO721</f>
        <v>0</v>
      </c>
      <c r="BI721" s="31">
        <f>F721*AP721</f>
        <v>0</v>
      </c>
      <c r="BJ721" s="31">
        <f>F721*G721</f>
        <v>0</v>
      </c>
      <c r="BK721" s="34" t="s">
        <v>64</v>
      </c>
      <c r="BL721" s="31">
        <v>728</v>
      </c>
      <c r="BW721" s="31">
        <v>21</v>
      </c>
      <c r="BX721" s="5" t="s">
        <v>297</v>
      </c>
    </row>
    <row r="722" spans="1:76" x14ac:dyDescent="0.25">
      <c r="A722" s="26" t="s">
        <v>52</v>
      </c>
      <c r="B722" s="27" t="s">
        <v>605</v>
      </c>
      <c r="C722" s="133" t="s">
        <v>688</v>
      </c>
      <c r="D722" s="134"/>
      <c r="E722" s="28" t="s">
        <v>4</v>
      </c>
      <c r="F722" s="28" t="s">
        <v>4</v>
      </c>
      <c r="G722" s="29" t="s">
        <v>4</v>
      </c>
      <c r="H722" s="1">
        <f>SUM(H723:H723)</f>
        <v>0</v>
      </c>
      <c r="I722" s="1">
        <f>SUM(I723:I723)</f>
        <v>0</v>
      </c>
      <c r="J722" s="1">
        <f>SUM(J723:J723)</f>
        <v>0</v>
      </c>
      <c r="K722" s="30" t="s">
        <v>52</v>
      </c>
      <c r="AI722" s="11" t="s">
        <v>78</v>
      </c>
      <c r="AS722" s="1">
        <f>SUM(AJ723:AJ723)</f>
        <v>0</v>
      </c>
      <c r="AT722" s="1">
        <f>SUM(AK723:AK723)</f>
        <v>0</v>
      </c>
      <c r="AU722" s="1">
        <f>SUM(AL723:AL723)</f>
        <v>0</v>
      </c>
    </row>
    <row r="723" spans="1:76" x14ac:dyDescent="0.25">
      <c r="A723" s="2" t="s">
        <v>1359</v>
      </c>
      <c r="B723" s="3" t="s">
        <v>976</v>
      </c>
      <c r="C723" s="112" t="s">
        <v>977</v>
      </c>
      <c r="D723" s="107"/>
      <c r="E723" s="3" t="s">
        <v>59</v>
      </c>
      <c r="F723" s="31">
        <v>1.8</v>
      </c>
      <c r="G723" s="32">
        <v>0</v>
      </c>
      <c r="H723" s="31">
        <f>ROUND(F723*AO723,2)</f>
        <v>0</v>
      </c>
      <c r="I723" s="31">
        <f>ROUND(F723*AP723,2)</f>
        <v>0</v>
      </c>
      <c r="J723" s="31">
        <f>ROUND(F723*G723,2)</f>
        <v>0</v>
      </c>
      <c r="K723" s="33" t="s">
        <v>60</v>
      </c>
      <c r="Z723" s="31">
        <f>ROUND(IF(AQ723="5",BJ723,0),2)</f>
        <v>0</v>
      </c>
      <c r="AB723" s="31">
        <f>ROUND(IF(AQ723="1",BH723,0),2)</f>
        <v>0</v>
      </c>
      <c r="AC723" s="31">
        <f>ROUND(IF(AQ723="1",BI723,0),2)</f>
        <v>0</v>
      </c>
      <c r="AD723" s="31">
        <f>ROUND(IF(AQ723="7",BH723,0),2)</f>
        <v>0</v>
      </c>
      <c r="AE723" s="31">
        <f>ROUND(IF(AQ723="7",BI723,0),2)</f>
        <v>0</v>
      </c>
      <c r="AF723" s="31">
        <f>ROUND(IF(AQ723="2",BH723,0),2)</f>
        <v>0</v>
      </c>
      <c r="AG723" s="31">
        <f>ROUND(IF(AQ723="2",BI723,0),2)</f>
        <v>0</v>
      </c>
      <c r="AH723" s="31">
        <f>ROUND(IF(AQ723="0",BJ723,0),2)</f>
        <v>0</v>
      </c>
      <c r="AI723" s="11" t="s">
        <v>78</v>
      </c>
      <c r="AJ723" s="31">
        <f>IF(AN723=0,J723,0)</f>
        <v>0</v>
      </c>
      <c r="AK723" s="31">
        <f>IF(AN723=12,J723,0)</f>
        <v>0</v>
      </c>
      <c r="AL723" s="31">
        <f>IF(AN723=21,J723,0)</f>
        <v>0</v>
      </c>
      <c r="AN723" s="31">
        <v>21</v>
      </c>
      <c r="AO723" s="31">
        <f>G723*0.30986313</f>
        <v>0</v>
      </c>
      <c r="AP723" s="31">
        <f>G723*(1-0.30986313)</f>
        <v>0</v>
      </c>
      <c r="AQ723" s="34" t="s">
        <v>56</v>
      </c>
      <c r="AV723" s="31">
        <f>ROUND(AW723+AX723,2)</f>
        <v>0</v>
      </c>
      <c r="AW723" s="31">
        <f>ROUND(F723*AO723,2)</f>
        <v>0</v>
      </c>
      <c r="AX723" s="31">
        <f>ROUND(F723*AP723,2)</f>
        <v>0</v>
      </c>
      <c r="AY723" s="34" t="s">
        <v>692</v>
      </c>
      <c r="AZ723" s="34" t="s">
        <v>1360</v>
      </c>
      <c r="BA723" s="11" t="s">
        <v>1323</v>
      </c>
      <c r="BC723" s="31">
        <f>AW723+AX723</f>
        <v>0</v>
      </c>
      <c r="BD723" s="31">
        <f>G723/(100-BE723)*100</f>
        <v>0</v>
      </c>
      <c r="BE723" s="31">
        <v>0</v>
      </c>
      <c r="BF723" s="31">
        <f>723</f>
        <v>723</v>
      </c>
      <c r="BH723" s="31">
        <f>F723*AO723</f>
        <v>0</v>
      </c>
      <c r="BI723" s="31">
        <f>F723*AP723</f>
        <v>0</v>
      </c>
      <c r="BJ723" s="31">
        <f>F723*G723</f>
        <v>0</v>
      </c>
      <c r="BK723" s="34" t="s">
        <v>64</v>
      </c>
      <c r="BL723" s="31">
        <v>94</v>
      </c>
      <c r="BW723" s="31">
        <v>21</v>
      </c>
      <c r="BX723" s="5" t="s">
        <v>977</v>
      </c>
    </row>
    <row r="724" spans="1:76" x14ac:dyDescent="0.25">
      <c r="A724" s="35"/>
      <c r="C724" s="36" t="s">
        <v>1361</v>
      </c>
      <c r="D724" s="36" t="s">
        <v>52</v>
      </c>
      <c r="F724" s="37">
        <v>1.8</v>
      </c>
      <c r="K724" s="38"/>
    </row>
    <row r="725" spans="1:76" x14ac:dyDescent="0.25">
      <c r="A725" s="26" t="s">
        <v>52</v>
      </c>
      <c r="B725" s="27" t="s">
        <v>777</v>
      </c>
      <c r="C725" s="133" t="s">
        <v>778</v>
      </c>
      <c r="D725" s="134"/>
      <c r="E725" s="28" t="s">
        <v>4</v>
      </c>
      <c r="F725" s="28" t="s">
        <v>4</v>
      </c>
      <c r="G725" s="29" t="s">
        <v>4</v>
      </c>
      <c r="H725" s="1">
        <f>SUM(H726:H732)</f>
        <v>0</v>
      </c>
      <c r="I725" s="1">
        <f>SUM(I726:I732)</f>
        <v>0</v>
      </c>
      <c r="J725" s="1">
        <f>SUM(J726:J732)</f>
        <v>0</v>
      </c>
      <c r="K725" s="30" t="s">
        <v>52</v>
      </c>
      <c r="AI725" s="11" t="s">
        <v>78</v>
      </c>
      <c r="AS725" s="1">
        <f>SUM(AJ726:AJ732)</f>
        <v>0</v>
      </c>
      <c r="AT725" s="1">
        <f>SUM(AK726:AK732)</f>
        <v>0</v>
      </c>
      <c r="AU725" s="1">
        <f>SUM(AL726:AL732)</f>
        <v>0</v>
      </c>
    </row>
    <row r="726" spans="1:76" x14ac:dyDescent="0.25">
      <c r="A726" s="2" t="s">
        <v>1362</v>
      </c>
      <c r="B726" s="3" t="s">
        <v>780</v>
      </c>
      <c r="C726" s="112" t="s">
        <v>781</v>
      </c>
      <c r="D726" s="107"/>
      <c r="E726" s="3" t="s">
        <v>276</v>
      </c>
      <c r="F726" s="31">
        <v>1.7600000000000001E-2</v>
      </c>
      <c r="G726" s="32">
        <v>0</v>
      </c>
      <c r="H726" s="31">
        <f>ROUND(F726*AO726,2)</f>
        <v>0</v>
      </c>
      <c r="I726" s="31">
        <f>ROUND(F726*AP726,2)</f>
        <v>0</v>
      </c>
      <c r="J726" s="31">
        <f>ROUND(F726*G726,2)</f>
        <v>0</v>
      </c>
      <c r="K726" s="33" t="s">
        <v>60</v>
      </c>
      <c r="Z726" s="31">
        <f>ROUND(IF(AQ726="5",BJ726,0),2)</f>
        <v>0</v>
      </c>
      <c r="AB726" s="31">
        <f>ROUND(IF(AQ726="1",BH726,0),2)</f>
        <v>0</v>
      </c>
      <c r="AC726" s="31">
        <f>ROUND(IF(AQ726="1",BI726,0),2)</f>
        <v>0</v>
      </c>
      <c r="AD726" s="31">
        <f>ROUND(IF(AQ726="7",BH726,0),2)</f>
        <v>0</v>
      </c>
      <c r="AE726" s="31">
        <f>ROUND(IF(AQ726="7",BI726,0),2)</f>
        <v>0</v>
      </c>
      <c r="AF726" s="31">
        <f>ROUND(IF(AQ726="2",BH726,0),2)</f>
        <v>0</v>
      </c>
      <c r="AG726" s="31">
        <f>ROUND(IF(AQ726="2",BI726,0),2)</f>
        <v>0</v>
      </c>
      <c r="AH726" s="31">
        <f>ROUND(IF(AQ726="0",BJ726,0),2)</f>
        <v>0</v>
      </c>
      <c r="AI726" s="11" t="s">
        <v>78</v>
      </c>
      <c r="AJ726" s="31">
        <f>IF(AN726=0,J726,0)</f>
        <v>0</v>
      </c>
      <c r="AK726" s="31">
        <f>IF(AN726=12,J726,0)</f>
        <v>0</v>
      </c>
      <c r="AL726" s="31">
        <f>IF(AN726=21,J726,0)</f>
        <v>0</v>
      </c>
      <c r="AN726" s="31">
        <v>21</v>
      </c>
      <c r="AO726" s="31">
        <f>G726*0</f>
        <v>0</v>
      </c>
      <c r="AP726" s="31">
        <f>G726*(1-0)</f>
        <v>0</v>
      </c>
      <c r="AQ726" s="34" t="s">
        <v>85</v>
      </c>
      <c r="AV726" s="31">
        <f>ROUND(AW726+AX726,2)</f>
        <v>0</v>
      </c>
      <c r="AW726" s="31">
        <f>ROUND(F726*AO726,2)</f>
        <v>0</v>
      </c>
      <c r="AX726" s="31">
        <f>ROUND(F726*AP726,2)</f>
        <v>0</v>
      </c>
      <c r="AY726" s="34" t="s">
        <v>782</v>
      </c>
      <c r="AZ726" s="34" t="s">
        <v>1360</v>
      </c>
      <c r="BA726" s="11" t="s">
        <v>1323</v>
      </c>
      <c r="BC726" s="31">
        <f>AW726+AX726</f>
        <v>0</v>
      </c>
      <c r="BD726" s="31">
        <f>G726/(100-BE726)*100</f>
        <v>0</v>
      </c>
      <c r="BE726" s="31">
        <v>0</v>
      </c>
      <c r="BF726" s="31">
        <f>726</f>
        <v>726</v>
      </c>
      <c r="BH726" s="31">
        <f>F726*AO726</f>
        <v>0</v>
      </c>
      <c r="BI726" s="31">
        <f>F726*AP726</f>
        <v>0</v>
      </c>
      <c r="BJ726" s="31">
        <f>F726*G726</f>
        <v>0</v>
      </c>
      <c r="BK726" s="34" t="s">
        <v>64</v>
      </c>
      <c r="BL726" s="31"/>
      <c r="BW726" s="31">
        <v>21</v>
      </c>
      <c r="BX726" s="5" t="s">
        <v>781</v>
      </c>
    </row>
    <row r="727" spans="1:76" x14ac:dyDescent="0.25">
      <c r="A727" s="2" t="s">
        <v>1363</v>
      </c>
      <c r="B727" s="3" t="s">
        <v>784</v>
      </c>
      <c r="C727" s="112" t="s">
        <v>785</v>
      </c>
      <c r="D727" s="107"/>
      <c r="E727" s="3" t="s">
        <v>276</v>
      </c>
      <c r="F727" s="31">
        <v>0.26400000000000001</v>
      </c>
      <c r="G727" s="32">
        <v>0</v>
      </c>
      <c r="H727" s="31">
        <f>ROUND(F727*AO727,2)</f>
        <v>0</v>
      </c>
      <c r="I727" s="31">
        <f>ROUND(F727*AP727,2)</f>
        <v>0</v>
      </c>
      <c r="J727" s="31">
        <f>ROUND(F727*G727,2)</f>
        <v>0</v>
      </c>
      <c r="K727" s="33" t="s">
        <v>60</v>
      </c>
      <c r="Z727" s="31">
        <f>ROUND(IF(AQ727="5",BJ727,0),2)</f>
        <v>0</v>
      </c>
      <c r="AB727" s="31">
        <f>ROUND(IF(AQ727="1",BH727,0),2)</f>
        <v>0</v>
      </c>
      <c r="AC727" s="31">
        <f>ROUND(IF(AQ727="1",BI727,0),2)</f>
        <v>0</v>
      </c>
      <c r="AD727" s="31">
        <f>ROUND(IF(AQ727="7",BH727,0),2)</f>
        <v>0</v>
      </c>
      <c r="AE727" s="31">
        <f>ROUND(IF(AQ727="7",BI727,0),2)</f>
        <v>0</v>
      </c>
      <c r="AF727" s="31">
        <f>ROUND(IF(AQ727="2",BH727,0),2)</f>
        <v>0</v>
      </c>
      <c r="AG727" s="31">
        <f>ROUND(IF(AQ727="2",BI727,0),2)</f>
        <v>0</v>
      </c>
      <c r="AH727" s="31">
        <f>ROUND(IF(AQ727="0",BJ727,0),2)</f>
        <v>0</v>
      </c>
      <c r="AI727" s="11" t="s">
        <v>78</v>
      </c>
      <c r="AJ727" s="31">
        <f>IF(AN727=0,J727,0)</f>
        <v>0</v>
      </c>
      <c r="AK727" s="31">
        <f>IF(AN727=12,J727,0)</f>
        <v>0</v>
      </c>
      <c r="AL727" s="31">
        <f>IF(AN727=21,J727,0)</f>
        <v>0</v>
      </c>
      <c r="AN727" s="31">
        <v>21</v>
      </c>
      <c r="AO727" s="31">
        <f>G727*0</f>
        <v>0</v>
      </c>
      <c r="AP727" s="31">
        <f>G727*(1-0)</f>
        <v>0</v>
      </c>
      <c r="AQ727" s="34" t="s">
        <v>85</v>
      </c>
      <c r="AV727" s="31">
        <f>ROUND(AW727+AX727,2)</f>
        <v>0</v>
      </c>
      <c r="AW727" s="31">
        <f>ROUND(F727*AO727,2)</f>
        <v>0</v>
      </c>
      <c r="AX727" s="31">
        <f>ROUND(F727*AP727,2)</f>
        <v>0</v>
      </c>
      <c r="AY727" s="34" t="s">
        <v>782</v>
      </c>
      <c r="AZ727" s="34" t="s">
        <v>1360</v>
      </c>
      <c r="BA727" s="11" t="s">
        <v>1323</v>
      </c>
      <c r="BC727" s="31">
        <f>AW727+AX727</f>
        <v>0</v>
      </c>
      <c r="BD727" s="31">
        <f>G727/(100-BE727)*100</f>
        <v>0</v>
      </c>
      <c r="BE727" s="31">
        <v>0</v>
      </c>
      <c r="BF727" s="31">
        <f>727</f>
        <v>727</v>
      </c>
      <c r="BH727" s="31">
        <f>F727*AO727</f>
        <v>0</v>
      </c>
      <c r="BI727" s="31">
        <f>F727*AP727</f>
        <v>0</v>
      </c>
      <c r="BJ727" s="31">
        <f>F727*G727</f>
        <v>0</v>
      </c>
      <c r="BK727" s="34" t="s">
        <v>64</v>
      </c>
      <c r="BL727" s="31"/>
      <c r="BW727" s="31">
        <v>21</v>
      </c>
      <c r="BX727" s="5" t="s">
        <v>785</v>
      </c>
    </row>
    <row r="728" spans="1:76" x14ac:dyDescent="0.25">
      <c r="A728" s="35"/>
      <c r="C728" s="36" t="s">
        <v>1364</v>
      </c>
      <c r="D728" s="36" t="s">
        <v>52</v>
      </c>
      <c r="F728" s="37">
        <v>0.26400000000000001</v>
      </c>
      <c r="K728" s="38"/>
    </row>
    <row r="729" spans="1:76" x14ac:dyDescent="0.25">
      <c r="A729" s="2" t="s">
        <v>1365</v>
      </c>
      <c r="B729" s="3" t="s">
        <v>788</v>
      </c>
      <c r="C729" s="112" t="s">
        <v>789</v>
      </c>
      <c r="D729" s="107"/>
      <c r="E729" s="3" t="s">
        <v>276</v>
      </c>
      <c r="F729" s="31">
        <v>1.7600000000000001E-2</v>
      </c>
      <c r="G729" s="32">
        <v>0</v>
      </c>
      <c r="H729" s="31">
        <f>ROUND(F729*AO729,2)</f>
        <v>0</v>
      </c>
      <c r="I729" s="31">
        <f>ROUND(F729*AP729,2)</f>
        <v>0</v>
      </c>
      <c r="J729" s="31">
        <f>ROUND(F729*G729,2)</f>
        <v>0</v>
      </c>
      <c r="K729" s="33" t="s">
        <v>60</v>
      </c>
      <c r="Z729" s="31">
        <f>ROUND(IF(AQ729="5",BJ729,0),2)</f>
        <v>0</v>
      </c>
      <c r="AB729" s="31">
        <f>ROUND(IF(AQ729="1",BH729,0),2)</f>
        <v>0</v>
      </c>
      <c r="AC729" s="31">
        <f>ROUND(IF(AQ729="1",BI729,0),2)</f>
        <v>0</v>
      </c>
      <c r="AD729" s="31">
        <f>ROUND(IF(AQ729="7",BH729,0),2)</f>
        <v>0</v>
      </c>
      <c r="AE729" s="31">
        <f>ROUND(IF(AQ729="7",BI729,0),2)</f>
        <v>0</v>
      </c>
      <c r="AF729" s="31">
        <f>ROUND(IF(AQ729="2",BH729,0),2)</f>
        <v>0</v>
      </c>
      <c r="AG729" s="31">
        <f>ROUND(IF(AQ729="2",BI729,0),2)</f>
        <v>0</v>
      </c>
      <c r="AH729" s="31">
        <f>ROUND(IF(AQ729="0",BJ729,0),2)</f>
        <v>0</v>
      </c>
      <c r="AI729" s="11" t="s">
        <v>78</v>
      </c>
      <c r="AJ729" s="31">
        <f>IF(AN729=0,J729,0)</f>
        <v>0</v>
      </c>
      <c r="AK729" s="31">
        <f>IF(AN729=12,J729,0)</f>
        <v>0</v>
      </c>
      <c r="AL729" s="31">
        <f>IF(AN729=21,J729,0)</f>
        <v>0</v>
      </c>
      <c r="AN729" s="31">
        <v>21</v>
      </c>
      <c r="AO729" s="31">
        <f>G729*0</f>
        <v>0</v>
      </c>
      <c r="AP729" s="31">
        <f>G729*(1-0)</f>
        <v>0</v>
      </c>
      <c r="AQ729" s="34" t="s">
        <v>85</v>
      </c>
      <c r="AV729" s="31">
        <f>ROUND(AW729+AX729,2)</f>
        <v>0</v>
      </c>
      <c r="AW729" s="31">
        <f>ROUND(F729*AO729,2)</f>
        <v>0</v>
      </c>
      <c r="AX729" s="31">
        <f>ROUND(F729*AP729,2)</f>
        <v>0</v>
      </c>
      <c r="AY729" s="34" t="s">
        <v>782</v>
      </c>
      <c r="AZ729" s="34" t="s">
        <v>1360</v>
      </c>
      <c r="BA729" s="11" t="s">
        <v>1323</v>
      </c>
      <c r="BC729" s="31">
        <f>AW729+AX729</f>
        <v>0</v>
      </c>
      <c r="BD729" s="31">
        <f>G729/(100-BE729)*100</f>
        <v>0</v>
      </c>
      <c r="BE729" s="31">
        <v>0</v>
      </c>
      <c r="BF729" s="31">
        <f>729</f>
        <v>729</v>
      </c>
      <c r="BH729" s="31">
        <f>F729*AO729</f>
        <v>0</v>
      </c>
      <c r="BI729" s="31">
        <f>F729*AP729</f>
        <v>0</v>
      </c>
      <c r="BJ729" s="31">
        <f>F729*G729</f>
        <v>0</v>
      </c>
      <c r="BK729" s="34" t="s">
        <v>64</v>
      </c>
      <c r="BL729" s="31"/>
      <c r="BW729" s="31">
        <v>21</v>
      </c>
      <c r="BX729" s="5" t="s">
        <v>789</v>
      </c>
    </row>
    <row r="730" spans="1:76" x14ac:dyDescent="0.25">
      <c r="A730" s="2" t="s">
        <v>1366</v>
      </c>
      <c r="B730" s="3" t="s">
        <v>791</v>
      </c>
      <c r="C730" s="112" t="s">
        <v>792</v>
      </c>
      <c r="D730" s="107"/>
      <c r="E730" s="3" t="s">
        <v>276</v>
      </c>
      <c r="F730" s="31">
        <v>1.7600000000000001E-2</v>
      </c>
      <c r="G730" s="32">
        <v>0</v>
      </c>
      <c r="H730" s="31">
        <f>ROUND(F730*AO730,2)</f>
        <v>0</v>
      </c>
      <c r="I730" s="31">
        <f>ROUND(F730*AP730,2)</f>
        <v>0</v>
      </c>
      <c r="J730" s="31">
        <f>ROUND(F730*G730,2)</f>
        <v>0</v>
      </c>
      <c r="K730" s="33" t="s">
        <v>60</v>
      </c>
      <c r="Z730" s="31">
        <f>ROUND(IF(AQ730="5",BJ730,0),2)</f>
        <v>0</v>
      </c>
      <c r="AB730" s="31">
        <f>ROUND(IF(AQ730="1",BH730,0),2)</f>
        <v>0</v>
      </c>
      <c r="AC730" s="31">
        <f>ROUND(IF(AQ730="1",BI730,0),2)</f>
        <v>0</v>
      </c>
      <c r="AD730" s="31">
        <f>ROUND(IF(AQ730="7",BH730,0),2)</f>
        <v>0</v>
      </c>
      <c r="AE730" s="31">
        <f>ROUND(IF(AQ730="7",BI730,0),2)</f>
        <v>0</v>
      </c>
      <c r="AF730" s="31">
        <f>ROUND(IF(AQ730="2",BH730,0),2)</f>
        <v>0</v>
      </c>
      <c r="AG730" s="31">
        <f>ROUND(IF(AQ730="2",BI730,0),2)</f>
        <v>0</v>
      </c>
      <c r="AH730" s="31">
        <f>ROUND(IF(AQ730="0",BJ730,0),2)</f>
        <v>0</v>
      </c>
      <c r="AI730" s="11" t="s">
        <v>78</v>
      </c>
      <c r="AJ730" s="31">
        <f>IF(AN730=0,J730,0)</f>
        <v>0</v>
      </c>
      <c r="AK730" s="31">
        <f>IF(AN730=12,J730,0)</f>
        <v>0</v>
      </c>
      <c r="AL730" s="31">
        <f>IF(AN730=21,J730,0)</f>
        <v>0</v>
      </c>
      <c r="AN730" s="31">
        <v>21</v>
      </c>
      <c r="AO730" s="31">
        <f>G730*0</f>
        <v>0</v>
      </c>
      <c r="AP730" s="31">
        <f>G730*(1-0)</f>
        <v>0</v>
      </c>
      <c r="AQ730" s="34" t="s">
        <v>85</v>
      </c>
      <c r="AV730" s="31">
        <f>ROUND(AW730+AX730,2)</f>
        <v>0</v>
      </c>
      <c r="AW730" s="31">
        <f>ROUND(F730*AO730,2)</f>
        <v>0</v>
      </c>
      <c r="AX730" s="31">
        <f>ROUND(F730*AP730,2)</f>
        <v>0</v>
      </c>
      <c r="AY730" s="34" t="s">
        <v>782</v>
      </c>
      <c r="AZ730" s="34" t="s">
        <v>1360</v>
      </c>
      <c r="BA730" s="11" t="s">
        <v>1323</v>
      </c>
      <c r="BC730" s="31">
        <f>AW730+AX730</f>
        <v>0</v>
      </c>
      <c r="BD730" s="31">
        <f>G730/(100-BE730)*100</f>
        <v>0</v>
      </c>
      <c r="BE730" s="31">
        <v>0</v>
      </c>
      <c r="BF730" s="31">
        <f>730</f>
        <v>730</v>
      </c>
      <c r="BH730" s="31">
        <f>F730*AO730</f>
        <v>0</v>
      </c>
      <c r="BI730" s="31">
        <f>F730*AP730</f>
        <v>0</v>
      </c>
      <c r="BJ730" s="31">
        <f>F730*G730</f>
        <v>0</v>
      </c>
      <c r="BK730" s="34" t="s">
        <v>64</v>
      </c>
      <c r="BL730" s="31"/>
      <c r="BW730" s="31">
        <v>21</v>
      </c>
      <c r="BX730" s="5" t="s">
        <v>792</v>
      </c>
    </row>
    <row r="731" spans="1:76" x14ac:dyDescent="0.25">
      <c r="A731" s="2" t="s">
        <v>1367</v>
      </c>
      <c r="B731" s="3" t="s">
        <v>794</v>
      </c>
      <c r="C731" s="112" t="s">
        <v>795</v>
      </c>
      <c r="D731" s="107"/>
      <c r="E731" s="3" t="s">
        <v>276</v>
      </c>
      <c r="F731" s="31">
        <v>1.7600000000000001E-2</v>
      </c>
      <c r="G731" s="32">
        <v>0</v>
      </c>
      <c r="H731" s="31">
        <f>ROUND(F731*AO731,2)</f>
        <v>0</v>
      </c>
      <c r="I731" s="31">
        <f>ROUND(F731*AP731,2)</f>
        <v>0</v>
      </c>
      <c r="J731" s="31">
        <f>ROUND(F731*G731,2)</f>
        <v>0</v>
      </c>
      <c r="K731" s="33" t="s">
        <v>60</v>
      </c>
      <c r="Z731" s="31">
        <f>ROUND(IF(AQ731="5",BJ731,0),2)</f>
        <v>0</v>
      </c>
      <c r="AB731" s="31">
        <f>ROUND(IF(AQ731="1",BH731,0),2)</f>
        <v>0</v>
      </c>
      <c r="AC731" s="31">
        <f>ROUND(IF(AQ731="1",BI731,0),2)</f>
        <v>0</v>
      </c>
      <c r="AD731" s="31">
        <f>ROUND(IF(AQ731="7",BH731,0),2)</f>
        <v>0</v>
      </c>
      <c r="AE731" s="31">
        <f>ROUND(IF(AQ731="7",BI731,0),2)</f>
        <v>0</v>
      </c>
      <c r="AF731" s="31">
        <f>ROUND(IF(AQ731="2",BH731,0),2)</f>
        <v>0</v>
      </c>
      <c r="AG731" s="31">
        <f>ROUND(IF(AQ731="2",BI731,0),2)</f>
        <v>0</v>
      </c>
      <c r="AH731" s="31">
        <f>ROUND(IF(AQ731="0",BJ731,0),2)</f>
        <v>0</v>
      </c>
      <c r="AI731" s="11" t="s">
        <v>78</v>
      </c>
      <c r="AJ731" s="31">
        <f>IF(AN731=0,J731,0)</f>
        <v>0</v>
      </c>
      <c r="AK731" s="31">
        <f>IF(AN731=12,J731,0)</f>
        <v>0</v>
      </c>
      <c r="AL731" s="31">
        <f>IF(AN731=21,J731,0)</f>
        <v>0</v>
      </c>
      <c r="AN731" s="31">
        <v>21</v>
      </c>
      <c r="AO731" s="31">
        <f>G731*0</f>
        <v>0</v>
      </c>
      <c r="AP731" s="31">
        <f>G731*(1-0)</f>
        <v>0</v>
      </c>
      <c r="AQ731" s="34" t="s">
        <v>85</v>
      </c>
      <c r="AV731" s="31">
        <f>ROUND(AW731+AX731,2)</f>
        <v>0</v>
      </c>
      <c r="AW731" s="31">
        <f>ROUND(F731*AO731,2)</f>
        <v>0</v>
      </c>
      <c r="AX731" s="31">
        <f>ROUND(F731*AP731,2)</f>
        <v>0</v>
      </c>
      <c r="AY731" s="34" t="s">
        <v>782</v>
      </c>
      <c r="AZ731" s="34" t="s">
        <v>1360</v>
      </c>
      <c r="BA731" s="11" t="s">
        <v>1323</v>
      </c>
      <c r="BC731" s="31">
        <f>AW731+AX731</f>
        <v>0</v>
      </c>
      <c r="BD731" s="31">
        <f>G731/(100-BE731)*100</f>
        <v>0</v>
      </c>
      <c r="BE731" s="31">
        <v>0</v>
      </c>
      <c r="BF731" s="31">
        <f>731</f>
        <v>731</v>
      </c>
      <c r="BH731" s="31">
        <f>F731*AO731</f>
        <v>0</v>
      </c>
      <c r="BI731" s="31">
        <f>F731*AP731</f>
        <v>0</v>
      </c>
      <c r="BJ731" s="31">
        <f>F731*G731</f>
        <v>0</v>
      </c>
      <c r="BK731" s="34" t="s">
        <v>64</v>
      </c>
      <c r="BL731" s="31"/>
      <c r="BW731" s="31">
        <v>21</v>
      </c>
      <c r="BX731" s="5" t="s">
        <v>795</v>
      </c>
    </row>
    <row r="732" spans="1:76" x14ac:dyDescent="0.25">
      <c r="A732" s="51" t="s">
        <v>1368</v>
      </c>
      <c r="B732" s="52" t="s">
        <v>797</v>
      </c>
      <c r="C732" s="143" t="s">
        <v>798</v>
      </c>
      <c r="D732" s="144"/>
      <c r="E732" s="52" t="s">
        <v>276</v>
      </c>
      <c r="F732" s="53">
        <v>1.7600000000000001E-2</v>
      </c>
      <c r="G732" s="54">
        <v>0</v>
      </c>
      <c r="H732" s="53">
        <f>ROUND(F732*AO732,2)</f>
        <v>0</v>
      </c>
      <c r="I732" s="53">
        <f>ROUND(F732*AP732,2)</f>
        <v>0</v>
      </c>
      <c r="J732" s="53">
        <f>ROUND(F732*G732,2)</f>
        <v>0</v>
      </c>
      <c r="K732" s="55" t="s">
        <v>60</v>
      </c>
      <c r="Z732" s="31">
        <f>ROUND(IF(AQ732="5",BJ732,0),2)</f>
        <v>0</v>
      </c>
      <c r="AB732" s="31">
        <f>ROUND(IF(AQ732="1",BH732,0),2)</f>
        <v>0</v>
      </c>
      <c r="AC732" s="31">
        <f>ROUND(IF(AQ732="1",BI732,0),2)</f>
        <v>0</v>
      </c>
      <c r="AD732" s="31">
        <f>ROUND(IF(AQ732="7",BH732,0),2)</f>
        <v>0</v>
      </c>
      <c r="AE732" s="31">
        <f>ROUND(IF(AQ732="7",BI732,0),2)</f>
        <v>0</v>
      </c>
      <c r="AF732" s="31">
        <f>ROUND(IF(AQ732="2",BH732,0),2)</f>
        <v>0</v>
      </c>
      <c r="AG732" s="31">
        <f>ROUND(IF(AQ732="2",BI732,0),2)</f>
        <v>0</v>
      </c>
      <c r="AH732" s="31">
        <f>ROUND(IF(AQ732="0",BJ732,0),2)</f>
        <v>0</v>
      </c>
      <c r="AI732" s="11" t="s">
        <v>78</v>
      </c>
      <c r="AJ732" s="31">
        <f>IF(AN732=0,J732,0)</f>
        <v>0</v>
      </c>
      <c r="AK732" s="31">
        <f>IF(AN732=12,J732,0)</f>
        <v>0</v>
      </c>
      <c r="AL732" s="31">
        <f>IF(AN732=21,J732,0)</f>
        <v>0</v>
      </c>
      <c r="AN732" s="31">
        <v>21</v>
      </c>
      <c r="AO732" s="31">
        <f>G732*0</f>
        <v>0</v>
      </c>
      <c r="AP732" s="31">
        <f>G732*(1-0)</f>
        <v>0</v>
      </c>
      <c r="AQ732" s="34" t="s">
        <v>85</v>
      </c>
      <c r="AV732" s="31">
        <f>ROUND(AW732+AX732,2)</f>
        <v>0</v>
      </c>
      <c r="AW732" s="31">
        <f>ROUND(F732*AO732,2)</f>
        <v>0</v>
      </c>
      <c r="AX732" s="31">
        <f>ROUND(F732*AP732,2)</f>
        <v>0</v>
      </c>
      <c r="AY732" s="34" t="s">
        <v>782</v>
      </c>
      <c r="AZ732" s="34" t="s">
        <v>1360</v>
      </c>
      <c r="BA732" s="11" t="s">
        <v>1323</v>
      </c>
      <c r="BC732" s="31">
        <f>AW732+AX732</f>
        <v>0</v>
      </c>
      <c r="BD732" s="31">
        <f>G732/(100-BE732)*100</f>
        <v>0</v>
      </c>
      <c r="BE732" s="31">
        <v>0</v>
      </c>
      <c r="BF732" s="31">
        <f>732</f>
        <v>732</v>
      </c>
      <c r="BH732" s="31">
        <f>F732*AO732</f>
        <v>0</v>
      </c>
      <c r="BI732" s="31">
        <f>F732*AP732</f>
        <v>0</v>
      </c>
      <c r="BJ732" s="31">
        <f>F732*G732</f>
        <v>0</v>
      </c>
      <c r="BK732" s="34" t="s">
        <v>64</v>
      </c>
      <c r="BL732" s="31"/>
      <c r="BW732" s="31">
        <v>21</v>
      </c>
      <c r="BX732" s="5" t="s">
        <v>798</v>
      </c>
    </row>
    <row r="733" spans="1:76" x14ac:dyDescent="0.25">
      <c r="H733" s="145" t="s">
        <v>1369</v>
      </c>
      <c r="I733" s="145"/>
      <c r="J733" s="56">
        <f>ROUND(J13+J21+J25+J61+J98+J105+J115+J123+J128+J132+J136+J152+J196+J246+J277+J334+J341+J368+J371+J382+J385+J388+J413+J426+J428+J437+J453+J466+J518+J523+J531+J534+J536+J538+J547+J575+J616+J672+J676+J685+J688+J691+J693+J695+J704+J722+J725,2)</f>
        <v>0</v>
      </c>
    </row>
    <row r="734" spans="1:76" x14ac:dyDescent="0.25">
      <c r="A734" s="57" t="s">
        <v>1370</v>
      </c>
    </row>
    <row r="735" spans="1:76" ht="12.75" customHeight="1" x14ac:dyDescent="0.25">
      <c r="A735" s="112" t="s">
        <v>52</v>
      </c>
      <c r="B735" s="107"/>
      <c r="C735" s="107"/>
      <c r="D735" s="107"/>
      <c r="E735" s="107"/>
      <c r="F735" s="107"/>
      <c r="G735" s="107"/>
      <c r="H735" s="107"/>
      <c r="I735" s="107"/>
      <c r="J735" s="107"/>
      <c r="K735" s="107"/>
    </row>
  </sheetData>
  <sheetProtection password="C82F" sheet="1"/>
  <mergeCells count="417">
    <mergeCell ref="A735:K735"/>
    <mergeCell ref="C729:D729"/>
    <mergeCell ref="C730:D730"/>
    <mergeCell ref="C731:D731"/>
    <mergeCell ref="C732:D732"/>
    <mergeCell ref="H733:I733"/>
    <mergeCell ref="C722:D722"/>
    <mergeCell ref="C723:D723"/>
    <mergeCell ref="C725:D725"/>
    <mergeCell ref="C726:D726"/>
    <mergeCell ref="C727:D727"/>
    <mergeCell ref="C717:D717"/>
    <mergeCell ref="C718:D718"/>
    <mergeCell ref="C719:D719"/>
    <mergeCell ref="C720:D720"/>
    <mergeCell ref="C721:D721"/>
    <mergeCell ref="C712:D712"/>
    <mergeCell ref="C713:D713"/>
    <mergeCell ref="C714:K714"/>
    <mergeCell ref="C715:D715"/>
    <mergeCell ref="C716:K716"/>
    <mergeCell ref="C705:D705"/>
    <mergeCell ref="C706:D706"/>
    <mergeCell ref="C707:D707"/>
    <mergeCell ref="C709:D709"/>
    <mergeCell ref="C711:D711"/>
    <mergeCell ref="C700:D700"/>
    <mergeCell ref="C701:D701"/>
    <mergeCell ref="C702:D702"/>
    <mergeCell ref="C703:D703"/>
    <mergeCell ref="C704:D704"/>
    <mergeCell ref="C694:D694"/>
    <mergeCell ref="C695:D695"/>
    <mergeCell ref="C696:D696"/>
    <mergeCell ref="C697:D697"/>
    <mergeCell ref="C699:D699"/>
    <mergeCell ref="C689:D689"/>
    <mergeCell ref="C690:D690"/>
    <mergeCell ref="C691:D691"/>
    <mergeCell ref="C692:D692"/>
    <mergeCell ref="C693:D693"/>
    <mergeCell ref="C683:D683"/>
    <mergeCell ref="C684:D684"/>
    <mergeCell ref="C685:D685"/>
    <mergeCell ref="C686:D686"/>
    <mergeCell ref="C688:D688"/>
    <mergeCell ref="C673:D673"/>
    <mergeCell ref="C674:K674"/>
    <mergeCell ref="C676:D676"/>
    <mergeCell ref="C677:D677"/>
    <mergeCell ref="C680:D680"/>
    <mergeCell ref="C667:D667"/>
    <mergeCell ref="C668:D668"/>
    <mergeCell ref="C670:D670"/>
    <mergeCell ref="C671:D671"/>
    <mergeCell ref="C672:D672"/>
    <mergeCell ref="C661:D661"/>
    <mergeCell ref="C662:D662"/>
    <mergeCell ref="C664:D664"/>
    <mergeCell ref="C665:D665"/>
    <mergeCell ref="C666:D666"/>
    <mergeCell ref="C656:D656"/>
    <mergeCell ref="C657:D657"/>
    <mergeCell ref="C658:D658"/>
    <mergeCell ref="C659:D659"/>
    <mergeCell ref="C660:D660"/>
    <mergeCell ref="C651:D651"/>
    <mergeCell ref="C652:D652"/>
    <mergeCell ref="C653:D653"/>
    <mergeCell ref="C654:D654"/>
    <mergeCell ref="C655:D655"/>
    <mergeCell ref="C643:D643"/>
    <mergeCell ref="C646:D646"/>
    <mergeCell ref="C647:D647"/>
    <mergeCell ref="C649:D649"/>
    <mergeCell ref="C650:D650"/>
    <mergeCell ref="C635:K635"/>
    <mergeCell ref="C636:D636"/>
    <mergeCell ref="C637:K637"/>
    <mergeCell ref="C639:D639"/>
    <mergeCell ref="C641:D641"/>
    <mergeCell ref="C629:D629"/>
    <mergeCell ref="C630:K630"/>
    <mergeCell ref="C631:D631"/>
    <mergeCell ref="C632:K632"/>
    <mergeCell ref="C634:D634"/>
    <mergeCell ref="C623:D623"/>
    <mergeCell ref="C625:D625"/>
    <mergeCell ref="C626:D626"/>
    <mergeCell ref="C627:K627"/>
    <mergeCell ref="C628:D628"/>
    <mergeCell ref="C616:D616"/>
    <mergeCell ref="C617:D617"/>
    <mergeCell ref="C618:D618"/>
    <mergeCell ref="C619:D619"/>
    <mergeCell ref="C620:D620"/>
    <mergeCell ref="C611:D611"/>
    <mergeCell ref="C612:D612"/>
    <mergeCell ref="C613:D613"/>
    <mergeCell ref="C614:K614"/>
    <mergeCell ref="C615:D615"/>
    <mergeCell ref="C602:D602"/>
    <mergeCell ref="C603:D603"/>
    <mergeCell ref="C605:D605"/>
    <mergeCell ref="C607:D607"/>
    <mergeCell ref="C610:D610"/>
    <mergeCell ref="C596:D596"/>
    <mergeCell ref="C598:D598"/>
    <mergeCell ref="C599:D599"/>
    <mergeCell ref="C600:D600"/>
    <mergeCell ref="C601:D601"/>
    <mergeCell ref="C591:K591"/>
    <mergeCell ref="C592:D592"/>
    <mergeCell ref="C593:K593"/>
    <mergeCell ref="C594:D594"/>
    <mergeCell ref="C595:K595"/>
    <mergeCell ref="C586:D586"/>
    <mergeCell ref="C587:K587"/>
    <mergeCell ref="C588:D588"/>
    <mergeCell ref="C589:K589"/>
    <mergeCell ref="C590:D590"/>
    <mergeCell ref="C580:D580"/>
    <mergeCell ref="C581:D581"/>
    <mergeCell ref="C582:D582"/>
    <mergeCell ref="C584:D584"/>
    <mergeCell ref="C585:D585"/>
    <mergeCell ref="C574:D574"/>
    <mergeCell ref="C575:D575"/>
    <mergeCell ref="C576:D576"/>
    <mergeCell ref="C578:D578"/>
    <mergeCell ref="C579:D579"/>
    <mergeCell ref="C564:D564"/>
    <mergeCell ref="C566:D566"/>
    <mergeCell ref="C568:D568"/>
    <mergeCell ref="C570:D570"/>
    <mergeCell ref="C572:D572"/>
    <mergeCell ref="C559:D559"/>
    <mergeCell ref="C560:D560"/>
    <mergeCell ref="C561:D561"/>
    <mergeCell ref="C562:D562"/>
    <mergeCell ref="C563:D563"/>
    <mergeCell ref="C554:D554"/>
    <mergeCell ref="C555:D555"/>
    <mergeCell ref="C556:D556"/>
    <mergeCell ref="C557:D557"/>
    <mergeCell ref="C558:D558"/>
    <mergeCell ref="C548:D548"/>
    <mergeCell ref="C549:D549"/>
    <mergeCell ref="C551:D551"/>
    <mergeCell ref="C552:D552"/>
    <mergeCell ref="C553:D553"/>
    <mergeCell ref="C543:D543"/>
    <mergeCell ref="C544:D544"/>
    <mergeCell ref="C545:D545"/>
    <mergeCell ref="C546:D546"/>
    <mergeCell ref="C547:D547"/>
    <mergeCell ref="C537:D537"/>
    <mergeCell ref="C538:D538"/>
    <mergeCell ref="C539:D539"/>
    <mergeCell ref="C540:D540"/>
    <mergeCell ref="C542:D542"/>
    <mergeCell ref="C531:D531"/>
    <mergeCell ref="C532:D532"/>
    <mergeCell ref="C534:D534"/>
    <mergeCell ref="C535:D535"/>
    <mergeCell ref="C536:D536"/>
    <mergeCell ref="C522:D522"/>
    <mergeCell ref="C523:D523"/>
    <mergeCell ref="C524:D524"/>
    <mergeCell ref="C527:D527"/>
    <mergeCell ref="C529:D529"/>
    <mergeCell ref="C514:D514"/>
    <mergeCell ref="C517:D517"/>
    <mergeCell ref="C518:D518"/>
    <mergeCell ref="C519:D519"/>
    <mergeCell ref="C520:K520"/>
    <mergeCell ref="C501:D501"/>
    <mergeCell ref="C504:D504"/>
    <mergeCell ref="C507:D507"/>
    <mergeCell ref="C509:D509"/>
    <mergeCell ref="C512:D512"/>
    <mergeCell ref="C493:D493"/>
    <mergeCell ref="C494:D494"/>
    <mergeCell ref="C495:D495"/>
    <mergeCell ref="C497:D497"/>
    <mergeCell ref="C499:D499"/>
    <mergeCell ref="C480:D480"/>
    <mergeCell ref="C485:D485"/>
    <mergeCell ref="C489:D489"/>
    <mergeCell ref="C491:D491"/>
    <mergeCell ref="C492:D492"/>
    <mergeCell ref="C470:D470"/>
    <mergeCell ref="C473:D473"/>
    <mergeCell ref="C474:D474"/>
    <mergeCell ref="C476:D476"/>
    <mergeCell ref="C478:D478"/>
    <mergeCell ref="C462:D462"/>
    <mergeCell ref="C464:D464"/>
    <mergeCell ref="C465:D465"/>
    <mergeCell ref="C466:D466"/>
    <mergeCell ref="C467:D467"/>
    <mergeCell ref="C454:D454"/>
    <mergeCell ref="C456:D456"/>
    <mergeCell ref="C459:D459"/>
    <mergeCell ref="C460:D460"/>
    <mergeCell ref="C461:D461"/>
    <mergeCell ref="C446:D446"/>
    <mergeCell ref="C448:D448"/>
    <mergeCell ref="C449:D449"/>
    <mergeCell ref="C452:D452"/>
    <mergeCell ref="C453:D453"/>
    <mergeCell ref="C438:D438"/>
    <mergeCell ref="C439:D439"/>
    <mergeCell ref="C441:D441"/>
    <mergeCell ref="C442:D442"/>
    <mergeCell ref="C445:D445"/>
    <mergeCell ref="C433:D433"/>
    <mergeCell ref="C434:D434"/>
    <mergeCell ref="C435:D435"/>
    <mergeCell ref="C436:D436"/>
    <mergeCell ref="C437:D437"/>
    <mergeCell ref="C427:D427"/>
    <mergeCell ref="C428:D428"/>
    <mergeCell ref="C429:D429"/>
    <mergeCell ref="C430:D430"/>
    <mergeCell ref="C432:D432"/>
    <mergeCell ref="C414:D414"/>
    <mergeCell ref="C418:D418"/>
    <mergeCell ref="C420:D420"/>
    <mergeCell ref="C424:D424"/>
    <mergeCell ref="C426:D426"/>
    <mergeCell ref="C402:D402"/>
    <mergeCell ref="C404:D404"/>
    <mergeCell ref="C406:D406"/>
    <mergeCell ref="C410:D410"/>
    <mergeCell ref="C413:D413"/>
    <mergeCell ref="C388:D388"/>
    <mergeCell ref="C389:D389"/>
    <mergeCell ref="C393:D393"/>
    <mergeCell ref="C396:D396"/>
    <mergeCell ref="C399:D399"/>
    <mergeCell ref="C379:D379"/>
    <mergeCell ref="C382:D382"/>
    <mergeCell ref="C383:D383"/>
    <mergeCell ref="C385:D385"/>
    <mergeCell ref="C386:D386"/>
    <mergeCell ref="C369:D369"/>
    <mergeCell ref="C371:D371"/>
    <mergeCell ref="C372:D372"/>
    <mergeCell ref="C375:D375"/>
    <mergeCell ref="C376:K376"/>
    <mergeCell ref="C360:D360"/>
    <mergeCell ref="C361:K361"/>
    <mergeCell ref="C363:D363"/>
    <mergeCell ref="C364:K364"/>
    <mergeCell ref="C368:D368"/>
    <mergeCell ref="C334:D334"/>
    <mergeCell ref="C335:D335"/>
    <mergeCell ref="C338:D338"/>
    <mergeCell ref="C341:D341"/>
    <mergeCell ref="C342:D342"/>
    <mergeCell ref="C313:D313"/>
    <mergeCell ref="C319:D319"/>
    <mergeCell ref="C321:D321"/>
    <mergeCell ref="C326:D326"/>
    <mergeCell ref="C333:D333"/>
    <mergeCell ref="C287:D287"/>
    <mergeCell ref="C292:D292"/>
    <mergeCell ref="C293:K293"/>
    <mergeCell ref="C299:D299"/>
    <mergeCell ref="C308:D308"/>
    <mergeCell ref="C271:D271"/>
    <mergeCell ref="C276:D276"/>
    <mergeCell ref="C277:D277"/>
    <mergeCell ref="C278:D278"/>
    <mergeCell ref="C283:D283"/>
    <mergeCell ref="C255:D255"/>
    <mergeCell ref="C257:D257"/>
    <mergeCell ref="C258:K258"/>
    <mergeCell ref="C262:D262"/>
    <mergeCell ref="C267:D267"/>
    <mergeCell ref="C245:D245"/>
    <mergeCell ref="C246:D246"/>
    <mergeCell ref="C247:D247"/>
    <mergeCell ref="C248:K248"/>
    <mergeCell ref="C252:D252"/>
    <mergeCell ref="C224:D224"/>
    <mergeCell ref="C225:K225"/>
    <mergeCell ref="C230:D230"/>
    <mergeCell ref="C236:D236"/>
    <mergeCell ref="C241:D241"/>
    <mergeCell ref="C205:K205"/>
    <mergeCell ref="C209:D209"/>
    <mergeCell ref="C214:D214"/>
    <mergeCell ref="C218:D218"/>
    <mergeCell ref="C222:D222"/>
    <mergeCell ref="C194:D194"/>
    <mergeCell ref="C195:D195"/>
    <mergeCell ref="C196:D196"/>
    <mergeCell ref="C197:D197"/>
    <mergeCell ref="C204:D204"/>
    <mergeCell ref="C182:K182"/>
    <mergeCell ref="C186:D186"/>
    <mergeCell ref="C187:D187"/>
    <mergeCell ref="C190:D190"/>
    <mergeCell ref="C192:D192"/>
    <mergeCell ref="C166:K166"/>
    <mergeCell ref="C171:D171"/>
    <mergeCell ref="C177:D177"/>
    <mergeCell ref="C178:K178"/>
    <mergeCell ref="C181:D181"/>
    <mergeCell ref="C153:D153"/>
    <mergeCell ref="C155:D155"/>
    <mergeCell ref="C159:D159"/>
    <mergeCell ref="C163:D163"/>
    <mergeCell ref="C165:D165"/>
    <mergeCell ref="C146:D146"/>
    <mergeCell ref="C148:D148"/>
    <mergeCell ref="C150:D150"/>
    <mergeCell ref="C151:D151"/>
    <mergeCell ref="C152:D152"/>
    <mergeCell ref="C141:D141"/>
    <mergeCell ref="C142:D142"/>
    <mergeCell ref="C143:D143"/>
    <mergeCell ref="C144:D144"/>
    <mergeCell ref="C145:D145"/>
    <mergeCell ref="C135:D135"/>
    <mergeCell ref="C136:D136"/>
    <mergeCell ref="C137:D137"/>
    <mergeCell ref="C138:D138"/>
    <mergeCell ref="C140:D140"/>
    <mergeCell ref="C128:D128"/>
    <mergeCell ref="C129:D129"/>
    <mergeCell ref="C131:D131"/>
    <mergeCell ref="C132:D132"/>
    <mergeCell ref="C133:D133"/>
    <mergeCell ref="C122:D122"/>
    <mergeCell ref="C123:D123"/>
    <mergeCell ref="C124:D124"/>
    <mergeCell ref="C125:K125"/>
    <mergeCell ref="C127:D127"/>
    <mergeCell ref="C113:D113"/>
    <mergeCell ref="C114:D114"/>
    <mergeCell ref="C115:D115"/>
    <mergeCell ref="C116:D116"/>
    <mergeCell ref="C117:K117"/>
    <mergeCell ref="C107:K107"/>
    <mergeCell ref="C108:D108"/>
    <mergeCell ref="C109:K109"/>
    <mergeCell ref="C110:D110"/>
    <mergeCell ref="C112:D112"/>
    <mergeCell ref="C98:D98"/>
    <mergeCell ref="C99:D99"/>
    <mergeCell ref="C100:K100"/>
    <mergeCell ref="C105:D105"/>
    <mergeCell ref="C106:D106"/>
    <mergeCell ref="C70:D70"/>
    <mergeCell ref="C77:D77"/>
    <mergeCell ref="C79:D79"/>
    <mergeCell ref="C93:D93"/>
    <mergeCell ref="C95:D95"/>
    <mergeCell ref="C58:D58"/>
    <mergeCell ref="C61:D61"/>
    <mergeCell ref="C62:D62"/>
    <mergeCell ref="C66:D66"/>
    <mergeCell ref="C67:K67"/>
    <mergeCell ref="C50:D50"/>
    <mergeCell ref="C52:D52"/>
    <mergeCell ref="C53:K53"/>
    <mergeCell ref="C55:D55"/>
    <mergeCell ref="C56:K56"/>
    <mergeCell ref="C32:K32"/>
    <mergeCell ref="C38:D38"/>
    <mergeCell ref="C40:D40"/>
    <mergeCell ref="C44:D44"/>
    <mergeCell ref="C47:D47"/>
    <mergeCell ref="C24:D24"/>
    <mergeCell ref="C25:D25"/>
    <mergeCell ref="C26:D26"/>
    <mergeCell ref="C27:K27"/>
    <mergeCell ref="C31:D31"/>
    <mergeCell ref="C16:D16"/>
    <mergeCell ref="C19:D19"/>
    <mergeCell ref="C21:D21"/>
    <mergeCell ref="C22:D22"/>
    <mergeCell ref="C23:K23"/>
    <mergeCell ref="C11:D11"/>
    <mergeCell ref="H10:J10"/>
    <mergeCell ref="C12:D12"/>
    <mergeCell ref="C13:D13"/>
    <mergeCell ref="C14:D14"/>
    <mergeCell ref="I2:K3"/>
    <mergeCell ref="I4:K5"/>
    <mergeCell ref="I6:K7"/>
    <mergeCell ref="I8:K9"/>
    <mergeCell ref="C10:D10"/>
    <mergeCell ref="C8:D9"/>
    <mergeCell ref="G2:G3"/>
    <mergeCell ref="G4:G5"/>
    <mergeCell ref="G6:G7"/>
    <mergeCell ref="G8:G9"/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697"/>
  <sheetViews>
    <sheetView topLeftCell="B2" zoomScaleNormal="100" workbookViewId="0">
      <selection activeCell="D130" sqref="D130:E130"/>
    </sheetView>
  </sheetViews>
  <sheetFormatPr defaultColWidth="12.140625" defaultRowHeight="15" customHeight="1" x14ac:dyDescent="0.25"/>
  <cols>
    <col min="1" max="2" width="9.140625" customWidth="1"/>
    <col min="3" max="3" width="14.28515625" customWidth="1"/>
    <col min="4" max="4" width="108.28515625" customWidth="1"/>
    <col min="5" max="5" width="73.85546875" customWidth="1"/>
    <col min="6" max="6" width="24.140625" customWidth="1"/>
    <col min="7" max="7" width="15.7109375" customWidth="1"/>
    <col min="8" max="8" width="20" customWidth="1"/>
  </cols>
  <sheetData>
    <row r="1" spans="1:8" ht="54.75" customHeight="1" x14ac:dyDescent="0.25">
      <c r="A1" s="103" t="s">
        <v>1378</v>
      </c>
      <c r="B1" s="103"/>
      <c r="C1" s="103"/>
      <c r="D1" s="103"/>
      <c r="E1" s="103"/>
      <c r="F1" s="103"/>
      <c r="G1" s="103"/>
      <c r="H1" s="103"/>
    </row>
    <row r="2" spans="1:8" x14ac:dyDescent="0.25">
      <c r="A2" s="104" t="s">
        <v>1</v>
      </c>
      <c r="B2" s="105"/>
      <c r="C2" s="113" t="str">
        <f>'Stavební rozpočet'!C2</f>
        <v>Změna účelu užívání - Centrum duševního zdraví, Nerudova 1156, Bohumín</v>
      </c>
      <c r="D2" s="114"/>
      <c r="E2" s="111" t="s">
        <v>5</v>
      </c>
      <c r="F2" s="111" t="str">
        <f>'Stavební rozpočet'!I2</f>
        <v>Město Bohumín, Masarykova 158, Bohumín</v>
      </c>
      <c r="G2" s="105"/>
      <c r="H2" s="119"/>
    </row>
    <row r="3" spans="1:8" ht="15" customHeight="1" x14ac:dyDescent="0.25">
      <c r="A3" s="106"/>
      <c r="B3" s="107"/>
      <c r="C3" s="115"/>
      <c r="D3" s="115"/>
      <c r="E3" s="107"/>
      <c r="F3" s="107"/>
      <c r="G3" s="107"/>
      <c r="H3" s="120"/>
    </row>
    <row r="4" spans="1:8" x14ac:dyDescent="0.25">
      <c r="A4" s="108" t="s">
        <v>7</v>
      </c>
      <c r="B4" s="107"/>
      <c r="C4" s="112" t="str">
        <f>'Stavební rozpočet'!C4</f>
        <v>stavební část, ÚT, ZTI, VZT</v>
      </c>
      <c r="D4" s="107"/>
      <c r="E4" s="112" t="s">
        <v>10</v>
      </c>
      <c r="F4" s="112" t="str">
        <f>'Stavební rozpočet'!I4</f>
        <v>ENERGETING.CZ, s.r.o.</v>
      </c>
      <c r="G4" s="107"/>
      <c r="H4" s="120"/>
    </row>
    <row r="5" spans="1:8" ht="15" customHeight="1" x14ac:dyDescent="0.25">
      <c r="A5" s="106"/>
      <c r="B5" s="107"/>
      <c r="C5" s="107"/>
      <c r="D5" s="107"/>
      <c r="E5" s="107"/>
      <c r="F5" s="107"/>
      <c r="G5" s="107"/>
      <c r="H5" s="120"/>
    </row>
    <row r="6" spans="1:8" x14ac:dyDescent="0.25">
      <c r="A6" s="108" t="s">
        <v>12</v>
      </c>
      <c r="B6" s="107"/>
      <c r="C6" s="112" t="str">
        <f>'Stavební rozpočet'!C6</f>
        <v>Nerudova č. p. 1156, Nový Bohumín, 735 81 Bohumín</v>
      </c>
      <c r="D6" s="107"/>
      <c r="E6" s="112" t="s">
        <v>15</v>
      </c>
      <c r="F6" s="112" t="str">
        <f>'Stavební rozpočet'!I6</f>
        <v> </v>
      </c>
      <c r="G6" s="107"/>
      <c r="H6" s="120"/>
    </row>
    <row r="7" spans="1:8" ht="15" customHeight="1" x14ac:dyDescent="0.25">
      <c r="A7" s="106"/>
      <c r="B7" s="107"/>
      <c r="C7" s="107"/>
      <c r="D7" s="107"/>
      <c r="E7" s="107"/>
      <c r="F7" s="107"/>
      <c r="G7" s="107"/>
      <c r="H7" s="120"/>
    </row>
    <row r="8" spans="1:8" x14ac:dyDescent="0.25">
      <c r="A8" s="108" t="s">
        <v>21</v>
      </c>
      <c r="B8" s="107"/>
      <c r="C8" s="112" t="str">
        <f>'Stavební rozpočet'!I8</f>
        <v>Bc. Slowiková</v>
      </c>
      <c r="D8" s="107"/>
      <c r="E8" s="112" t="s">
        <v>19</v>
      </c>
      <c r="F8" s="112" t="str">
        <f>'Stavební rozpočet'!G8</f>
        <v>13.03.2025</v>
      </c>
      <c r="G8" s="107"/>
      <c r="H8" s="120"/>
    </row>
    <row r="9" spans="1:8" x14ac:dyDescent="0.25">
      <c r="A9" s="109"/>
      <c r="B9" s="110"/>
      <c r="C9" s="110"/>
      <c r="D9" s="110"/>
      <c r="E9" s="110"/>
      <c r="F9" s="110"/>
      <c r="G9" s="110"/>
      <c r="H9" s="148"/>
    </row>
    <row r="10" spans="1:8" x14ac:dyDescent="0.25">
      <c r="A10" s="59" t="s">
        <v>23</v>
      </c>
      <c r="B10" s="67" t="s">
        <v>1372</v>
      </c>
      <c r="C10" s="67" t="s">
        <v>24</v>
      </c>
      <c r="D10" s="149" t="s">
        <v>1379</v>
      </c>
      <c r="E10" s="150"/>
      <c r="F10" s="67" t="s">
        <v>26</v>
      </c>
      <c r="G10" s="68" t="s">
        <v>27</v>
      </c>
      <c r="H10" s="69" t="s">
        <v>1380</v>
      </c>
    </row>
    <row r="11" spans="1:8" x14ac:dyDescent="0.25">
      <c r="A11" s="70" t="s">
        <v>52</v>
      </c>
      <c r="B11" s="21" t="s">
        <v>56</v>
      </c>
      <c r="C11" s="21" t="s">
        <v>52</v>
      </c>
      <c r="D11" s="132" t="s">
        <v>53</v>
      </c>
      <c r="E11" s="132"/>
      <c r="F11" s="21" t="s">
        <v>52</v>
      </c>
      <c r="G11" s="71" t="s">
        <v>52</v>
      </c>
      <c r="H11" s="25" t="s">
        <v>52</v>
      </c>
    </row>
    <row r="12" spans="1:8" x14ac:dyDescent="0.25">
      <c r="A12" s="72" t="s">
        <v>52</v>
      </c>
      <c r="B12" s="27" t="s">
        <v>56</v>
      </c>
      <c r="C12" s="27" t="s">
        <v>54</v>
      </c>
      <c r="D12" s="134" t="s">
        <v>55</v>
      </c>
      <c r="E12" s="134"/>
      <c r="F12" s="27" t="s">
        <v>52</v>
      </c>
      <c r="G12" s="11" t="s">
        <v>52</v>
      </c>
      <c r="H12" s="30" t="s">
        <v>52</v>
      </c>
    </row>
    <row r="13" spans="1:8" x14ac:dyDescent="0.25">
      <c r="A13" s="2" t="s">
        <v>56</v>
      </c>
      <c r="B13" s="3" t="s">
        <v>56</v>
      </c>
      <c r="C13" s="3" t="s">
        <v>57</v>
      </c>
      <c r="D13" s="107" t="s">
        <v>58</v>
      </c>
      <c r="E13" s="107"/>
      <c r="F13" s="3" t="s">
        <v>59</v>
      </c>
      <c r="G13" s="31">
        <v>7.5</v>
      </c>
      <c r="H13" s="73">
        <v>0</v>
      </c>
    </row>
    <row r="14" spans="1:8" x14ac:dyDescent="0.25">
      <c r="A14" s="2" t="s">
        <v>52</v>
      </c>
      <c r="B14" s="3" t="s">
        <v>52</v>
      </c>
      <c r="C14" s="3" t="s">
        <v>52</v>
      </c>
      <c r="D14" s="74" t="s">
        <v>65</v>
      </c>
      <c r="E14" s="151" t="s">
        <v>52</v>
      </c>
      <c r="F14" s="151"/>
      <c r="G14" s="75">
        <v>7.5</v>
      </c>
      <c r="H14" s="33" t="s">
        <v>52</v>
      </c>
    </row>
    <row r="15" spans="1:8" x14ac:dyDescent="0.25">
      <c r="A15" s="39" t="s">
        <v>66</v>
      </c>
      <c r="B15" s="40" t="s">
        <v>56</v>
      </c>
      <c r="C15" s="40" t="s">
        <v>67</v>
      </c>
      <c r="D15" s="136" t="s">
        <v>68</v>
      </c>
      <c r="E15" s="136"/>
      <c r="F15" s="40" t="s">
        <v>69</v>
      </c>
      <c r="G15" s="42">
        <v>0.3</v>
      </c>
      <c r="H15" s="76">
        <v>0</v>
      </c>
    </row>
    <row r="16" spans="1:8" x14ac:dyDescent="0.25">
      <c r="A16" s="39" t="s">
        <v>52</v>
      </c>
      <c r="B16" s="40" t="s">
        <v>52</v>
      </c>
      <c r="C16" s="40" t="s">
        <v>52</v>
      </c>
      <c r="D16" s="74" t="s">
        <v>71</v>
      </c>
      <c r="E16" s="151" t="s">
        <v>52</v>
      </c>
      <c r="F16" s="151"/>
      <c r="G16" s="77">
        <v>0</v>
      </c>
      <c r="H16" s="44" t="s">
        <v>52</v>
      </c>
    </row>
    <row r="17" spans="1:8" x14ac:dyDescent="0.25">
      <c r="A17" s="39" t="s">
        <v>52</v>
      </c>
      <c r="B17" s="40" t="s">
        <v>52</v>
      </c>
      <c r="C17" s="40" t="s">
        <v>52</v>
      </c>
      <c r="D17" s="74" t="s">
        <v>72</v>
      </c>
      <c r="E17" s="151" t="s">
        <v>52</v>
      </c>
      <c r="F17" s="151"/>
      <c r="G17" s="77">
        <v>0.3</v>
      </c>
      <c r="H17" s="44" t="s">
        <v>52</v>
      </c>
    </row>
    <row r="18" spans="1:8" x14ac:dyDescent="0.25">
      <c r="A18" s="2" t="s">
        <v>73</v>
      </c>
      <c r="B18" s="3" t="s">
        <v>56</v>
      </c>
      <c r="C18" s="3" t="s">
        <v>74</v>
      </c>
      <c r="D18" s="107" t="s">
        <v>75</v>
      </c>
      <c r="E18" s="107"/>
      <c r="F18" s="3" t="s">
        <v>59</v>
      </c>
      <c r="G18" s="31">
        <v>7.5</v>
      </c>
      <c r="H18" s="73">
        <v>0</v>
      </c>
    </row>
    <row r="19" spans="1:8" x14ac:dyDescent="0.25">
      <c r="A19" s="2" t="s">
        <v>52</v>
      </c>
      <c r="B19" s="3" t="s">
        <v>52</v>
      </c>
      <c r="C19" s="3" t="s">
        <v>52</v>
      </c>
      <c r="D19" s="74" t="s">
        <v>65</v>
      </c>
      <c r="E19" s="151" t="s">
        <v>52</v>
      </c>
      <c r="F19" s="151"/>
      <c r="G19" s="75">
        <v>7.5</v>
      </c>
      <c r="H19" s="33" t="s">
        <v>52</v>
      </c>
    </row>
    <row r="20" spans="1:8" x14ac:dyDescent="0.25">
      <c r="A20" s="72" t="s">
        <v>52</v>
      </c>
      <c r="B20" s="27" t="s">
        <v>56</v>
      </c>
      <c r="C20" s="27" t="s">
        <v>76</v>
      </c>
      <c r="D20" s="134" t="s">
        <v>77</v>
      </c>
      <c r="E20" s="134"/>
      <c r="F20" s="27" t="s">
        <v>52</v>
      </c>
      <c r="G20" s="11" t="s">
        <v>52</v>
      </c>
      <c r="H20" s="30" t="s">
        <v>52</v>
      </c>
    </row>
    <row r="21" spans="1:8" x14ac:dyDescent="0.25">
      <c r="A21" s="2" t="s">
        <v>78</v>
      </c>
      <c r="B21" s="3" t="s">
        <v>56</v>
      </c>
      <c r="C21" s="3" t="s">
        <v>79</v>
      </c>
      <c r="D21" s="107" t="s">
        <v>80</v>
      </c>
      <c r="E21" s="107"/>
      <c r="F21" s="3" t="s">
        <v>81</v>
      </c>
      <c r="G21" s="31">
        <v>1</v>
      </c>
      <c r="H21" s="73">
        <v>0</v>
      </c>
    </row>
    <row r="22" spans="1:8" x14ac:dyDescent="0.25">
      <c r="A22" s="39" t="s">
        <v>85</v>
      </c>
      <c r="B22" s="40" t="s">
        <v>56</v>
      </c>
      <c r="C22" s="40" t="s">
        <v>86</v>
      </c>
      <c r="D22" s="136" t="s">
        <v>87</v>
      </c>
      <c r="E22" s="136"/>
      <c r="F22" s="40" t="s">
        <v>81</v>
      </c>
      <c r="G22" s="42">
        <v>1</v>
      </c>
      <c r="H22" s="76">
        <v>0</v>
      </c>
    </row>
    <row r="23" spans="1:8" x14ac:dyDescent="0.25">
      <c r="A23" s="72" t="s">
        <v>52</v>
      </c>
      <c r="B23" s="27" t="s">
        <v>56</v>
      </c>
      <c r="C23" s="27" t="s">
        <v>88</v>
      </c>
      <c r="D23" s="134" t="s">
        <v>89</v>
      </c>
      <c r="E23" s="134"/>
      <c r="F23" s="27" t="s">
        <v>52</v>
      </c>
      <c r="G23" s="11" t="s">
        <v>52</v>
      </c>
      <c r="H23" s="30" t="s">
        <v>52</v>
      </c>
    </row>
    <row r="24" spans="1:8" x14ac:dyDescent="0.25">
      <c r="A24" s="2" t="s">
        <v>90</v>
      </c>
      <c r="B24" s="3" t="s">
        <v>56</v>
      </c>
      <c r="C24" s="3" t="s">
        <v>91</v>
      </c>
      <c r="D24" s="107" t="s">
        <v>92</v>
      </c>
      <c r="E24" s="107"/>
      <c r="F24" s="3" t="s">
        <v>59</v>
      </c>
      <c r="G24" s="31">
        <v>15.7</v>
      </c>
      <c r="H24" s="73">
        <v>0</v>
      </c>
    </row>
    <row r="25" spans="1:8" x14ac:dyDescent="0.25">
      <c r="A25" s="2" t="s">
        <v>52</v>
      </c>
      <c r="B25" s="3" t="s">
        <v>52</v>
      </c>
      <c r="C25" s="3" t="s">
        <v>52</v>
      </c>
      <c r="D25" s="74" t="s">
        <v>95</v>
      </c>
      <c r="E25" s="151" t="s">
        <v>96</v>
      </c>
      <c r="F25" s="151"/>
      <c r="G25" s="75">
        <v>2.9</v>
      </c>
      <c r="H25" s="33" t="s">
        <v>52</v>
      </c>
    </row>
    <row r="26" spans="1:8" x14ac:dyDescent="0.25">
      <c r="A26" s="2" t="s">
        <v>52</v>
      </c>
      <c r="B26" s="3" t="s">
        <v>52</v>
      </c>
      <c r="C26" s="3" t="s">
        <v>52</v>
      </c>
      <c r="D26" s="74" t="s">
        <v>97</v>
      </c>
      <c r="E26" s="151" t="s">
        <v>98</v>
      </c>
      <c r="F26" s="151"/>
      <c r="G26" s="75">
        <v>12.3</v>
      </c>
      <c r="H26" s="33" t="s">
        <v>52</v>
      </c>
    </row>
    <row r="27" spans="1:8" x14ac:dyDescent="0.25">
      <c r="A27" s="2" t="s">
        <v>52</v>
      </c>
      <c r="B27" s="3" t="s">
        <v>52</v>
      </c>
      <c r="C27" s="3" t="s">
        <v>52</v>
      </c>
      <c r="D27" s="74" t="s">
        <v>99</v>
      </c>
      <c r="E27" s="151" t="s">
        <v>100</v>
      </c>
      <c r="F27" s="151"/>
      <c r="G27" s="75">
        <v>0.5</v>
      </c>
      <c r="H27" s="33" t="s">
        <v>52</v>
      </c>
    </row>
    <row r="28" spans="1:8" x14ac:dyDescent="0.25">
      <c r="A28" s="2" t="s">
        <v>101</v>
      </c>
      <c r="B28" s="3" t="s">
        <v>56</v>
      </c>
      <c r="C28" s="3" t="s">
        <v>102</v>
      </c>
      <c r="D28" s="107" t="s">
        <v>103</v>
      </c>
      <c r="E28" s="107"/>
      <c r="F28" s="3" t="s">
        <v>59</v>
      </c>
      <c r="G28" s="31">
        <v>62.445</v>
      </c>
      <c r="H28" s="73">
        <v>0</v>
      </c>
    </row>
    <row r="29" spans="1:8" x14ac:dyDescent="0.25">
      <c r="A29" s="2" t="s">
        <v>52</v>
      </c>
      <c r="B29" s="3" t="s">
        <v>52</v>
      </c>
      <c r="C29" s="3" t="s">
        <v>52</v>
      </c>
      <c r="D29" s="74" t="s">
        <v>105</v>
      </c>
      <c r="E29" s="151" t="s">
        <v>52</v>
      </c>
      <c r="F29" s="151"/>
      <c r="G29" s="75">
        <v>71.400000000000006</v>
      </c>
      <c r="H29" s="33" t="s">
        <v>52</v>
      </c>
    </row>
    <row r="30" spans="1:8" x14ac:dyDescent="0.25">
      <c r="A30" s="2" t="s">
        <v>52</v>
      </c>
      <c r="B30" s="3" t="s">
        <v>52</v>
      </c>
      <c r="C30" s="3" t="s">
        <v>52</v>
      </c>
      <c r="D30" s="74" t="s">
        <v>106</v>
      </c>
      <c r="E30" s="151" t="s">
        <v>52</v>
      </c>
      <c r="F30" s="151"/>
      <c r="G30" s="75">
        <v>0</v>
      </c>
      <c r="H30" s="33" t="s">
        <v>52</v>
      </c>
    </row>
    <row r="31" spans="1:8" x14ac:dyDescent="0.25">
      <c r="A31" s="2" t="s">
        <v>52</v>
      </c>
      <c r="B31" s="3" t="s">
        <v>52</v>
      </c>
      <c r="C31" s="3" t="s">
        <v>52</v>
      </c>
      <c r="D31" s="74" t="s">
        <v>107</v>
      </c>
      <c r="E31" s="151" t="s">
        <v>108</v>
      </c>
      <c r="F31" s="151"/>
      <c r="G31" s="75">
        <v>-5.5350000000000001</v>
      </c>
      <c r="H31" s="33" t="s">
        <v>52</v>
      </c>
    </row>
    <row r="32" spans="1:8" x14ac:dyDescent="0.25">
      <c r="A32" s="2" t="s">
        <v>52</v>
      </c>
      <c r="B32" s="3" t="s">
        <v>52</v>
      </c>
      <c r="C32" s="3" t="s">
        <v>52</v>
      </c>
      <c r="D32" s="74" t="s">
        <v>109</v>
      </c>
      <c r="E32" s="151" t="s">
        <v>110</v>
      </c>
      <c r="F32" s="151"/>
      <c r="G32" s="75">
        <v>-0.81</v>
      </c>
      <c r="H32" s="33" t="s">
        <v>52</v>
      </c>
    </row>
    <row r="33" spans="1:8" x14ac:dyDescent="0.25">
      <c r="A33" s="2" t="s">
        <v>52</v>
      </c>
      <c r="B33" s="3" t="s">
        <v>52</v>
      </c>
      <c r="C33" s="3" t="s">
        <v>52</v>
      </c>
      <c r="D33" s="74" t="s">
        <v>111</v>
      </c>
      <c r="E33" s="151" t="s">
        <v>112</v>
      </c>
      <c r="F33" s="151"/>
      <c r="G33" s="75">
        <v>-2.61</v>
      </c>
      <c r="H33" s="33" t="s">
        <v>52</v>
      </c>
    </row>
    <row r="34" spans="1:8" x14ac:dyDescent="0.25">
      <c r="A34" s="2" t="s">
        <v>113</v>
      </c>
      <c r="B34" s="3" t="s">
        <v>56</v>
      </c>
      <c r="C34" s="3" t="s">
        <v>114</v>
      </c>
      <c r="D34" s="107" t="s">
        <v>115</v>
      </c>
      <c r="E34" s="107"/>
      <c r="F34" s="3" t="s">
        <v>59</v>
      </c>
      <c r="G34" s="31">
        <v>3.6</v>
      </c>
      <c r="H34" s="73">
        <v>0</v>
      </c>
    </row>
    <row r="35" spans="1:8" x14ac:dyDescent="0.25">
      <c r="A35" s="2" t="s">
        <v>52</v>
      </c>
      <c r="B35" s="3" t="s">
        <v>52</v>
      </c>
      <c r="C35" s="3" t="s">
        <v>52</v>
      </c>
      <c r="D35" s="74" t="s">
        <v>116</v>
      </c>
      <c r="E35" s="151" t="s">
        <v>52</v>
      </c>
      <c r="F35" s="151"/>
      <c r="G35" s="75">
        <v>3.6</v>
      </c>
      <c r="H35" s="33" t="s">
        <v>52</v>
      </c>
    </row>
    <row r="36" spans="1:8" x14ac:dyDescent="0.25">
      <c r="A36" s="2" t="s">
        <v>117</v>
      </c>
      <c r="B36" s="3" t="s">
        <v>56</v>
      </c>
      <c r="C36" s="3" t="s">
        <v>118</v>
      </c>
      <c r="D36" s="107" t="s">
        <v>119</v>
      </c>
      <c r="E36" s="107"/>
      <c r="F36" s="3" t="s">
        <v>59</v>
      </c>
      <c r="G36" s="31">
        <v>2.0453999999999999</v>
      </c>
      <c r="H36" s="73">
        <v>0</v>
      </c>
    </row>
    <row r="37" spans="1:8" x14ac:dyDescent="0.25">
      <c r="A37" s="2" t="s">
        <v>52</v>
      </c>
      <c r="B37" s="3" t="s">
        <v>52</v>
      </c>
      <c r="C37" s="3" t="s">
        <v>52</v>
      </c>
      <c r="D37" s="74" t="s">
        <v>120</v>
      </c>
      <c r="E37" s="151" t="s">
        <v>121</v>
      </c>
      <c r="F37" s="151"/>
      <c r="G37" s="75">
        <v>5.8650000000000002</v>
      </c>
      <c r="H37" s="33" t="s">
        <v>52</v>
      </c>
    </row>
    <row r="38" spans="1:8" x14ac:dyDescent="0.25">
      <c r="A38" s="2" t="s">
        <v>52</v>
      </c>
      <c r="B38" s="3" t="s">
        <v>52</v>
      </c>
      <c r="C38" s="3" t="s">
        <v>52</v>
      </c>
      <c r="D38" s="74" t="s">
        <v>122</v>
      </c>
      <c r="E38" s="151" t="s">
        <v>123</v>
      </c>
      <c r="F38" s="151"/>
      <c r="G38" s="75">
        <v>-3.4849999999999999</v>
      </c>
      <c r="H38" s="33" t="s">
        <v>52</v>
      </c>
    </row>
    <row r="39" spans="1:8" x14ac:dyDescent="0.25">
      <c r="A39" s="2" t="s">
        <v>52</v>
      </c>
      <c r="B39" s="3" t="s">
        <v>52</v>
      </c>
      <c r="C39" s="3" t="s">
        <v>52</v>
      </c>
      <c r="D39" s="74" t="s">
        <v>124</v>
      </c>
      <c r="E39" s="151" t="s">
        <v>125</v>
      </c>
      <c r="F39" s="151"/>
      <c r="G39" s="75">
        <v>-0.33460000000000001</v>
      </c>
      <c r="H39" s="33" t="s">
        <v>52</v>
      </c>
    </row>
    <row r="40" spans="1:8" x14ac:dyDescent="0.25">
      <c r="A40" s="2" t="s">
        <v>126</v>
      </c>
      <c r="B40" s="3" t="s">
        <v>56</v>
      </c>
      <c r="C40" s="3" t="s">
        <v>127</v>
      </c>
      <c r="D40" s="107" t="s">
        <v>128</v>
      </c>
      <c r="E40" s="107"/>
      <c r="F40" s="3" t="s">
        <v>81</v>
      </c>
      <c r="G40" s="31">
        <v>1</v>
      </c>
      <c r="H40" s="73">
        <v>0</v>
      </c>
    </row>
    <row r="41" spans="1:8" x14ac:dyDescent="0.25">
      <c r="A41" s="2" t="s">
        <v>52</v>
      </c>
      <c r="B41" s="3" t="s">
        <v>52</v>
      </c>
      <c r="C41" s="3" t="s">
        <v>52</v>
      </c>
      <c r="D41" s="74" t="s">
        <v>99</v>
      </c>
      <c r="E41" s="151" t="s">
        <v>129</v>
      </c>
      <c r="F41" s="151"/>
      <c r="G41" s="75">
        <v>0.5</v>
      </c>
      <c r="H41" s="33" t="s">
        <v>52</v>
      </c>
    </row>
    <row r="42" spans="1:8" x14ac:dyDescent="0.25">
      <c r="A42" s="2" t="s">
        <v>52</v>
      </c>
      <c r="B42" s="3" t="s">
        <v>52</v>
      </c>
      <c r="C42" s="3" t="s">
        <v>52</v>
      </c>
      <c r="D42" s="74" t="s">
        <v>99</v>
      </c>
      <c r="E42" s="151" t="s">
        <v>130</v>
      </c>
      <c r="F42" s="151"/>
      <c r="G42" s="75">
        <v>0.5</v>
      </c>
      <c r="H42" s="33" t="s">
        <v>52</v>
      </c>
    </row>
    <row r="43" spans="1:8" x14ac:dyDescent="0.25">
      <c r="A43" s="2" t="s">
        <v>131</v>
      </c>
      <c r="B43" s="3" t="s">
        <v>56</v>
      </c>
      <c r="C43" s="3" t="s">
        <v>132</v>
      </c>
      <c r="D43" s="107" t="s">
        <v>133</v>
      </c>
      <c r="E43" s="107"/>
      <c r="F43" s="3" t="s">
        <v>81</v>
      </c>
      <c r="G43" s="31">
        <v>1</v>
      </c>
      <c r="H43" s="73">
        <v>0</v>
      </c>
    </row>
    <row r="44" spans="1:8" x14ac:dyDescent="0.25">
      <c r="A44" s="2" t="s">
        <v>52</v>
      </c>
      <c r="B44" s="3" t="s">
        <v>52</v>
      </c>
      <c r="C44" s="3" t="s">
        <v>52</v>
      </c>
      <c r="D44" s="74" t="s">
        <v>99</v>
      </c>
      <c r="E44" s="151" t="s">
        <v>134</v>
      </c>
      <c r="F44" s="151"/>
      <c r="G44" s="75">
        <v>0.5</v>
      </c>
      <c r="H44" s="33" t="s">
        <v>52</v>
      </c>
    </row>
    <row r="45" spans="1:8" x14ac:dyDescent="0.25">
      <c r="A45" s="2" t="s">
        <v>52</v>
      </c>
      <c r="B45" s="3" t="s">
        <v>52</v>
      </c>
      <c r="C45" s="3" t="s">
        <v>52</v>
      </c>
      <c r="D45" s="74" t="s">
        <v>99</v>
      </c>
      <c r="E45" s="151" t="s">
        <v>130</v>
      </c>
      <c r="F45" s="151"/>
      <c r="G45" s="75">
        <v>0.5</v>
      </c>
      <c r="H45" s="33" t="s">
        <v>52</v>
      </c>
    </row>
    <row r="46" spans="1:8" x14ac:dyDescent="0.25">
      <c r="A46" s="2" t="s">
        <v>135</v>
      </c>
      <c r="B46" s="3" t="s">
        <v>56</v>
      </c>
      <c r="C46" s="3" t="s">
        <v>136</v>
      </c>
      <c r="D46" s="107" t="s">
        <v>137</v>
      </c>
      <c r="E46" s="107"/>
      <c r="F46" s="3" t="s">
        <v>138</v>
      </c>
      <c r="G46" s="31">
        <v>0.26400000000000001</v>
      </c>
      <c r="H46" s="73">
        <v>0</v>
      </c>
    </row>
    <row r="47" spans="1:8" x14ac:dyDescent="0.25">
      <c r="A47" s="2" t="s">
        <v>52</v>
      </c>
      <c r="B47" s="3" t="s">
        <v>52</v>
      </c>
      <c r="C47" s="3" t="s">
        <v>52</v>
      </c>
      <c r="D47" s="74" t="s">
        <v>139</v>
      </c>
      <c r="E47" s="151" t="s">
        <v>140</v>
      </c>
      <c r="F47" s="151"/>
      <c r="G47" s="75">
        <v>0.26400000000000001</v>
      </c>
      <c r="H47" s="33" t="s">
        <v>52</v>
      </c>
    </row>
    <row r="48" spans="1:8" x14ac:dyDescent="0.25">
      <c r="A48" s="2" t="s">
        <v>141</v>
      </c>
      <c r="B48" s="3" t="s">
        <v>56</v>
      </c>
      <c r="C48" s="3" t="s">
        <v>142</v>
      </c>
      <c r="D48" s="107" t="s">
        <v>143</v>
      </c>
      <c r="E48" s="107"/>
      <c r="F48" s="3" t="s">
        <v>59</v>
      </c>
      <c r="G48" s="31">
        <v>4.8</v>
      </c>
      <c r="H48" s="73">
        <v>0</v>
      </c>
    </row>
    <row r="49" spans="1:8" x14ac:dyDescent="0.25">
      <c r="A49" s="2" t="s">
        <v>52</v>
      </c>
      <c r="B49" s="3" t="s">
        <v>52</v>
      </c>
      <c r="C49" s="3" t="s">
        <v>52</v>
      </c>
      <c r="D49" s="74" t="s">
        <v>145</v>
      </c>
      <c r="E49" s="151" t="s">
        <v>146</v>
      </c>
      <c r="F49" s="151"/>
      <c r="G49" s="75">
        <v>4.8</v>
      </c>
      <c r="H49" s="33" t="s">
        <v>52</v>
      </c>
    </row>
    <row r="50" spans="1:8" x14ac:dyDescent="0.25">
      <c r="A50" s="2" t="s">
        <v>147</v>
      </c>
      <c r="B50" s="3" t="s">
        <v>56</v>
      </c>
      <c r="C50" s="3" t="s">
        <v>102</v>
      </c>
      <c r="D50" s="107" t="s">
        <v>103</v>
      </c>
      <c r="E50" s="107"/>
      <c r="F50" s="3" t="s">
        <v>59</v>
      </c>
      <c r="G50" s="31">
        <v>2.7</v>
      </c>
      <c r="H50" s="73">
        <v>0</v>
      </c>
    </row>
    <row r="51" spans="1:8" x14ac:dyDescent="0.25">
      <c r="A51" s="2" t="s">
        <v>52</v>
      </c>
      <c r="B51" s="3" t="s">
        <v>52</v>
      </c>
      <c r="C51" s="3" t="s">
        <v>52</v>
      </c>
      <c r="D51" s="74" t="s">
        <v>148</v>
      </c>
      <c r="E51" s="151" t="s">
        <v>149</v>
      </c>
      <c r="F51" s="151"/>
      <c r="G51" s="75">
        <v>2.7</v>
      </c>
      <c r="H51" s="33" t="s">
        <v>52</v>
      </c>
    </row>
    <row r="52" spans="1:8" x14ac:dyDescent="0.25">
      <c r="A52" s="39" t="s">
        <v>150</v>
      </c>
      <c r="B52" s="40" t="s">
        <v>56</v>
      </c>
      <c r="C52" s="40" t="s">
        <v>151</v>
      </c>
      <c r="D52" s="136" t="s">
        <v>152</v>
      </c>
      <c r="E52" s="136"/>
      <c r="F52" s="40" t="s">
        <v>59</v>
      </c>
      <c r="G52" s="42">
        <v>-8.1</v>
      </c>
      <c r="H52" s="76">
        <v>0</v>
      </c>
    </row>
    <row r="53" spans="1:8" x14ac:dyDescent="0.25">
      <c r="A53" s="39" t="s">
        <v>52</v>
      </c>
      <c r="B53" s="40" t="s">
        <v>52</v>
      </c>
      <c r="C53" s="40" t="s">
        <v>52</v>
      </c>
      <c r="D53" s="74" t="s">
        <v>153</v>
      </c>
      <c r="E53" s="151" t="s">
        <v>52</v>
      </c>
      <c r="F53" s="151"/>
      <c r="G53" s="77">
        <v>0</v>
      </c>
      <c r="H53" s="44" t="s">
        <v>52</v>
      </c>
    </row>
    <row r="54" spans="1:8" x14ac:dyDescent="0.25">
      <c r="A54" s="39" t="s">
        <v>52</v>
      </c>
      <c r="B54" s="40" t="s">
        <v>52</v>
      </c>
      <c r="C54" s="40" t="s">
        <v>52</v>
      </c>
      <c r="D54" s="74" t="s">
        <v>154</v>
      </c>
      <c r="E54" s="151" t="s">
        <v>52</v>
      </c>
      <c r="F54" s="151"/>
      <c r="G54" s="77">
        <v>-8.1</v>
      </c>
      <c r="H54" s="44" t="s">
        <v>52</v>
      </c>
    </row>
    <row r="55" spans="1:8" x14ac:dyDescent="0.25">
      <c r="A55" s="72" t="s">
        <v>52</v>
      </c>
      <c r="B55" s="27" t="s">
        <v>56</v>
      </c>
      <c r="C55" s="27" t="s">
        <v>155</v>
      </c>
      <c r="D55" s="134" t="s">
        <v>156</v>
      </c>
      <c r="E55" s="134"/>
      <c r="F55" s="27" t="s">
        <v>52</v>
      </c>
      <c r="G55" s="11" t="s">
        <v>52</v>
      </c>
      <c r="H55" s="30" t="s">
        <v>52</v>
      </c>
    </row>
    <row r="56" spans="1:8" x14ac:dyDescent="0.25">
      <c r="A56" s="2" t="s">
        <v>157</v>
      </c>
      <c r="B56" s="3" t="s">
        <v>56</v>
      </c>
      <c r="C56" s="3" t="s">
        <v>158</v>
      </c>
      <c r="D56" s="107" t="s">
        <v>159</v>
      </c>
      <c r="E56" s="107"/>
      <c r="F56" s="3" t="s">
        <v>59</v>
      </c>
      <c r="G56" s="31">
        <v>0.95850000000000002</v>
      </c>
      <c r="H56" s="73">
        <v>0</v>
      </c>
    </row>
    <row r="57" spans="1:8" x14ac:dyDescent="0.25">
      <c r="A57" s="2" t="s">
        <v>52</v>
      </c>
      <c r="B57" s="3" t="s">
        <v>52</v>
      </c>
      <c r="C57" s="3" t="s">
        <v>52</v>
      </c>
      <c r="D57" s="74" t="s">
        <v>162</v>
      </c>
      <c r="E57" s="151" t="s">
        <v>163</v>
      </c>
      <c r="F57" s="151"/>
      <c r="G57" s="75">
        <v>0.252</v>
      </c>
      <c r="H57" s="33" t="s">
        <v>52</v>
      </c>
    </row>
    <row r="58" spans="1:8" x14ac:dyDescent="0.25">
      <c r="A58" s="2" t="s">
        <v>52</v>
      </c>
      <c r="B58" s="3" t="s">
        <v>52</v>
      </c>
      <c r="C58" s="3" t="s">
        <v>52</v>
      </c>
      <c r="D58" s="74" t="s">
        <v>164</v>
      </c>
      <c r="E58" s="151" t="s">
        <v>165</v>
      </c>
      <c r="F58" s="151"/>
      <c r="G58" s="75">
        <v>0.39250000000000002</v>
      </c>
      <c r="H58" s="33" t="s">
        <v>52</v>
      </c>
    </row>
    <row r="59" spans="1:8" x14ac:dyDescent="0.25">
      <c r="A59" s="2" t="s">
        <v>52</v>
      </c>
      <c r="B59" s="3" t="s">
        <v>52</v>
      </c>
      <c r="C59" s="3" t="s">
        <v>52</v>
      </c>
      <c r="D59" s="74" t="s">
        <v>166</v>
      </c>
      <c r="E59" s="151" t="s">
        <v>167</v>
      </c>
      <c r="F59" s="151"/>
      <c r="G59" s="75">
        <v>0.314</v>
      </c>
      <c r="H59" s="33" t="s">
        <v>52</v>
      </c>
    </row>
    <row r="60" spans="1:8" x14ac:dyDescent="0.25">
      <c r="A60" s="2" t="s">
        <v>168</v>
      </c>
      <c r="B60" s="3" t="s">
        <v>56</v>
      </c>
      <c r="C60" s="3" t="s">
        <v>169</v>
      </c>
      <c r="D60" s="107" t="s">
        <v>170</v>
      </c>
      <c r="E60" s="107"/>
      <c r="F60" s="3" t="s">
        <v>59</v>
      </c>
      <c r="G60" s="31">
        <v>11.1976</v>
      </c>
      <c r="H60" s="73">
        <v>0</v>
      </c>
    </row>
    <row r="61" spans="1:8" x14ac:dyDescent="0.25">
      <c r="A61" s="2" t="s">
        <v>52</v>
      </c>
      <c r="B61" s="3" t="s">
        <v>52</v>
      </c>
      <c r="C61" s="3" t="s">
        <v>52</v>
      </c>
      <c r="D61" s="74" t="s">
        <v>172</v>
      </c>
      <c r="E61" s="151" t="s">
        <v>173</v>
      </c>
      <c r="F61" s="151"/>
      <c r="G61" s="75">
        <v>3.7976000000000001</v>
      </c>
      <c r="H61" s="33" t="s">
        <v>52</v>
      </c>
    </row>
    <row r="62" spans="1:8" x14ac:dyDescent="0.25">
      <c r="A62" s="2" t="s">
        <v>52</v>
      </c>
      <c r="B62" s="3" t="s">
        <v>52</v>
      </c>
      <c r="C62" s="3" t="s">
        <v>52</v>
      </c>
      <c r="D62" s="74" t="s">
        <v>174</v>
      </c>
      <c r="E62" s="151" t="s">
        <v>175</v>
      </c>
      <c r="F62" s="151"/>
      <c r="G62" s="75">
        <v>7.4</v>
      </c>
      <c r="H62" s="33" t="s">
        <v>52</v>
      </c>
    </row>
    <row r="63" spans="1:8" x14ac:dyDescent="0.25">
      <c r="A63" s="2" t="s">
        <v>54</v>
      </c>
      <c r="B63" s="3" t="s">
        <v>56</v>
      </c>
      <c r="C63" s="3" t="s">
        <v>176</v>
      </c>
      <c r="D63" s="107" t="s">
        <v>177</v>
      </c>
      <c r="E63" s="107"/>
      <c r="F63" s="3" t="s">
        <v>59</v>
      </c>
      <c r="G63" s="31">
        <v>69.944999999999993</v>
      </c>
      <c r="H63" s="73">
        <v>0</v>
      </c>
    </row>
    <row r="64" spans="1:8" x14ac:dyDescent="0.25">
      <c r="A64" s="2" t="s">
        <v>52</v>
      </c>
      <c r="B64" s="3" t="s">
        <v>52</v>
      </c>
      <c r="C64" s="3" t="s">
        <v>52</v>
      </c>
      <c r="D64" s="74" t="s">
        <v>105</v>
      </c>
      <c r="E64" s="151" t="s">
        <v>178</v>
      </c>
      <c r="F64" s="151"/>
      <c r="G64" s="75">
        <v>71.400000000000006</v>
      </c>
      <c r="H64" s="33" t="s">
        <v>52</v>
      </c>
    </row>
    <row r="65" spans="1:8" x14ac:dyDescent="0.25">
      <c r="A65" s="2" t="s">
        <v>52</v>
      </c>
      <c r="B65" s="3" t="s">
        <v>52</v>
      </c>
      <c r="C65" s="3" t="s">
        <v>52</v>
      </c>
      <c r="D65" s="74" t="s">
        <v>106</v>
      </c>
      <c r="E65" s="151" t="s">
        <v>52</v>
      </c>
      <c r="F65" s="151"/>
      <c r="G65" s="75">
        <v>0</v>
      </c>
      <c r="H65" s="33" t="s">
        <v>52</v>
      </c>
    </row>
    <row r="66" spans="1:8" x14ac:dyDescent="0.25">
      <c r="A66" s="2" t="s">
        <v>52</v>
      </c>
      <c r="B66" s="3" t="s">
        <v>52</v>
      </c>
      <c r="C66" s="3" t="s">
        <v>52</v>
      </c>
      <c r="D66" s="74" t="s">
        <v>107</v>
      </c>
      <c r="E66" s="151" t="s">
        <v>108</v>
      </c>
      <c r="F66" s="151"/>
      <c r="G66" s="75">
        <v>-5.5350000000000001</v>
      </c>
      <c r="H66" s="33" t="s">
        <v>52</v>
      </c>
    </row>
    <row r="67" spans="1:8" x14ac:dyDescent="0.25">
      <c r="A67" s="2" t="s">
        <v>52</v>
      </c>
      <c r="B67" s="3" t="s">
        <v>52</v>
      </c>
      <c r="C67" s="3" t="s">
        <v>52</v>
      </c>
      <c r="D67" s="74" t="s">
        <v>109</v>
      </c>
      <c r="E67" s="151" t="s">
        <v>110</v>
      </c>
      <c r="F67" s="151"/>
      <c r="G67" s="75">
        <v>-0.81</v>
      </c>
      <c r="H67" s="33" t="s">
        <v>52</v>
      </c>
    </row>
    <row r="68" spans="1:8" x14ac:dyDescent="0.25">
      <c r="A68" s="2" t="s">
        <v>52</v>
      </c>
      <c r="B68" s="3" t="s">
        <v>52</v>
      </c>
      <c r="C68" s="3" t="s">
        <v>52</v>
      </c>
      <c r="D68" s="74" t="s">
        <v>111</v>
      </c>
      <c r="E68" s="151" t="s">
        <v>112</v>
      </c>
      <c r="F68" s="151"/>
      <c r="G68" s="75">
        <v>-2.61</v>
      </c>
      <c r="H68" s="33" t="s">
        <v>52</v>
      </c>
    </row>
    <row r="69" spans="1:8" x14ac:dyDescent="0.25">
      <c r="A69" s="2" t="s">
        <v>52</v>
      </c>
      <c r="B69" s="3" t="s">
        <v>52</v>
      </c>
      <c r="C69" s="3" t="s">
        <v>52</v>
      </c>
      <c r="D69" s="74" t="s">
        <v>179</v>
      </c>
      <c r="E69" s="151" t="s">
        <v>149</v>
      </c>
      <c r="F69" s="151"/>
      <c r="G69" s="75">
        <v>7.5</v>
      </c>
      <c r="H69" s="33" t="s">
        <v>52</v>
      </c>
    </row>
    <row r="70" spans="1:8" x14ac:dyDescent="0.25">
      <c r="A70" s="2" t="s">
        <v>180</v>
      </c>
      <c r="B70" s="3" t="s">
        <v>56</v>
      </c>
      <c r="C70" s="3" t="s">
        <v>181</v>
      </c>
      <c r="D70" s="107" t="s">
        <v>182</v>
      </c>
      <c r="E70" s="107"/>
      <c r="F70" s="3" t="s">
        <v>81</v>
      </c>
      <c r="G70" s="31">
        <v>4</v>
      </c>
      <c r="H70" s="73">
        <v>0</v>
      </c>
    </row>
    <row r="71" spans="1:8" x14ac:dyDescent="0.25">
      <c r="A71" s="2" t="s">
        <v>52</v>
      </c>
      <c r="B71" s="3" t="s">
        <v>52</v>
      </c>
      <c r="C71" s="3" t="s">
        <v>52</v>
      </c>
      <c r="D71" s="74" t="s">
        <v>183</v>
      </c>
      <c r="E71" s="151" t="s">
        <v>184</v>
      </c>
      <c r="F71" s="151"/>
      <c r="G71" s="75">
        <v>4</v>
      </c>
      <c r="H71" s="33" t="s">
        <v>52</v>
      </c>
    </row>
    <row r="72" spans="1:8" x14ac:dyDescent="0.25">
      <c r="A72" s="2" t="s">
        <v>185</v>
      </c>
      <c r="B72" s="3" t="s">
        <v>56</v>
      </c>
      <c r="C72" s="3" t="s">
        <v>186</v>
      </c>
      <c r="D72" s="107" t="s">
        <v>187</v>
      </c>
      <c r="E72" s="107"/>
      <c r="F72" s="3" t="s">
        <v>59</v>
      </c>
      <c r="G72" s="31">
        <v>91.045000000000002</v>
      </c>
      <c r="H72" s="73">
        <v>0</v>
      </c>
    </row>
    <row r="73" spans="1:8" x14ac:dyDescent="0.25">
      <c r="A73" s="2" t="s">
        <v>52</v>
      </c>
      <c r="B73" s="3" t="s">
        <v>52</v>
      </c>
      <c r="C73" s="3" t="s">
        <v>52</v>
      </c>
      <c r="D73" s="74" t="s">
        <v>188</v>
      </c>
      <c r="E73" s="151" t="s">
        <v>52</v>
      </c>
      <c r="F73" s="151"/>
      <c r="G73" s="75">
        <v>0</v>
      </c>
      <c r="H73" s="33" t="s">
        <v>52</v>
      </c>
    </row>
    <row r="74" spans="1:8" x14ac:dyDescent="0.25">
      <c r="A74" s="2" t="s">
        <v>52</v>
      </c>
      <c r="B74" s="3" t="s">
        <v>52</v>
      </c>
      <c r="C74" s="3" t="s">
        <v>52</v>
      </c>
      <c r="D74" s="74" t="s">
        <v>189</v>
      </c>
      <c r="E74" s="151" t="s">
        <v>190</v>
      </c>
      <c r="F74" s="151"/>
      <c r="G74" s="75">
        <v>4.1399999999999997</v>
      </c>
      <c r="H74" s="33" t="s">
        <v>52</v>
      </c>
    </row>
    <row r="75" spans="1:8" x14ac:dyDescent="0.25">
      <c r="A75" s="2" t="s">
        <v>52</v>
      </c>
      <c r="B75" s="3" t="s">
        <v>52</v>
      </c>
      <c r="C75" s="3" t="s">
        <v>52</v>
      </c>
      <c r="D75" s="74" t="s">
        <v>191</v>
      </c>
      <c r="E75" s="151" t="s">
        <v>192</v>
      </c>
      <c r="F75" s="151"/>
      <c r="G75" s="75">
        <v>2.64</v>
      </c>
      <c r="H75" s="33" t="s">
        <v>52</v>
      </c>
    </row>
    <row r="76" spans="1:8" x14ac:dyDescent="0.25">
      <c r="A76" s="2" t="s">
        <v>52</v>
      </c>
      <c r="B76" s="3" t="s">
        <v>52</v>
      </c>
      <c r="C76" s="3" t="s">
        <v>52</v>
      </c>
      <c r="D76" s="74" t="s">
        <v>193</v>
      </c>
      <c r="E76" s="151" t="s">
        <v>194</v>
      </c>
      <c r="F76" s="151"/>
      <c r="G76" s="75">
        <v>2.64</v>
      </c>
      <c r="H76" s="33" t="s">
        <v>52</v>
      </c>
    </row>
    <row r="77" spans="1:8" x14ac:dyDescent="0.25">
      <c r="A77" s="2" t="s">
        <v>52</v>
      </c>
      <c r="B77" s="3" t="s">
        <v>52</v>
      </c>
      <c r="C77" s="3" t="s">
        <v>52</v>
      </c>
      <c r="D77" s="74" t="s">
        <v>195</v>
      </c>
      <c r="E77" s="151" t="s">
        <v>196</v>
      </c>
      <c r="F77" s="151"/>
      <c r="G77" s="75">
        <v>1.1000000000000001</v>
      </c>
      <c r="H77" s="33" t="s">
        <v>52</v>
      </c>
    </row>
    <row r="78" spans="1:8" x14ac:dyDescent="0.25">
      <c r="A78" s="2" t="s">
        <v>52</v>
      </c>
      <c r="B78" s="3" t="s">
        <v>52</v>
      </c>
      <c r="C78" s="3" t="s">
        <v>52</v>
      </c>
      <c r="D78" s="74" t="s">
        <v>197</v>
      </c>
      <c r="E78" s="151" t="s">
        <v>198</v>
      </c>
      <c r="F78" s="151"/>
      <c r="G78" s="75">
        <v>4.2750000000000004</v>
      </c>
      <c r="H78" s="33" t="s">
        <v>52</v>
      </c>
    </row>
    <row r="79" spans="1:8" x14ac:dyDescent="0.25">
      <c r="A79" s="2" t="s">
        <v>52</v>
      </c>
      <c r="B79" s="3" t="s">
        <v>52</v>
      </c>
      <c r="C79" s="3" t="s">
        <v>52</v>
      </c>
      <c r="D79" s="74" t="s">
        <v>199</v>
      </c>
      <c r="E79" s="151" t="s">
        <v>108</v>
      </c>
      <c r="F79" s="151"/>
      <c r="G79" s="75">
        <v>33.21</v>
      </c>
      <c r="H79" s="33" t="s">
        <v>52</v>
      </c>
    </row>
    <row r="80" spans="1:8" x14ac:dyDescent="0.25">
      <c r="A80" s="2" t="s">
        <v>52</v>
      </c>
      <c r="B80" s="3" t="s">
        <v>52</v>
      </c>
      <c r="C80" s="3" t="s">
        <v>52</v>
      </c>
      <c r="D80" s="74" t="s">
        <v>200</v>
      </c>
      <c r="E80" s="151" t="s">
        <v>201</v>
      </c>
      <c r="F80" s="151"/>
      <c r="G80" s="75">
        <v>6.75</v>
      </c>
      <c r="H80" s="33" t="s">
        <v>52</v>
      </c>
    </row>
    <row r="81" spans="1:8" x14ac:dyDescent="0.25">
      <c r="A81" s="2" t="s">
        <v>52</v>
      </c>
      <c r="B81" s="3" t="s">
        <v>52</v>
      </c>
      <c r="C81" s="3" t="s">
        <v>52</v>
      </c>
      <c r="D81" s="74" t="s">
        <v>202</v>
      </c>
      <c r="E81" s="151" t="s">
        <v>203</v>
      </c>
      <c r="F81" s="151"/>
      <c r="G81" s="75">
        <v>3.28</v>
      </c>
      <c r="H81" s="33" t="s">
        <v>52</v>
      </c>
    </row>
    <row r="82" spans="1:8" x14ac:dyDescent="0.25">
      <c r="A82" s="2" t="s">
        <v>52</v>
      </c>
      <c r="B82" s="3" t="s">
        <v>52</v>
      </c>
      <c r="C82" s="3" t="s">
        <v>52</v>
      </c>
      <c r="D82" s="74" t="s">
        <v>204</v>
      </c>
      <c r="E82" s="151" t="s">
        <v>205</v>
      </c>
      <c r="F82" s="151"/>
      <c r="G82" s="75">
        <v>8.61</v>
      </c>
      <c r="H82" s="33" t="s">
        <v>52</v>
      </c>
    </row>
    <row r="83" spans="1:8" x14ac:dyDescent="0.25">
      <c r="A83" s="2" t="s">
        <v>52</v>
      </c>
      <c r="B83" s="3" t="s">
        <v>52</v>
      </c>
      <c r="C83" s="3" t="s">
        <v>52</v>
      </c>
      <c r="D83" s="74" t="s">
        <v>206</v>
      </c>
      <c r="E83" s="151" t="s">
        <v>207</v>
      </c>
      <c r="F83" s="151"/>
      <c r="G83" s="75">
        <v>15.4</v>
      </c>
      <c r="H83" s="33" t="s">
        <v>52</v>
      </c>
    </row>
    <row r="84" spans="1:8" x14ac:dyDescent="0.25">
      <c r="A84" s="2" t="s">
        <v>52</v>
      </c>
      <c r="B84" s="3" t="s">
        <v>52</v>
      </c>
      <c r="C84" s="3" t="s">
        <v>52</v>
      </c>
      <c r="D84" s="74" t="s">
        <v>208</v>
      </c>
      <c r="E84" s="151" t="s">
        <v>209</v>
      </c>
      <c r="F84" s="151"/>
      <c r="G84" s="75">
        <v>7.2</v>
      </c>
      <c r="H84" s="33" t="s">
        <v>52</v>
      </c>
    </row>
    <row r="85" spans="1:8" x14ac:dyDescent="0.25">
      <c r="A85" s="2" t="s">
        <v>52</v>
      </c>
      <c r="B85" s="3" t="s">
        <v>52</v>
      </c>
      <c r="C85" s="3" t="s">
        <v>52</v>
      </c>
      <c r="D85" s="74" t="s">
        <v>210</v>
      </c>
      <c r="E85" s="151" t="s">
        <v>211</v>
      </c>
      <c r="F85" s="151"/>
      <c r="G85" s="75">
        <v>1.8</v>
      </c>
      <c r="H85" s="33" t="s">
        <v>52</v>
      </c>
    </row>
    <row r="86" spans="1:8" x14ac:dyDescent="0.25">
      <c r="A86" s="2" t="s">
        <v>212</v>
      </c>
      <c r="B86" s="3" t="s">
        <v>56</v>
      </c>
      <c r="C86" s="3" t="s">
        <v>213</v>
      </c>
      <c r="D86" s="107" t="s">
        <v>214</v>
      </c>
      <c r="E86" s="107"/>
      <c r="F86" s="3" t="s">
        <v>215</v>
      </c>
      <c r="G86" s="31">
        <v>57</v>
      </c>
      <c r="H86" s="73">
        <v>0</v>
      </c>
    </row>
    <row r="87" spans="1:8" x14ac:dyDescent="0.25">
      <c r="A87" s="2" t="s">
        <v>52</v>
      </c>
      <c r="B87" s="3" t="s">
        <v>52</v>
      </c>
      <c r="C87" s="3" t="s">
        <v>52</v>
      </c>
      <c r="D87" s="74" t="s">
        <v>216</v>
      </c>
      <c r="E87" s="151" t="s">
        <v>217</v>
      </c>
      <c r="F87" s="151"/>
      <c r="G87" s="75">
        <v>57</v>
      </c>
      <c r="H87" s="33" t="s">
        <v>52</v>
      </c>
    </row>
    <row r="88" spans="1:8" x14ac:dyDescent="0.25">
      <c r="A88" s="39" t="s">
        <v>218</v>
      </c>
      <c r="B88" s="40" t="s">
        <v>56</v>
      </c>
      <c r="C88" s="40" t="s">
        <v>219</v>
      </c>
      <c r="D88" s="136" t="s">
        <v>220</v>
      </c>
      <c r="E88" s="136"/>
      <c r="F88" s="40" t="s">
        <v>215</v>
      </c>
      <c r="G88" s="42">
        <v>59.85</v>
      </c>
      <c r="H88" s="76">
        <v>0</v>
      </c>
    </row>
    <row r="89" spans="1:8" x14ac:dyDescent="0.25">
      <c r="A89" s="39" t="s">
        <v>52</v>
      </c>
      <c r="B89" s="40" t="s">
        <v>52</v>
      </c>
      <c r="C89" s="40" t="s">
        <v>52</v>
      </c>
      <c r="D89" s="74" t="s">
        <v>216</v>
      </c>
      <c r="E89" s="151" t="s">
        <v>217</v>
      </c>
      <c r="F89" s="151"/>
      <c r="G89" s="77">
        <v>57</v>
      </c>
      <c r="H89" s="44" t="s">
        <v>52</v>
      </c>
    </row>
    <row r="90" spans="1:8" x14ac:dyDescent="0.25">
      <c r="A90" s="39" t="s">
        <v>52</v>
      </c>
      <c r="B90" s="40" t="s">
        <v>52</v>
      </c>
      <c r="C90" s="40" t="s">
        <v>52</v>
      </c>
      <c r="D90" s="74" t="s">
        <v>221</v>
      </c>
      <c r="E90" s="151" t="s">
        <v>52</v>
      </c>
      <c r="F90" s="151"/>
      <c r="G90" s="77">
        <v>2.85</v>
      </c>
      <c r="H90" s="44" t="s">
        <v>52</v>
      </c>
    </row>
    <row r="91" spans="1:8" x14ac:dyDescent="0.25">
      <c r="A91" s="72" t="s">
        <v>52</v>
      </c>
      <c r="B91" s="27" t="s">
        <v>56</v>
      </c>
      <c r="C91" s="27" t="s">
        <v>222</v>
      </c>
      <c r="D91" s="134" t="s">
        <v>223</v>
      </c>
      <c r="E91" s="134"/>
      <c r="F91" s="27" t="s">
        <v>52</v>
      </c>
      <c r="G91" s="11" t="s">
        <v>52</v>
      </c>
      <c r="H91" s="30" t="s">
        <v>52</v>
      </c>
    </row>
    <row r="92" spans="1:8" x14ac:dyDescent="0.25">
      <c r="A92" s="2" t="s">
        <v>224</v>
      </c>
      <c r="B92" s="3" t="s">
        <v>56</v>
      </c>
      <c r="C92" s="3" t="s">
        <v>225</v>
      </c>
      <c r="D92" s="107" t="s">
        <v>226</v>
      </c>
      <c r="E92" s="107"/>
      <c r="F92" s="3" t="s">
        <v>59</v>
      </c>
      <c r="G92" s="31">
        <v>30.954999999999998</v>
      </c>
      <c r="H92" s="73">
        <v>0</v>
      </c>
    </row>
    <row r="93" spans="1:8" x14ac:dyDescent="0.25">
      <c r="A93" s="2" t="s">
        <v>52</v>
      </c>
      <c r="B93" s="3" t="s">
        <v>52</v>
      </c>
      <c r="C93" s="3" t="s">
        <v>52</v>
      </c>
      <c r="D93" s="74" t="s">
        <v>229</v>
      </c>
      <c r="E93" s="151" t="s">
        <v>230</v>
      </c>
      <c r="F93" s="151"/>
      <c r="G93" s="75">
        <v>20.035</v>
      </c>
      <c r="H93" s="33" t="s">
        <v>52</v>
      </c>
    </row>
    <row r="94" spans="1:8" x14ac:dyDescent="0.25">
      <c r="A94" s="2" t="s">
        <v>52</v>
      </c>
      <c r="B94" s="3" t="s">
        <v>52</v>
      </c>
      <c r="C94" s="3" t="s">
        <v>52</v>
      </c>
      <c r="D94" s="74" t="s">
        <v>231</v>
      </c>
      <c r="E94" s="151" t="s">
        <v>232</v>
      </c>
      <c r="F94" s="151"/>
      <c r="G94" s="75">
        <v>4.5350000000000001</v>
      </c>
      <c r="H94" s="33" t="s">
        <v>52</v>
      </c>
    </row>
    <row r="95" spans="1:8" x14ac:dyDescent="0.25">
      <c r="A95" s="2" t="s">
        <v>52</v>
      </c>
      <c r="B95" s="3" t="s">
        <v>52</v>
      </c>
      <c r="C95" s="3" t="s">
        <v>52</v>
      </c>
      <c r="D95" s="74" t="s">
        <v>233</v>
      </c>
      <c r="E95" s="151" t="s">
        <v>234</v>
      </c>
      <c r="F95" s="151"/>
      <c r="G95" s="75">
        <v>0.48</v>
      </c>
      <c r="H95" s="33" t="s">
        <v>52</v>
      </c>
    </row>
    <row r="96" spans="1:8" x14ac:dyDescent="0.25">
      <c r="A96" s="2" t="s">
        <v>52</v>
      </c>
      <c r="B96" s="3" t="s">
        <v>52</v>
      </c>
      <c r="C96" s="3" t="s">
        <v>52</v>
      </c>
      <c r="D96" s="74" t="s">
        <v>235</v>
      </c>
      <c r="E96" s="151" t="s">
        <v>236</v>
      </c>
      <c r="F96" s="151"/>
      <c r="G96" s="75">
        <v>5.9050000000000002</v>
      </c>
      <c r="H96" s="33" t="s">
        <v>52</v>
      </c>
    </row>
    <row r="97" spans="1:8" x14ac:dyDescent="0.25">
      <c r="A97" s="72" t="s">
        <v>52</v>
      </c>
      <c r="B97" s="27" t="s">
        <v>56</v>
      </c>
      <c r="C97" s="27" t="s">
        <v>237</v>
      </c>
      <c r="D97" s="134" t="s">
        <v>238</v>
      </c>
      <c r="E97" s="134"/>
      <c r="F97" s="27" t="s">
        <v>52</v>
      </c>
      <c r="G97" s="11" t="s">
        <v>52</v>
      </c>
      <c r="H97" s="30" t="s">
        <v>52</v>
      </c>
    </row>
    <row r="98" spans="1:8" x14ac:dyDescent="0.25">
      <c r="A98" s="2" t="s">
        <v>239</v>
      </c>
      <c r="B98" s="3" t="s">
        <v>56</v>
      </c>
      <c r="C98" s="3" t="s">
        <v>240</v>
      </c>
      <c r="D98" s="107" t="s">
        <v>241</v>
      </c>
      <c r="E98" s="107"/>
      <c r="F98" s="3" t="s">
        <v>81</v>
      </c>
      <c r="G98" s="31">
        <v>1</v>
      </c>
      <c r="H98" s="73">
        <v>0</v>
      </c>
    </row>
    <row r="99" spans="1:8" x14ac:dyDescent="0.25">
      <c r="A99" s="2" t="s">
        <v>245</v>
      </c>
      <c r="B99" s="3" t="s">
        <v>56</v>
      </c>
      <c r="C99" s="3" t="s">
        <v>240</v>
      </c>
      <c r="D99" s="107" t="s">
        <v>241</v>
      </c>
      <c r="E99" s="107"/>
      <c r="F99" s="3" t="s">
        <v>81</v>
      </c>
      <c r="G99" s="31">
        <v>1</v>
      </c>
      <c r="H99" s="73">
        <v>0</v>
      </c>
    </row>
    <row r="100" spans="1:8" x14ac:dyDescent="0.25">
      <c r="A100" s="2" t="s">
        <v>247</v>
      </c>
      <c r="B100" s="3" t="s">
        <v>56</v>
      </c>
      <c r="C100" s="3" t="s">
        <v>248</v>
      </c>
      <c r="D100" s="107" t="s">
        <v>249</v>
      </c>
      <c r="E100" s="107"/>
      <c r="F100" s="3" t="s">
        <v>81</v>
      </c>
      <c r="G100" s="31">
        <v>5</v>
      </c>
      <c r="H100" s="73">
        <v>0</v>
      </c>
    </row>
    <row r="101" spans="1:8" x14ac:dyDescent="0.25">
      <c r="A101" s="2" t="s">
        <v>52</v>
      </c>
      <c r="B101" s="3" t="s">
        <v>52</v>
      </c>
      <c r="C101" s="3" t="s">
        <v>52</v>
      </c>
      <c r="D101" s="74" t="s">
        <v>250</v>
      </c>
      <c r="E101" s="151" t="s">
        <v>52</v>
      </c>
      <c r="F101" s="151"/>
      <c r="G101" s="75">
        <v>5</v>
      </c>
      <c r="H101" s="33" t="s">
        <v>52</v>
      </c>
    </row>
    <row r="102" spans="1:8" x14ac:dyDescent="0.25">
      <c r="A102" s="39" t="s">
        <v>251</v>
      </c>
      <c r="B102" s="40" t="s">
        <v>56</v>
      </c>
      <c r="C102" s="40" t="s">
        <v>252</v>
      </c>
      <c r="D102" s="136" t="s">
        <v>253</v>
      </c>
      <c r="E102" s="136"/>
      <c r="F102" s="40" t="s">
        <v>81</v>
      </c>
      <c r="G102" s="42">
        <v>3</v>
      </c>
      <c r="H102" s="76">
        <v>0</v>
      </c>
    </row>
    <row r="103" spans="1:8" x14ac:dyDescent="0.25">
      <c r="A103" s="39" t="s">
        <v>254</v>
      </c>
      <c r="B103" s="40" t="s">
        <v>56</v>
      </c>
      <c r="C103" s="40" t="s">
        <v>240</v>
      </c>
      <c r="D103" s="136" t="s">
        <v>255</v>
      </c>
      <c r="E103" s="136"/>
      <c r="F103" s="40" t="s">
        <v>81</v>
      </c>
      <c r="G103" s="42">
        <v>1</v>
      </c>
      <c r="H103" s="76">
        <v>0</v>
      </c>
    </row>
    <row r="104" spans="1:8" x14ac:dyDescent="0.25">
      <c r="A104" s="39" t="s">
        <v>256</v>
      </c>
      <c r="B104" s="40" t="s">
        <v>56</v>
      </c>
      <c r="C104" s="40" t="s">
        <v>240</v>
      </c>
      <c r="D104" s="136" t="s">
        <v>257</v>
      </c>
      <c r="E104" s="136"/>
      <c r="F104" s="40" t="s">
        <v>81</v>
      </c>
      <c r="G104" s="42">
        <v>1</v>
      </c>
      <c r="H104" s="76">
        <v>0</v>
      </c>
    </row>
    <row r="105" spans="1:8" x14ac:dyDescent="0.25">
      <c r="A105" s="72" t="s">
        <v>52</v>
      </c>
      <c r="B105" s="27" t="s">
        <v>56</v>
      </c>
      <c r="C105" s="27" t="s">
        <v>258</v>
      </c>
      <c r="D105" s="134" t="s">
        <v>259</v>
      </c>
      <c r="E105" s="134"/>
      <c r="F105" s="27" t="s">
        <v>52</v>
      </c>
      <c r="G105" s="11" t="s">
        <v>52</v>
      </c>
      <c r="H105" s="30" t="s">
        <v>52</v>
      </c>
    </row>
    <row r="106" spans="1:8" x14ac:dyDescent="0.25">
      <c r="A106" s="2" t="s">
        <v>260</v>
      </c>
      <c r="B106" s="3" t="s">
        <v>56</v>
      </c>
      <c r="C106" s="3" t="s">
        <v>261</v>
      </c>
      <c r="D106" s="107" t="s">
        <v>262</v>
      </c>
      <c r="E106" s="107"/>
      <c r="F106" s="3" t="s">
        <v>59</v>
      </c>
      <c r="G106" s="31">
        <v>11.132999999999999</v>
      </c>
      <c r="H106" s="73">
        <v>0</v>
      </c>
    </row>
    <row r="107" spans="1:8" x14ac:dyDescent="0.25">
      <c r="A107" s="2" t="s">
        <v>52</v>
      </c>
      <c r="B107" s="3" t="s">
        <v>52</v>
      </c>
      <c r="C107" s="3" t="s">
        <v>52</v>
      </c>
      <c r="D107" s="74" t="s">
        <v>266</v>
      </c>
      <c r="E107" s="151" t="s">
        <v>267</v>
      </c>
      <c r="F107" s="151"/>
      <c r="G107" s="75">
        <v>2.85</v>
      </c>
      <c r="H107" s="33" t="s">
        <v>52</v>
      </c>
    </row>
    <row r="108" spans="1:8" x14ac:dyDescent="0.25">
      <c r="A108" s="2" t="s">
        <v>52</v>
      </c>
      <c r="B108" s="3" t="s">
        <v>52</v>
      </c>
      <c r="C108" s="3" t="s">
        <v>52</v>
      </c>
      <c r="D108" s="74" t="s">
        <v>268</v>
      </c>
      <c r="E108" s="151" t="s">
        <v>269</v>
      </c>
      <c r="F108" s="151"/>
      <c r="G108" s="75">
        <v>4.5225</v>
      </c>
      <c r="H108" s="33" t="s">
        <v>52</v>
      </c>
    </row>
    <row r="109" spans="1:8" x14ac:dyDescent="0.25">
      <c r="A109" s="2" t="s">
        <v>52</v>
      </c>
      <c r="B109" s="3" t="s">
        <v>52</v>
      </c>
      <c r="C109" s="3" t="s">
        <v>52</v>
      </c>
      <c r="D109" s="74" t="s">
        <v>270</v>
      </c>
      <c r="E109" s="151" t="s">
        <v>271</v>
      </c>
      <c r="F109" s="151"/>
      <c r="G109" s="75">
        <v>1.3305</v>
      </c>
      <c r="H109" s="33" t="s">
        <v>52</v>
      </c>
    </row>
    <row r="110" spans="1:8" x14ac:dyDescent="0.25">
      <c r="A110" s="2" t="s">
        <v>52</v>
      </c>
      <c r="B110" s="3" t="s">
        <v>52</v>
      </c>
      <c r="C110" s="3" t="s">
        <v>52</v>
      </c>
      <c r="D110" s="74" t="s">
        <v>272</v>
      </c>
      <c r="E110" s="151" t="s">
        <v>273</v>
      </c>
      <c r="F110" s="151"/>
      <c r="G110" s="75">
        <v>2.4300000000000002</v>
      </c>
      <c r="H110" s="33" t="s">
        <v>52</v>
      </c>
    </row>
    <row r="111" spans="1:8" x14ac:dyDescent="0.25">
      <c r="A111" s="2" t="s">
        <v>76</v>
      </c>
      <c r="B111" s="3" t="s">
        <v>56</v>
      </c>
      <c r="C111" s="3" t="s">
        <v>274</v>
      </c>
      <c r="D111" s="107" t="s">
        <v>275</v>
      </c>
      <c r="E111" s="107"/>
      <c r="F111" s="3" t="s">
        <v>276</v>
      </c>
      <c r="G111" s="31">
        <v>3.6850000000000001E-2</v>
      </c>
      <c r="H111" s="73">
        <v>0</v>
      </c>
    </row>
    <row r="112" spans="1:8" x14ac:dyDescent="0.25">
      <c r="A112" s="72" t="s">
        <v>52</v>
      </c>
      <c r="B112" s="27" t="s">
        <v>56</v>
      </c>
      <c r="C112" s="27" t="s">
        <v>277</v>
      </c>
      <c r="D112" s="134" t="s">
        <v>278</v>
      </c>
      <c r="E112" s="134"/>
      <c r="F112" s="27" t="s">
        <v>52</v>
      </c>
      <c r="G112" s="11" t="s">
        <v>52</v>
      </c>
      <c r="H112" s="30" t="s">
        <v>52</v>
      </c>
    </row>
    <row r="113" spans="1:8" x14ac:dyDescent="0.25">
      <c r="A113" s="2" t="s">
        <v>279</v>
      </c>
      <c r="B113" s="3" t="s">
        <v>56</v>
      </c>
      <c r="C113" s="3" t="s">
        <v>280</v>
      </c>
      <c r="D113" s="107" t="s">
        <v>281</v>
      </c>
      <c r="E113" s="107"/>
      <c r="F113" s="3" t="s">
        <v>59</v>
      </c>
      <c r="G113" s="31">
        <v>2.8</v>
      </c>
      <c r="H113" s="73">
        <v>0</v>
      </c>
    </row>
    <row r="114" spans="1:8" x14ac:dyDescent="0.25">
      <c r="A114" s="2" t="s">
        <v>52</v>
      </c>
      <c r="B114" s="3" t="s">
        <v>52</v>
      </c>
      <c r="C114" s="3" t="s">
        <v>52</v>
      </c>
      <c r="D114" s="74" t="s">
        <v>284</v>
      </c>
      <c r="E114" s="151" t="s">
        <v>52</v>
      </c>
      <c r="F114" s="151"/>
      <c r="G114" s="75">
        <v>2.8</v>
      </c>
      <c r="H114" s="33" t="s">
        <v>52</v>
      </c>
    </row>
    <row r="115" spans="1:8" x14ac:dyDescent="0.25">
      <c r="A115" s="2" t="s">
        <v>285</v>
      </c>
      <c r="B115" s="3" t="s">
        <v>56</v>
      </c>
      <c r="C115" s="3" t="s">
        <v>286</v>
      </c>
      <c r="D115" s="107" t="s">
        <v>287</v>
      </c>
      <c r="E115" s="107"/>
      <c r="F115" s="3" t="s">
        <v>276</v>
      </c>
      <c r="G115" s="31">
        <v>4.4999999999999999E-4</v>
      </c>
      <c r="H115" s="73">
        <v>0</v>
      </c>
    </row>
    <row r="116" spans="1:8" x14ac:dyDescent="0.25">
      <c r="A116" s="72" t="s">
        <v>52</v>
      </c>
      <c r="B116" s="27" t="s">
        <v>56</v>
      </c>
      <c r="C116" s="27" t="s">
        <v>288</v>
      </c>
      <c r="D116" s="134" t="s">
        <v>289</v>
      </c>
      <c r="E116" s="134"/>
      <c r="F116" s="27" t="s">
        <v>52</v>
      </c>
      <c r="G116" s="11" t="s">
        <v>52</v>
      </c>
      <c r="H116" s="30" t="s">
        <v>52</v>
      </c>
    </row>
    <row r="117" spans="1:8" x14ac:dyDescent="0.25">
      <c r="A117" s="2" t="s">
        <v>88</v>
      </c>
      <c r="B117" s="3" t="s">
        <v>56</v>
      </c>
      <c r="C117" s="3" t="s">
        <v>290</v>
      </c>
      <c r="D117" s="107" t="s">
        <v>291</v>
      </c>
      <c r="E117" s="107"/>
      <c r="F117" s="3" t="s">
        <v>81</v>
      </c>
      <c r="G117" s="31">
        <v>1</v>
      </c>
      <c r="H117" s="73">
        <v>0</v>
      </c>
    </row>
    <row r="118" spans="1:8" x14ac:dyDescent="0.25">
      <c r="A118" s="2" t="s">
        <v>52</v>
      </c>
      <c r="B118" s="3" t="s">
        <v>52</v>
      </c>
      <c r="C118" s="3" t="s">
        <v>52</v>
      </c>
      <c r="D118" s="74" t="s">
        <v>56</v>
      </c>
      <c r="E118" s="151" t="s">
        <v>294</v>
      </c>
      <c r="F118" s="151"/>
      <c r="G118" s="75">
        <v>1</v>
      </c>
      <c r="H118" s="33" t="s">
        <v>52</v>
      </c>
    </row>
    <row r="119" spans="1:8" x14ac:dyDescent="0.25">
      <c r="A119" s="2" t="s">
        <v>295</v>
      </c>
      <c r="B119" s="3" t="s">
        <v>56</v>
      </c>
      <c r="C119" s="3" t="s">
        <v>296</v>
      </c>
      <c r="D119" s="107" t="s">
        <v>297</v>
      </c>
      <c r="E119" s="107"/>
      <c r="F119" s="3" t="s">
        <v>276</v>
      </c>
      <c r="G119" s="31">
        <v>2E-3</v>
      </c>
      <c r="H119" s="73">
        <v>0</v>
      </c>
    </row>
    <row r="120" spans="1:8" x14ac:dyDescent="0.25">
      <c r="A120" s="72" t="s">
        <v>52</v>
      </c>
      <c r="B120" s="27" t="s">
        <v>56</v>
      </c>
      <c r="C120" s="27" t="s">
        <v>298</v>
      </c>
      <c r="D120" s="134" t="s">
        <v>299</v>
      </c>
      <c r="E120" s="134"/>
      <c r="F120" s="27" t="s">
        <v>52</v>
      </c>
      <c r="G120" s="11" t="s">
        <v>52</v>
      </c>
      <c r="H120" s="30" t="s">
        <v>52</v>
      </c>
    </row>
    <row r="121" spans="1:8" x14ac:dyDescent="0.25">
      <c r="A121" s="2" t="s">
        <v>300</v>
      </c>
      <c r="B121" s="3" t="s">
        <v>56</v>
      </c>
      <c r="C121" s="3" t="s">
        <v>301</v>
      </c>
      <c r="D121" s="107" t="s">
        <v>302</v>
      </c>
      <c r="E121" s="107"/>
      <c r="F121" s="3" t="s">
        <v>215</v>
      </c>
      <c r="G121" s="31">
        <v>7.6</v>
      </c>
      <c r="H121" s="73">
        <v>0</v>
      </c>
    </row>
    <row r="122" spans="1:8" x14ac:dyDescent="0.25">
      <c r="A122" s="2" t="s">
        <v>52</v>
      </c>
      <c r="B122" s="3" t="s">
        <v>52</v>
      </c>
      <c r="C122" s="3" t="s">
        <v>52</v>
      </c>
      <c r="D122" s="74" t="s">
        <v>305</v>
      </c>
      <c r="E122" s="151" t="s">
        <v>306</v>
      </c>
      <c r="F122" s="151"/>
      <c r="G122" s="75">
        <v>7.6</v>
      </c>
      <c r="H122" s="33" t="s">
        <v>52</v>
      </c>
    </row>
    <row r="123" spans="1:8" x14ac:dyDescent="0.25">
      <c r="A123" s="2" t="s">
        <v>307</v>
      </c>
      <c r="B123" s="3" t="s">
        <v>56</v>
      </c>
      <c r="C123" s="3" t="s">
        <v>308</v>
      </c>
      <c r="D123" s="107" t="s">
        <v>309</v>
      </c>
      <c r="E123" s="107"/>
      <c r="F123" s="3" t="s">
        <v>276</v>
      </c>
      <c r="G123" s="31">
        <v>1.0789999999999999E-2</v>
      </c>
      <c r="H123" s="73">
        <v>0</v>
      </c>
    </row>
    <row r="124" spans="1:8" x14ac:dyDescent="0.25">
      <c r="A124" s="72" t="s">
        <v>52</v>
      </c>
      <c r="B124" s="27" t="s">
        <v>56</v>
      </c>
      <c r="C124" s="27" t="s">
        <v>310</v>
      </c>
      <c r="D124" s="134" t="s">
        <v>311</v>
      </c>
      <c r="E124" s="134"/>
      <c r="F124" s="27" t="s">
        <v>52</v>
      </c>
      <c r="G124" s="11" t="s">
        <v>52</v>
      </c>
      <c r="H124" s="30" t="s">
        <v>52</v>
      </c>
    </row>
    <row r="125" spans="1:8" x14ac:dyDescent="0.25">
      <c r="A125" s="2" t="s">
        <v>312</v>
      </c>
      <c r="B125" s="3" t="s">
        <v>56</v>
      </c>
      <c r="C125" s="3" t="s">
        <v>313</v>
      </c>
      <c r="D125" s="107" t="s">
        <v>314</v>
      </c>
      <c r="E125" s="107"/>
      <c r="F125" s="3" t="s">
        <v>81</v>
      </c>
      <c r="G125" s="31">
        <v>3</v>
      </c>
      <c r="H125" s="73">
        <v>0</v>
      </c>
    </row>
    <row r="126" spans="1:8" x14ac:dyDescent="0.25">
      <c r="A126" s="2" t="s">
        <v>316</v>
      </c>
      <c r="B126" s="3" t="s">
        <v>56</v>
      </c>
      <c r="C126" s="3" t="s">
        <v>317</v>
      </c>
      <c r="D126" s="107" t="s">
        <v>318</v>
      </c>
      <c r="E126" s="107"/>
      <c r="F126" s="3" t="s">
        <v>81</v>
      </c>
      <c r="G126" s="31">
        <v>6</v>
      </c>
      <c r="H126" s="73">
        <v>0</v>
      </c>
    </row>
    <row r="127" spans="1:8" x14ac:dyDescent="0.25">
      <c r="A127" s="2" t="s">
        <v>52</v>
      </c>
      <c r="B127" s="3" t="s">
        <v>52</v>
      </c>
      <c r="C127" s="3" t="s">
        <v>52</v>
      </c>
      <c r="D127" s="74" t="s">
        <v>319</v>
      </c>
      <c r="E127" s="151" t="s">
        <v>52</v>
      </c>
      <c r="F127" s="151"/>
      <c r="G127" s="75">
        <v>6</v>
      </c>
      <c r="H127" s="33" t="s">
        <v>52</v>
      </c>
    </row>
    <row r="128" spans="1:8" x14ac:dyDescent="0.25">
      <c r="A128" s="39" t="s">
        <v>320</v>
      </c>
      <c r="B128" s="40" t="s">
        <v>56</v>
      </c>
      <c r="C128" s="40" t="s">
        <v>321</v>
      </c>
      <c r="D128" s="136" t="s">
        <v>322</v>
      </c>
      <c r="E128" s="136"/>
      <c r="F128" s="40" t="s">
        <v>81</v>
      </c>
      <c r="G128" s="42">
        <v>4</v>
      </c>
      <c r="H128" s="76">
        <v>0</v>
      </c>
    </row>
    <row r="129" spans="1:8" x14ac:dyDescent="0.25">
      <c r="A129" s="39" t="s">
        <v>323</v>
      </c>
      <c r="B129" s="40" t="s">
        <v>56</v>
      </c>
      <c r="C129" s="40" t="s">
        <v>324</v>
      </c>
      <c r="D129" s="136" t="s">
        <v>325</v>
      </c>
      <c r="E129" s="136"/>
      <c r="F129" s="40" t="s">
        <v>81</v>
      </c>
      <c r="G129" s="42">
        <v>1</v>
      </c>
      <c r="H129" s="76">
        <v>0</v>
      </c>
    </row>
    <row r="130" spans="1:8" x14ac:dyDescent="0.25">
      <c r="A130" s="39" t="s">
        <v>326</v>
      </c>
      <c r="B130" s="40" t="s">
        <v>56</v>
      </c>
      <c r="C130" s="40" t="s">
        <v>240</v>
      </c>
      <c r="D130" s="136" t="s">
        <v>327</v>
      </c>
      <c r="E130" s="136"/>
      <c r="F130" s="40" t="s">
        <v>81</v>
      </c>
      <c r="G130" s="42">
        <v>1</v>
      </c>
      <c r="H130" s="76">
        <v>0</v>
      </c>
    </row>
    <row r="131" spans="1:8" x14ac:dyDescent="0.25">
      <c r="A131" s="2" t="s">
        <v>328</v>
      </c>
      <c r="B131" s="3" t="s">
        <v>56</v>
      </c>
      <c r="C131" s="3" t="s">
        <v>329</v>
      </c>
      <c r="D131" s="107" t="s">
        <v>330</v>
      </c>
      <c r="E131" s="107"/>
      <c r="F131" s="3" t="s">
        <v>81</v>
      </c>
      <c r="G131" s="31">
        <v>6</v>
      </c>
      <c r="H131" s="73">
        <v>0</v>
      </c>
    </row>
    <row r="132" spans="1:8" x14ac:dyDescent="0.25">
      <c r="A132" s="39" t="s">
        <v>331</v>
      </c>
      <c r="B132" s="40" t="s">
        <v>56</v>
      </c>
      <c r="C132" s="40" t="s">
        <v>332</v>
      </c>
      <c r="D132" s="136" t="s">
        <v>333</v>
      </c>
      <c r="E132" s="136"/>
      <c r="F132" s="40" t="s">
        <v>81</v>
      </c>
      <c r="G132" s="42">
        <v>1</v>
      </c>
      <c r="H132" s="76">
        <v>0</v>
      </c>
    </row>
    <row r="133" spans="1:8" x14ac:dyDescent="0.25">
      <c r="A133" s="39" t="s">
        <v>334</v>
      </c>
      <c r="B133" s="40" t="s">
        <v>56</v>
      </c>
      <c r="C133" s="40" t="s">
        <v>332</v>
      </c>
      <c r="D133" s="136" t="s">
        <v>333</v>
      </c>
      <c r="E133" s="136"/>
      <c r="F133" s="40" t="s">
        <v>81</v>
      </c>
      <c r="G133" s="42">
        <v>5</v>
      </c>
      <c r="H133" s="76">
        <v>0</v>
      </c>
    </row>
    <row r="134" spans="1:8" x14ac:dyDescent="0.25">
      <c r="A134" s="2" t="s">
        <v>335</v>
      </c>
      <c r="B134" s="3" t="s">
        <v>56</v>
      </c>
      <c r="C134" s="3" t="s">
        <v>240</v>
      </c>
      <c r="D134" s="107" t="s">
        <v>336</v>
      </c>
      <c r="E134" s="107"/>
      <c r="F134" s="3" t="s">
        <v>81</v>
      </c>
      <c r="G134" s="31">
        <v>1</v>
      </c>
      <c r="H134" s="73">
        <v>0</v>
      </c>
    </row>
    <row r="135" spans="1:8" x14ac:dyDescent="0.25">
      <c r="A135" s="2" t="s">
        <v>52</v>
      </c>
      <c r="B135" s="3" t="s">
        <v>52</v>
      </c>
      <c r="C135" s="3" t="s">
        <v>52</v>
      </c>
      <c r="D135" s="74" t="s">
        <v>56</v>
      </c>
      <c r="E135" s="151" t="s">
        <v>337</v>
      </c>
      <c r="F135" s="151"/>
      <c r="G135" s="75">
        <v>1</v>
      </c>
      <c r="H135" s="33" t="s">
        <v>52</v>
      </c>
    </row>
    <row r="136" spans="1:8" x14ac:dyDescent="0.25">
      <c r="A136" s="2" t="s">
        <v>338</v>
      </c>
      <c r="B136" s="3" t="s">
        <v>56</v>
      </c>
      <c r="C136" s="3" t="s">
        <v>329</v>
      </c>
      <c r="D136" s="107" t="s">
        <v>330</v>
      </c>
      <c r="E136" s="107"/>
      <c r="F136" s="3" t="s">
        <v>81</v>
      </c>
      <c r="G136" s="31">
        <v>1</v>
      </c>
      <c r="H136" s="73">
        <v>0</v>
      </c>
    </row>
    <row r="137" spans="1:8" x14ac:dyDescent="0.25">
      <c r="A137" s="2" t="s">
        <v>52</v>
      </c>
      <c r="B137" s="3" t="s">
        <v>52</v>
      </c>
      <c r="C137" s="3" t="s">
        <v>52</v>
      </c>
      <c r="D137" s="74" t="s">
        <v>56</v>
      </c>
      <c r="E137" s="151" t="s">
        <v>337</v>
      </c>
      <c r="F137" s="151"/>
      <c r="G137" s="75">
        <v>1</v>
      </c>
      <c r="H137" s="33" t="s">
        <v>52</v>
      </c>
    </row>
    <row r="138" spans="1:8" x14ac:dyDescent="0.25">
      <c r="A138" s="39" t="s">
        <v>339</v>
      </c>
      <c r="B138" s="40" t="s">
        <v>56</v>
      </c>
      <c r="C138" s="40" t="s">
        <v>240</v>
      </c>
      <c r="D138" s="136" t="s">
        <v>340</v>
      </c>
      <c r="E138" s="136"/>
      <c r="F138" s="40" t="s">
        <v>81</v>
      </c>
      <c r="G138" s="42">
        <v>1</v>
      </c>
      <c r="H138" s="76">
        <v>0</v>
      </c>
    </row>
    <row r="139" spans="1:8" x14ac:dyDescent="0.25">
      <c r="A139" s="2" t="s">
        <v>341</v>
      </c>
      <c r="B139" s="3" t="s">
        <v>56</v>
      </c>
      <c r="C139" s="3" t="s">
        <v>342</v>
      </c>
      <c r="D139" s="107" t="s">
        <v>343</v>
      </c>
      <c r="E139" s="107"/>
      <c r="F139" s="3" t="s">
        <v>276</v>
      </c>
      <c r="G139" s="31">
        <v>0.1048</v>
      </c>
      <c r="H139" s="73">
        <v>0</v>
      </c>
    </row>
    <row r="140" spans="1:8" x14ac:dyDescent="0.25">
      <c r="A140" s="72" t="s">
        <v>52</v>
      </c>
      <c r="B140" s="27" t="s">
        <v>56</v>
      </c>
      <c r="C140" s="27" t="s">
        <v>344</v>
      </c>
      <c r="D140" s="134" t="s">
        <v>345</v>
      </c>
      <c r="E140" s="134"/>
      <c r="F140" s="27" t="s">
        <v>52</v>
      </c>
      <c r="G140" s="11" t="s">
        <v>52</v>
      </c>
      <c r="H140" s="30" t="s">
        <v>52</v>
      </c>
    </row>
    <row r="141" spans="1:8" x14ac:dyDescent="0.25">
      <c r="A141" s="2" t="s">
        <v>346</v>
      </c>
      <c r="B141" s="3" t="s">
        <v>56</v>
      </c>
      <c r="C141" s="3" t="s">
        <v>347</v>
      </c>
      <c r="D141" s="107" t="s">
        <v>348</v>
      </c>
      <c r="E141" s="107"/>
      <c r="F141" s="3" t="s">
        <v>59</v>
      </c>
      <c r="G141" s="31">
        <v>12.75</v>
      </c>
      <c r="H141" s="73">
        <v>0</v>
      </c>
    </row>
    <row r="142" spans="1:8" x14ac:dyDescent="0.25">
      <c r="A142" s="2" t="s">
        <v>52</v>
      </c>
      <c r="B142" s="3" t="s">
        <v>52</v>
      </c>
      <c r="C142" s="3" t="s">
        <v>52</v>
      </c>
      <c r="D142" s="74" t="s">
        <v>350</v>
      </c>
      <c r="E142" s="151" t="s">
        <v>351</v>
      </c>
      <c r="F142" s="151"/>
      <c r="G142" s="75">
        <v>12.75</v>
      </c>
      <c r="H142" s="33" t="s">
        <v>52</v>
      </c>
    </row>
    <row r="143" spans="1:8" x14ac:dyDescent="0.25">
      <c r="A143" s="2" t="s">
        <v>352</v>
      </c>
      <c r="B143" s="3" t="s">
        <v>56</v>
      </c>
      <c r="C143" s="3" t="s">
        <v>353</v>
      </c>
      <c r="D143" s="107" t="s">
        <v>354</v>
      </c>
      <c r="E143" s="107"/>
      <c r="F143" s="3" t="s">
        <v>69</v>
      </c>
      <c r="G143" s="31">
        <v>278</v>
      </c>
      <c r="H143" s="73">
        <v>0</v>
      </c>
    </row>
    <row r="144" spans="1:8" x14ac:dyDescent="0.25">
      <c r="A144" s="2" t="s">
        <v>52</v>
      </c>
      <c r="B144" s="3" t="s">
        <v>52</v>
      </c>
      <c r="C144" s="3" t="s">
        <v>52</v>
      </c>
      <c r="D144" s="74" t="s">
        <v>355</v>
      </c>
      <c r="E144" s="151" t="s">
        <v>356</v>
      </c>
      <c r="F144" s="151"/>
      <c r="G144" s="75">
        <v>53</v>
      </c>
      <c r="H144" s="33" t="s">
        <v>52</v>
      </c>
    </row>
    <row r="145" spans="1:8" x14ac:dyDescent="0.25">
      <c r="A145" s="2" t="s">
        <v>52</v>
      </c>
      <c r="B145" s="3" t="s">
        <v>52</v>
      </c>
      <c r="C145" s="3" t="s">
        <v>52</v>
      </c>
      <c r="D145" s="74" t="s">
        <v>357</v>
      </c>
      <c r="E145" s="151" t="s">
        <v>358</v>
      </c>
      <c r="F145" s="151"/>
      <c r="G145" s="75">
        <v>105</v>
      </c>
      <c r="H145" s="33" t="s">
        <v>52</v>
      </c>
    </row>
    <row r="146" spans="1:8" x14ac:dyDescent="0.25">
      <c r="A146" s="2" t="s">
        <v>52</v>
      </c>
      <c r="B146" s="3" t="s">
        <v>52</v>
      </c>
      <c r="C146" s="3" t="s">
        <v>52</v>
      </c>
      <c r="D146" s="74" t="s">
        <v>359</v>
      </c>
      <c r="E146" s="151" t="s">
        <v>360</v>
      </c>
      <c r="F146" s="151"/>
      <c r="G146" s="75">
        <v>120</v>
      </c>
      <c r="H146" s="33" t="s">
        <v>52</v>
      </c>
    </row>
    <row r="147" spans="1:8" x14ac:dyDescent="0.25">
      <c r="A147" s="2" t="s">
        <v>361</v>
      </c>
      <c r="B147" s="3" t="s">
        <v>56</v>
      </c>
      <c r="C147" s="3" t="s">
        <v>362</v>
      </c>
      <c r="D147" s="107" t="s">
        <v>363</v>
      </c>
      <c r="E147" s="107"/>
      <c r="F147" s="3" t="s">
        <v>59</v>
      </c>
      <c r="G147" s="31">
        <v>54.676200000000001</v>
      </c>
      <c r="H147" s="73">
        <v>0</v>
      </c>
    </row>
    <row r="148" spans="1:8" x14ac:dyDescent="0.25">
      <c r="A148" s="2" t="s">
        <v>52</v>
      </c>
      <c r="B148" s="3" t="s">
        <v>52</v>
      </c>
      <c r="C148" s="3" t="s">
        <v>52</v>
      </c>
      <c r="D148" s="74" t="s">
        <v>364</v>
      </c>
      <c r="E148" s="151" t="s">
        <v>365</v>
      </c>
      <c r="F148" s="151"/>
      <c r="G148" s="75">
        <v>18.7575</v>
      </c>
      <c r="H148" s="33" t="s">
        <v>52</v>
      </c>
    </row>
    <row r="149" spans="1:8" x14ac:dyDescent="0.25">
      <c r="A149" s="2" t="s">
        <v>52</v>
      </c>
      <c r="B149" s="3" t="s">
        <v>52</v>
      </c>
      <c r="C149" s="3" t="s">
        <v>52</v>
      </c>
      <c r="D149" s="74" t="s">
        <v>366</v>
      </c>
      <c r="E149" s="151" t="s">
        <v>367</v>
      </c>
      <c r="F149" s="151"/>
      <c r="G149" s="75">
        <v>34.838700000000003</v>
      </c>
      <c r="H149" s="33" t="s">
        <v>52</v>
      </c>
    </row>
    <row r="150" spans="1:8" x14ac:dyDescent="0.25">
      <c r="A150" s="2" t="s">
        <v>52</v>
      </c>
      <c r="B150" s="3" t="s">
        <v>52</v>
      </c>
      <c r="C150" s="3" t="s">
        <v>52</v>
      </c>
      <c r="D150" s="74" t="s">
        <v>368</v>
      </c>
      <c r="E150" s="151" t="s">
        <v>369</v>
      </c>
      <c r="F150" s="151"/>
      <c r="G150" s="75">
        <v>1.08</v>
      </c>
      <c r="H150" s="33" t="s">
        <v>52</v>
      </c>
    </row>
    <row r="151" spans="1:8" x14ac:dyDescent="0.25">
      <c r="A151" s="2" t="s">
        <v>370</v>
      </c>
      <c r="B151" s="3" t="s">
        <v>56</v>
      </c>
      <c r="C151" s="3" t="s">
        <v>371</v>
      </c>
      <c r="D151" s="107" t="s">
        <v>372</v>
      </c>
      <c r="E151" s="107"/>
      <c r="F151" s="3" t="s">
        <v>59</v>
      </c>
      <c r="G151" s="31">
        <v>12.05</v>
      </c>
      <c r="H151" s="73">
        <v>0</v>
      </c>
    </row>
    <row r="152" spans="1:8" x14ac:dyDescent="0.25">
      <c r="A152" s="2" t="s">
        <v>52</v>
      </c>
      <c r="B152" s="3" t="s">
        <v>52</v>
      </c>
      <c r="C152" s="3" t="s">
        <v>52</v>
      </c>
      <c r="D152" s="74" t="s">
        <v>373</v>
      </c>
      <c r="E152" s="151" t="s">
        <v>374</v>
      </c>
      <c r="F152" s="151"/>
      <c r="G152" s="75">
        <v>12.05</v>
      </c>
      <c r="H152" s="33" t="s">
        <v>52</v>
      </c>
    </row>
    <row r="153" spans="1:8" x14ac:dyDescent="0.25">
      <c r="A153" s="2" t="s">
        <v>375</v>
      </c>
      <c r="B153" s="3" t="s">
        <v>56</v>
      </c>
      <c r="C153" s="3" t="s">
        <v>376</v>
      </c>
      <c r="D153" s="107" t="s">
        <v>377</v>
      </c>
      <c r="E153" s="107"/>
      <c r="F153" s="3" t="s">
        <v>59</v>
      </c>
      <c r="G153" s="31">
        <v>47.803699999999999</v>
      </c>
      <c r="H153" s="73">
        <v>0</v>
      </c>
    </row>
    <row r="154" spans="1:8" x14ac:dyDescent="0.25">
      <c r="A154" s="2" t="s">
        <v>52</v>
      </c>
      <c r="B154" s="3" t="s">
        <v>52</v>
      </c>
      <c r="C154" s="3" t="s">
        <v>52</v>
      </c>
      <c r="D154" s="74" t="s">
        <v>379</v>
      </c>
      <c r="E154" s="151" t="s">
        <v>380</v>
      </c>
      <c r="F154" s="151"/>
      <c r="G154" s="75">
        <v>26.837499999999999</v>
      </c>
      <c r="H154" s="33" t="s">
        <v>52</v>
      </c>
    </row>
    <row r="155" spans="1:8" x14ac:dyDescent="0.25">
      <c r="A155" s="2" t="s">
        <v>52</v>
      </c>
      <c r="B155" s="3" t="s">
        <v>52</v>
      </c>
      <c r="C155" s="3" t="s">
        <v>52</v>
      </c>
      <c r="D155" s="74" t="s">
        <v>381</v>
      </c>
      <c r="E155" s="151" t="s">
        <v>382</v>
      </c>
      <c r="F155" s="151"/>
      <c r="G155" s="75">
        <v>6.4625000000000004</v>
      </c>
      <c r="H155" s="33" t="s">
        <v>52</v>
      </c>
    </row>
    <row r="156" spans="1:8" x14ac:dyDescent="0.25">
      <c r="A156" s="2" t="s">
        <v>52</v>
      </c>
      <c r="B156" s="3" t="s">
        <v>52</v>
      </c>
      <c r="C156" s="3" t="s">
        <v>52</v>
      </c>
      <c r="D156" s="74" t="s">
        <v>383</v>
      </c>
      <c r="E156" s="151" t="s">
        <v>384</v>
      </c>
      <c r="F156" s="151"/>
      <c r="G156" s="75">
        <v>13.4237</v>
      </c>
      <c r="H156" s="33" t="s">
        <v>52</v>
      </c>
    </row>
    <row r="157" spans="1:8" x14ac:dyDescent="0.25">
      <c r="A157" s="2" t="s">
        <v>52</v>
      </c>
      <c r="B157" s="3" t="s">
        <v>52</v>
      </c>
      <c r="C157" s="3" t="s">
        <v>52</v>
      </c>
      <c r="D157" s="74" t="s">
        <v>368</v>
      </c>
      <c r="E157" s="151" t="s">
        <v>369</v>
      </c>
      <c r="F157" s="151"/>
      <c r="G157" s="75">
        <v>1.08</v>
      </c>
      <c r="H157" s="33" t="s">
        <v>52</v>
      </c>
    </row>
    <row r="158" spans="1:8" x14ac:dyDescent="0.25">
      <c r="A158" s="39" t="s">
        <v>385</v>
      </c>
      <c r="B158" s="40" t="s">
        <v>56</v>
      </c>
      <c r="C158" s="40" t="s">
        <v>386</v>
      </c>
      <c r="D158" s="136" t="s">
        <v>387</v>
      </c>
      <c r="E158" s="136"/>
      <c r="F158" s="40" t="s">
        <v>59</v>
      </c>
      <c r="G158" s="42">
        <v>10.42474</v>
      </c>
      <c r="H158" s="76">
        <v>0</v>
      </c>
    </row>
    <row r="159" spans="1:8" x14ac:dyDescent="0.25">
      <c r="A159" s="39" t="s">
        <v>52</v>
      </c>
      <c r="B159" s="40" t="s">
        <v>52</v>
      </c>
      <c r="C159" s="40" t="s">
        <v>52</v>
      </c>
      <c r="D159" s="74" t="s">
        <v>388</v>
      </c>
      <c r="E159" s="151" t="s">
        <v>52</v>
      </c>
      <c r="F159" s="151"/>
      <c r="G159" s="77">
        <v>0</v>
      </c>
      <c r="H159" s="44" t="s">
        <v>52</v>
      </c>
    </row>
    <row r="160" spans="1:8" x14ac:dyDescent="0.25">
      <c r="A160" s="39" t="s">
        <v>52</v>
      </c>
      <c r="B160" s="40" t="s">
        <v>52</v>
      </c>
      <c r="C160" s="40" t="s">
        <v>52</v>
      </c>
      <c r="D160" s="74" t="s">
        <v>389</v>
      </c>
      <c r="E160" s="151" t="s">
        <v>380</v>
      </c>
      <c r="F160" s="151"/>
      <c r="G160" s="77">
        <v>5.3674999999999997</v>
      </c>
      <c r="H160" s="44" t="s">
        <v>52</v>
      </c>
    </row>
    <row r="161" spans="1:8" x14ac:dyDescent="0.25">
      <c r="A161" s="39" t="s">
        <v>52</v>
      </c>
      <c r="B161" s="40" t="s">
        <v>52</v>
      </c>
      <c r="C161" s="40" t="s">
        <v>52</v>
      </c>
      <c r="D161" s="74" t="s">
        <v>390</v>
      </c>
      <c r="E161" s="151" t="s">
        <v>382</v>
      </c>
      <c r="F161" s="151"/>
      <c r="G161" s="77">
        <v>1.2925</v>
      </c>
      <c r="H161" s="44" t="s">
        <v>52</v>
      </c>
    </row>
    <row r="162" spans="1:8" x14ac:dyDescent="0.25">
      <c r="A162" s="39" t="s">
        <v>52</v>
      </c>
      <c r="B162" s="40" t="s">
        <v>52</v>
      </c>
      <c r="C162" s="40" t="s">
        <v>52</v>
      </c>
      <c r="D162" s="74" t="s">
        <v>391</v>
      </c>
      <c r="E162" s="151" t="s">
        <v>384</v>
      </c>
      <c r="F162" s="151"/>
      <c r="G162" s="77">
        <v>2.6847400000000001</v>
      </c>
      <c r="H162" s="44" t="s">
        <v>52</v>
      </c>
    </row>
    <row r="163" spans="1:8" x14ac:dyDescent="0.25">
      <c r="A163" s="39" t="s">
        <v>52</v>
      </c>
      <c r="B163" s="40" t="s">
        <v>52</v>
      </c>
      <c r="C163" s="40" t="s">
        <v>52</v>
      </c>
      <c r="D163" s="74" t="s">
        <v>368</v>
      </c>
      <c r="E163" s="151" t="s">
        <v>369</v>
      </c>
      <c r="F163" s="151"/>
      <c r="G163" s="77">
        <v>1.08</v>
      </c>
      <c r="H163" s="44" t="s">
        <v>52</v>
      </c>
    </row>
    <row r="164" spans="1:8" x14ac:dyDescent="0.25">
      <c r="A164" s="2" t="s">
        <v>392</v>
      </c>
      <c r="B164" s="3" t="s">
        <v>56</v>
      </c>
      <c r="C164" s="3" t="s">
        <v>393</v>
      </c>
      <c r="D164" s="107" t="s">
        <v>394</v>
      </c>
      <c r="E164" s="107"/>
      <c r="F164" s="3" t="s">
        <v>59</v>
      </c>
      <c r="G164" s="31">
        <v>11.79</v>
      </c>
      <c r="H164" s="73">
        <v>0</v>
      </c>
    </row>
    <row r="165" spans="1:8" x14ac:dyDescent="0.25">
      <c r="A165" s="2" t="s">
        <v>52</v>
      </c>
      <c r="B165" s="3" t="s">
        <v>52</v>
      </c>
      <c r="C165" s="3" t="s">
        <v>52</v>
      </c>
      <c r="D165" s="74" t="s">
        <v>396</v>
      </c>
      <c r="E165" s="151" t="s">
        <v>397</v>
      </c>
      <c r="F165" s="151"/>
      <c r="G165" s="75">
        <v>5.04</v>
      </c>
      <c r="H165" s="33" t="s">
        <v>52</v>
      </c>
    </row>
    <row r="166" spans="1:8" x14ac:dyDescent="0.25">
      <c r="A166" s="2" t="s">
        <v>52</v>
      </c>
      <c r="B166" s="3" t="s">
        <v>52</v>
      </c>
      <c r="C166" s="3" t="s">
        <v>52</v>
      </c>
      <c r="D166" s="74" t="s">
        <v>398</v>
      </c>
      <c r="E166" s="151" t="s">
        <v>399</v>
      </c>
      <c r="F166" s="151"/>
      <c r="G166" s="75">
        <v>6.75</v>
      </c>
      <c r="H166" s="33" t="s">
        <v>52</v>
      </c>
    </row>
    <row r="167" spans="1:8" x14ac:dyDescent="0.25">
      <c r="A167" s="2" t="s">
        <v>400</v>
      </c>
      <c r="B167" s="3" t="s">
        <v>56</v>
      </c>
      <c r="C167" s="3" t="s">
        <v>401</v>
      </c>
      <c r="D167" s="107" t="s">
        <v>402</v>
      </c>
      <c r="E167" s="107"/>
      <c r="F167" s="3" t="s">
        <v>59</v>
      </c>
      <c r="G167" s="31">
        <v>20.225000000000001</v>
      </c>
      <c r="H167" s="73">
        <v>0</v>
      </c>
    </row>
    <row r="168" spans="1:8" x14ac:dyDescent="0.25">
      <c r="A168" s="2" t="s">
        <v>52</v>
      </c>
      <c r="B168" s="3" t="s">
        <v>52</v>
      </c>
      <c r="C168" s="3" t="s">
        <v>52</v>
      </c>
      <c r="D168" s="74" t="s">
        <v>396</v>
      </c>
      <c r="E168" s="151" t="s">
        <v>397</v>
      </c>
      <c r="F168" s="151"/>
      <c r="G168" s="75">
        <v>5.04</v>
      </c>
      <c r="H168" s="33" t="s">
        <v>52</v>
      </c>
    </row>
    <row r="169" spans="1:8" x14ac:dyDescent="0.25">
      <c r="A169" s="2" t="s">
        <v>52</v>
      </c>
      <c r="B169" s="3" t="s">
        <v>52</v>
      </c>
      <c r="C169" s="3" t="s">
        <v>52</v>
      </c>
      <c r="D169" s="74" t="s">
        <v>398</v>
      </c>
      <c r="E169" s="151" t="s">
        <v>399</v>
      </c>
      <c r="F169" s="151"/>
      <c r="G169" s="75">
        <v>6.75</v>
      </c>
      <c r="H169" s="33" t="s">
        <v>52</v>
      </c>
    </row>
    <row r="170" spans="1:8" x14ac:dyDescent="0.25">
      <c r="A170" s="2" t="s">
        <v>52</v>
      </c>
      <c r="B170" s="3" t="s">
        <v>52</v>
      </c>
      <c r="C170" s="3" t="s">
        <v>52</v>
      </c>
      <c r="D170" s="74" t="s">
        <v>404</v>
      </c>
      <c r="E170" s="151" t="s">
        <v>374</v>
      </c>
      <c r="F170" s="151"/>
      <c r="G170" s="75">
        <v>8.4350000000000005</v>
      </c>
      <c r="H170" s="33" t="s">
        <v>52</v>
      </c>
    </row>
    <row r="171" spans="1:8" x14ac:dyDescent="0.25">
      <c r="A171" s="2" t="s">
        <v>405</v>
      </c>
      <c r="B171" s="3" t="s">
        <v>56</v>
      </c>
      <c r="C171" s="3" t="s">
        <v>406</v>
      </c>
      <c r="D171" s="107" t="s">
        <v>407</v>
      </c>
      <c r="E171" s="107"/>
      <c r="F171" s="3" t="s">
        <v>81</v>
      </c>
      <c r="G171" s="31">
        <v>6</v>
      </c>
      <c r="H171" s="73">
        <v>0</v>
      </c>
    </row>
    <row r="172" spans="1:8" x14ac:dyDescent="0.25">
      <c r="A172" s="39" t="s">
        <v>408</v>
      </c>
      <c r="B172" s="40" t="s">
        <v>56</v>
      </c>
      <c r="C172" s="40" t="s">
        <v>409</v>
      </c>
      <c r="D172" s="136" t="s">
        <v>410</v>
      </c>
      <c r="E172" s="136"/>
      <c r="F172" s="40" t="s">
        <v>81</v>
      </c>
      <c r="G172" s="42">
        <v>6</v>
      </c>
      <c r="H172" s="76">
        <v>0</v>
      </c>
    </row>
    <row r="173" spans="1:8" x14ac:dyDescent="0.25">
      <c r="A173" s="39" t="s">
        <v>52</v>
      </c>
      <c r="B173" s="40" t="s">
        <v>52</v>
      </c>
      <c r="C173" s="40" t="s">
        <v>52</v>
      </c>
      <c r="D173" s="74" t="s">
        <v>85</v>
      </c>
      <c r="E173" s="151" t="s">
        <v>52</v>
      </c>
      <c r="F173" s="151"/>
      <c r="G173" s="77">
        <v>5</v>
      </c>
      <c r="H173" s="44" t="s">
        <v>52</v>
      </c>
    </row>
    <row r="174" spans="1:8" x14ac:dyDescent="0.25">
      <c r="A174" s="39" t="s">
        <v>52</v>
      </c>
      <c r="B174" s="40" t="s">
        <v>52</v>
      </c>
      <c r="C174" s="40" t="s">
        <v>52</v>
      </c>
      <c r="D174" s="74" t="s">
        <v>56</v>
      </c>
      <c r="E174" s="151" t="s">
        <v>411</v>
      </c>
      <c r="F174" s="151"/>
      <c r="G174" s="77">
        <v>1</v>
      </c>
      <c r="H174" s="44" t="s">
        <v>52</v>
      </c>
    </row>
    <row r="175" spans="1:8" x14ac:dyDescent="0.25">
      <c r="A175" s="2" t="s">
        <v>412</v>
      </c>
      <c r="B175" s="3" t="s">
        <v>56</v>
      </c>
      <c r="C175" s="3" t="s">
        <v>240</v>
      </c>
      <c r="D175" s="107" t="s">
        <v>413</v>
      </c>
      <c r="E175" s="107"/>
      <c r="F175" s="3" t="s">
        <v>81</v>
      </c>
      <c r="G175" s="31">
        <v>1</v>
      </c>
      <c r="H175" s="73">
        <v>0</v>
      </c>
    </row>
    <row r="176" spans="1:8" x14ac:dyDescent="0.25">
      <c r="A176" s="2" t="s">
        <v>52</v>
      </c>
      <c r="B176" s="3" t="s">
        <v>52</v>
      </c>
      <c r="C176" s="3" t="s">
        <v>52</v>
      </c>
      <c r="D176" s="74" t="s">
        <v>56</v>
      </c>
      <c r="E176" s="151" t="s">
        <v>337</v>
      </c>
      <c r="F176" s="151"/>
      <c r="G176" s="75">
        <v>1</v>
      </c>
      <c r="H176" s="33" t="s">
        <v>52</v>
      </c>
    </row>
    <row r="177" spans="1:8" x14ac:dyDescent="0.25">
      <c r="A177" s="2" t="s">
        <v>155</v>
      </c>
      <c r="B177" s="3" t="s">
        <v>56</v>
      </c>
      <c r="C177" s="3" t="s">
        <v>406</v>
      </c>
      <c r="D177" s="107" t="s">
        <v>407</v>
      </c>
      <c r="E177" s="107"/>
      <c r="F177" s="3" t="s">
        <v>81</v>
      </c>
      <c r="G177" s="31">
        <v>1</v>
      </c>
      <c r="H177" s="73">
        <v>0</v>
      </c>
    </row>
    <row r="178" spans="1:8" x14ac:dyDescent="0.25">
      <c r="A178" s="2" t="s">
        <v>52</v>
      </c>
      <c r="B178" s="3" t="s">
        <v>52</v>
      </c>
      <c r="C178" s="3" t="s">
        <v>52</v>
      </c>
      <c r="D178" s="74" t="s">
        <v>56</v>
      </c>
      <c r="E178" s="151" t="s">
        <v>337</v>
      </c>
      <c r="F178" s="151"/>
      <c r="G178" s="75">
        <v>1</v>
      </c>
      <c r="H178" s="33" t="s">
        <v>52</v>
      </c>
    </row>
    <row r="179" spans="1:8" x14ac:dyDescent="0.25">
      <c r="A179" s="39" t="s">
        <v>414</v>
      </c>
      <c r="B179" s="40" t="s">
        <v>56</v>
      </c>
      <c r="C179" s="40" t="s">
        <v>240</v>
      </c>
      <c r="D179" s="136" t="s">
        <v>415</v>
      </c>
      <c r="E179" s="136"/>
      <c r="F179" s="40" t="s">
        <v>81</v>
      </c>
      <c r="G179" s="42">
        <v>1</v>
      </c>
      <c r="H179" s="76">
        <v>0</v>
      </c>
    </row>
    <row r="180" spans="1:8" x14ac:dyDescent="0.25">
      <c r="A180" s="2" t="s">
        <v>222</v>
      </c>
      <c r="B180" s="3" t="s">
        <v>56</v>
      </c>
      <c r="C180" s="3" t="s">
        <v>416</v>
      </c>
      <c r="D180" s="107" t="s">
        <v>417</v>
      </c>
      <c r="E180" s="107"/>
      <c r="F180" s="3" t="s">
        <v>276</v>
      </c>
      <c r="G180" s="31">
        <v>0.90347999999999995</v>
      </c>
      <c r="H180" s="73">
        <v>0</v>
      </c>
    </row>
    <row r="181" spans="1:8" x14ac:dyDescent="0.25">
      <c r="A181" s="72" t="s">
        <v>52</v>
      </c>
      <c r="B181" s="27" t="s">
        <v>56</v>
      </c>
      <c r="C181" s="27" t="s">
        <v>418</v>
      </c>
      <c r="D181" s="134" t="s">
        <v>419</v>
      </c>
      <c r="E181" s="134"/>
      <c r="F181" s="27" t="s">
        <v>52</v>
      </c>
      <c r="G181" s="11" t="s">
        <v>52</v>
      </c>
      <c r="H181" s="30" t="s">
        <v>52</v>
      </c>
    </row>
    <row r="182" spans="1:8" x14ac:dyDescent="0.25">
      <c r="A182" s="2" t="s">
        <v>237</v>
      </c>
      <c r="B182" s="3" t="s">
        <v>56</v>
      </c>
      <c r="C182" s="3" t="s">
        <v>420</v>
      </c>
      <c r="D182" s="107" t="s">
        <v>421</v>
      </c>
      <c r="E182" s="107"/>
      <c r="F182" s="3" t="s">
        <v>59</v>
      </c>
      <c r="G182" s="31">
        <v>9.7970000000000006</v>
      </c>
      <c r="H182" s="73">
        <v>0</v>
      </c>
    </row>
    <row r="183" spans="1:8" x14ac:dyDescent="0.25">
      <c r="A183" s="2" t="s">
        <v>52</v>
      </c>
      <c r="B183" s="3" t="s">
        <v>52</v>
      </c>
      <c r="C183" s="3" t="s">
        <v>52</v>
      </c>
      <c r="D183" s="74" t="s">
        <v>424</v>
      </c>
      <c r="E183" s="151" t="s">
        <v>425</v>
      </c>
      <c r="F183" s="151"/>
      <c r="G183" s="75">
        <v>4.24</v>
      </c>
      <c r="H183" s="33" t="s">
        <v>52</v>
      </c>
    </row>
    <row r="184" spans="1:8" x14ac:dyDescent="0.25">
      <c r="A184" s="2" t="s">
        <v>52</v>
      </c>
      <c r="B184" s="3" t="s">
        <v>52</v>
      </c>
      <c r="C184" s="3" t="s">
        <v>52</v>
      </c>
      <c r="D184" s="74" t="s">
        <v>426</v>
      </c>
      <c r="E184" s="151" t="s">
        <v>427</v>
      </c>
      <c r="F184" s="151"/>
      <c r="G184" s="75">
        <v>1.02</v>
      </c>
      <c r="H184" s="33" t="s">
        <v>52</v>
      </c>
    </row>
    <row r="185" spans="1:8" x14ac:dyDescent="0.25">
      <c r="A185" s="2" t="s">
        <v>52</v>
      </c>
      <c r="B185" s="3" t="s">
        <v>52</v>
      </c>
      <c r="C185" s="3" t="s">
        <v>52</v>
      </c>
      <c r="D185" s="74" t="s">
        <v>428</v>
      </c>
      <c r="E185" s="151" t="s">
        <v>429</v>
      </c>
      <c r="F185" s="151"/>
      <c r="G185" s="75">
        <v>0.95699999999999996</v>
      </c>
      <c r="H185" s="33" t="s">
        <v>52</v>
      </c>
    </row>
    <row r="186" spans="1:8" x14ac:dyDescent="0.25">
      <c r="A186" s="2" t="s">
        <v>52</v>
      </c>
      <c r="B186" s="3" t="s">
        <v>52</v>
      </c>
      <c r="C186" s="3" t="s">
        <v>52</v>
      </c>
      <c r="D186" s="74" t="s">
        <v>430</v>
      </c>
      <c r="E186" s="151" t="s">
        <v>431</v>
      </c>
      <c r="F186" s="151"/>
      <c r="G186" s="75">
        <v>1.6</v>
      </c>
      <c r="H186" s="33" t="s">
        <v>52</v>
      </c>
    </row>
    <row r="187" spans="1:8" x14ac:dyDescent="0.25">
      <c r="A187" s="2" t="s">
        <v>52</v>
      </c>
      <c r="B187" s="3" t="s">
        <v>52</v>
      </c>
      <c r="C187" s="3" t="s">
        <v>52</v>
      </c>
      <c r="D187" s="74" t="s">
        <v>233</v>
      </c>
      <c r="E187" s="151" t="s">
        <v>432</v>
      </c>
      <c r="F187" s="151"/>
      <c r="G187" s="75">
        <v>0.48</v>
      </c>
      <c r="H187" s="33" t="s">
        <v>52</v>
      </c>
    </row>
    <row r="188" spans="1:8" x14ac:dyDescent="0.25">
      <c r="A188" s="2" t="s">
        <v>52</v>
      </c>
      <c r="B188" s="3" t="s">
        <v>52</v>
      </c>
      <c r="C188" s="3" t="s">
        <v>52</v>
      </c>
      <c r="D188" s="74" t="s">
        <v>433</v>
      </c>
      <c r="E188" s="151" t="s">
        <v>434</v>
      </c>
      <c r="F188" s="151"/>
      <c r="G188" s="75">
        <v>1.5</v>
      </c>
      <c r="H188" s="33" t="s">
        <v>52</v>
      </c>
    </row>
    <row r="189" spans="1:8" x14ac:dyDescent="0.25">
      <c r="A189" s="2" t="s">
        <v>435</v>
      </c>
      <c r="B189" s="3" t="s">
        <v>56</v>
      </c>
      <c r="C189" s="3" t="s">
        <v>436</v>
      </c>
      <c r="D189" s="107" t="s">
        <v>437</v>
      </c>
      <c r="E189" s="107"/>
      <c r="F189" s="3" t="s">
        <v>59</v>
      </c>
      <c r="G189" s="31">
        <v>20.932500000000001</v>
      </c>
      <c r="H189" s="73">
        <v>0</v>
      </c>
    </row>
    <row r="190" spans="1:8" x14ac:dyDescent="0.25">
      <c r="A190" s="2" t="s">
        <v>52</v>
      </c>
      <c r="B190" s="3" t="s">
        <v>52</v>
      </c>
      <c r="C190" s="3" t="s">
        <v>52</v>
      </c>
      <c r="D190" s="74" t="s">
        <v>439</v>
      </c>
      <c r="E190" s="151" t="s">
        <v>440</v>
      </c>
      <c r="F190" s="151"/>
      <c r="G190" s="75">
        <v>15.93</v>
      </c>
      <c r="H190" s="33" t="s">
        <v>52</v>
      </c>
    </row>
    <row r="191" spans="1:8" x14ac:dyDescent="0.25">
      <c r="A191" s="2" t="s">
        <v>52</v>
      </c>
      <c r="B191" s="3" t="s">
        <v>52</v>
      </c>
      <c r="C191" s="3" t="s">
        <v>52</v>
      </c>
      <c r="D191" s="74" t="s">
        <v>268</v>
      </c>
      <c r="E191" s="151" t="s">
        <v>441</v>
      </c>
      <c r="F191" s="151"/>
      <c r="G191" s="75">
        <v>4.5225</v>
      </c>
      <c r="H191" s="33" t="s">
        <v>52</v>
      </c>
    </row>
    <row r="192" spans="1:8" x14ac:dyDescent="0.25">
      <c r="A192" s="2" t="s">
        <v>52</v>
      </c>
      <c r="B192" s="3" t="s">
        <v>52</v>
      </c>
      <c r="C192" s="3" t="s">
        <v>52</v>
      </c>
      <c r="D192" s="74" t="s">
        <v>233</v>
      </c>
      <c r="E192" s="151" t="s">
        <v>442</v>
      </c>
      <c r="F192" s="151"/>
      <c r="G192" s="75">
        <v>0.48</v>
      </c>
      <c r="H192" s="33" t="s">
        <v>52</v>
      </c>
    </row>
    <row r="193" spans="1:8" x14ac:dyDescent="0.25">
      <c r="A193" s="39" t="s">
        <v>443</v>
      </c>
      <c r="B193" s="40" t="s">
        <v>56</v>
      </c>
      <c r="C193" s="40" t="s">
        <v>444</v>
      </c>
      <c r="D193" s="136" t="s">
        <v>445</v>
      </c>
      <c r="E193" s="136"/>
      <c r="F193" s="40" t="s">
        <v>59</v>
      </c>
      <c r="G193" s="42">
        <v>21.979120000000002</v>
      </c>
      <c r="H193" s="76">
        <v>0</v>
      </c>
    </row>
    <row r="194" spans="1:8" x14ac:dyDescent="0.25">
      <c r="A194" s="39" t="s">
        <v>52</v>
      </c>
      <c r="B194" s="40" t="s">
        <v>52</v>
      </c>
      <c r="C194" s="40" t="s">
        <v>52</v>
      </c>
      <c r="D194" s="74" t="s">
        <v>439</v>
      </c>
      <c r="E194" s="151" t="s">
        <v>440</v>
      </c>
      <c r="F194" s="151"/>
      <c r="G194" s="77">
        <v>15.93</v>
      </c>
      <c r="H194" s="44" t="s">
        <v>52</v>
      </c>
    </row>
    <row r="195" spans="1:8" x14ac:dyDescent="0.25">
      <c r="A195" s="39" t="s">
        <v>52</v>
      </c>
      <c r="B195" s="40" t="s">
        <v>52</v>
      </c>
      <c r="C195" s="40" t="s">
        <v>52</v>
      </c>
      <c r="D195" s="74" t="s">
        <v>268</v>
      </c>
      <c r="E195" s="151" t="s">
        <v>441</v>
      </c>
      <c r="F195" s="151"/>
      <c r="G195" s="77">
        <v>4.5225</v>
      </c>
      <c r="H195" s="44" t="s">
        <v>52</v>
      </c>
    </row>
    <row r="196" spans="1:8" x14ac:dyDescent="0.25">
      <c r="A196" s="39" t="s">
        <v>52</v>
      </c>
      <c r="B196" s="40" t="s">
        <v>52</v>
      </c>
      <c r="C196" s="40" t="s">
        <v>52</v>
      </c>
      <c r="D196" s="74" t="s">
        <v>233</v>
      </c>
      <c r="E196" s="151" t="s">
        <v>442</v>
      </c>
      <c r="F196" s="151"/>
      <c r="G196" s="77">
        <v>0.48</v>
      </c>
      <c r="H196" s="44" t="s">
        <v>52</v>
      </c>
    </row>
    <row r="197" spans="1:8" x14ac:dyDescent="0.25">
      <c r="A197" s="39" t="s">
        <v>52</v>
      </c>
      <c r="B197" s="40" t="s">
        <v>52</v>
      </c>
      <c r="C197" s="40" t="s">
        <v>52</v>
      </c>
      <c r="D197" s="74" t="s">
        <v>446</v>
      </c>
      <c r="E197" s="151" t="s">
        <v>52</v>
      </c>
      <c r="F197" s="151"/>
      <c r="G197" s="77">
        <v>1.0466200000000001</v>
      </c>
      <c r="H197" s="44" t="s">
        <v>52</v>
      </c>
    </row>
    <row r="198" spans="1:8" x14ac:dyDescent="0.25">
      <c r="A198" s="2" t="s">
        <v>447</v>
      </c>
      <c r="B198" s="3" t="s">
        <v>56</v>
      </c>
      <c r="C198" s="3" t="s">
        <v>448</v>
      </c>
      <c r="D198" s="107" t="s">
        <v>449</v>
      </c>
      <c r="E198" s="107"/>
      <c r="F198" s="3" t="s">
        <v>59</v>
      </c>
      <c r="G198" s="31">
        <v>20.932500000000001</v>
      </c>
      <c r="H198" s="73">
        <v>0</v>
      </c>
    </row>
    <row r="199" spans="1:8" x14ac:dyDescent="0.25">
      <c r="A199" s="2" t="s">
        <v>52</v>
      </c>
      <c r="B199" s="3" t="s">
        <v>52</v>
      </c>
      <c r="C199" s="3" t="s">
        <v>52</v>
      </c>
      <c r="D199" s="74" t="s">
        <v>439</v>
      </c>
      <c r="E199" s="151" t="s">
        <v>440</v>
      </c>
      <c r="F199" s="151"/>
      <c r="G199" s="75">
        <v>15.93</v>
      </c>
      <c r="H199" s="33" t="s">
        <v>52</v>
      </c>
    </row>
    <row r="200" spans="1:8" x14ac:dyDescent="0.25">
      <c r="A200" s="2" t="s">
        <v>52</v>
      </c>
      <c r="B200" s="3" t="s">
        <v>52</v>
      </c>
      <c r="C200" s="3" t="s">
        <v>52</v>
      </c>
      <c r="D200" s="74" t="s">
        <v>268</v>
      </c>
      <c r="E200" s="151" t="s">
        <v>441</v>
      </c>
      <c r="F200" s="151"/>
      <c r="G200" s="75">
        <v>4.5225</v>
      </c>
      <c r="H200" s="33" t="s">
        <v>52</v>
      </c>
    </row>
    <row r="201" spans="1:8" x14ac:dyDescent="0.25">
      <c r="A201" s="2" t="s">
        <v>52</v>
      </c>
      <c r="B201" s="3" t="s">
        <v>52</v>
      </c>
      <c r="C201" s="3" t="s">
        <v>52</v>
      </c>
      <c r="D201" s="74" t="s">
        <v>233</v>
      </c>
      <c r="E201" s="151" t="s">
        <v>442</v>
      </c>
      <c r="F201" s="151"/>
      <c r="G201" s="75">
        <v>0.48</v>
      </c>
      <c r="H201" s="33" t="s">
        <v>52</v>
      </c>
    </row>
    <row r="202" spans="1:8" x14ac:dyDescent="0.25">
      <c r="A202" s="2" t="s">
        <v>450</v>
      </c>
      <c r="B202" s="3" t="s">
        <v>56</v>
      </c>
      <c r="C202" s="3" t="s">
        <v>451</v>
      </c>
      <c r="D202" s="107" t="s">
        <v>452</v>
      </c>
      <c r="E202" s="107"/>
      <c r="F202" s="3" t="s">
        <v>59</v>
      </c>
      <c r="G202" s="31">
        <v>44.887500000000003</v>
      </c>
      <c r="H202" s="73">
        <v>0</v>
      </c>
    </row>
    <row r="203" spans="1:8" x14ac:dyDescent="0.25">
      <c r="A203" s="2" t="s">
        <v>52</v>
      </c>
      <c r="B203" s="3" t="s">
        <v>52</v>
      </c>
      <c r="C203" s="3" t="s">
        <v>52</v>
      </c>
      <c r="D203" s="74" t="s">
        <v>453</v>
      </c>
      <c r="E203" s="151" t="s">
        <v>440</v>
      </c>
      <c r="F203" s="151"/>
      <c r="G203" s="75">
        <v>39.884999999999998</v>
      </c>
      <c r="H203" s="33" t="s">
        <v>52</v>
      </c>
    </row>
    <row r="204" spans="1:8" x14ac:dyDescent="0.25">
      <c r="A204" s="2" t="s">
        <v>52</v>
      </c>
      <c r="B204" s="3" t="s">
        <v>52</v>
      </c>
      <c r="C204" s="3" t="s">
        <v>52</v>
      </c>
      <c r="D204" s="74" t="s">
        <v>268</v>
      </c>
      <c r="E204" s="151" t="s">
        <v>441</v>
      </c>
      <c r="F204" s="151"/>
      <c r="G204" s="75">
        <v>4.5225</v>
      </c>
      <c r="H204" s="33" t="s">
        <v>52</v>
      </c>
    </row>
    <row r="205" spans="1:8" x14ac:dyDescent="0.25">
      <c r="A205" s="2" t="s">
        <v>52</v>
      </c>
      <c r="B205" s="3" t="s">
        <v>52</v>
      </c>
      <c r="C205" s="3" t="s">
        <v>52</v>
      </c>
      <c r="D205" s="74" t="s">
        <v>233</v>
      </c>
      <c r="E205" s="151" t="s">
        <v>442</v>
      </c>
      <c r="F205" s="151"/>
      <c r="G205" s="75">
        <v>0.48</v>
      </c>
      <c r="H205" s="33" t="s">
        <v>52</v>
      </c>
    </row>
    <row r="206" spans="1:8" x14ac:dyDescent="0.25">
      <c r="A206" s="2" t="s">
        <v>454</v>
      </c>
      <c r="B206" s="3" t="s">
        <v>56</v>
      </c>
      <c r="C206" s="3" t="s">
        <v>455</v>
      </c>
      <c r="D206" s="107" t="s">
        <v>456</v>
      </c>
      <c r="E206" s="107"/>
      <c r="F206" s="3" t="s">
        <v>59</v>
      </c>
      <c r="G206" s="31">
        <v>15.93</v>
      </c>
      <c r="H206" s="73">
        <v>0</v>
      </c>
    </row>
    <row r="207" spans="1:8" x14ac:dyDescent="0.25">
      <c r="A207" s="2" t="s">
        <v>52</v>
      </c>
      <c r="B207" s="3" t="s">
        <v>52</v>
      </c>
      <c r="C207" s="3" t="s">
        <v>52</v>
      </c>
      <c r="D207" s="74" t="s">
        <v>439</v>
      </c>
      <c r="E207" s="151" t="s">
        <v>440</v>
      </c>
      <c r="F207" s="151"/>
      <c r="G207" s="75">
        <v>15.93</v>
      </c>
      <c r="H207" s="33" t="s">
        <v>52</v>
      </c>
    </row>
    <row r="208" spans="1:8" x14ac:dyDescent="0.25">
      <c r="A208" s="2" t="s">
        <v>457</v>
      </c>
      <c r="B208" s="3" t="s">
        <v>56</v>
      </c>
      <c r="C208" s="3" t="s">
        <v>458</v>
      </c>
      <c r="D208" s="107" t="s">
        <v>459</v>
      </c>
      <c r="E208" s="107"/>
      <c r="F208" s="3" t="s">
        <v>215</v>
      </c>
      <c r="G208" s="31">
        <v>38</v>
      </c>
      <c r="H208" s="73">
        <v>0</v>
      </c>
    </row>
    <row r="209" spans="1:8" x14ac:dyDescent="0.25">
      <c r="A209" s="2" t="s">
        <v>52</v>
      </c>
      <c r="B209" s="3" t="s">
        <v>52</v>
      </c>
      <c r="C209" s="3" t="s">
        <v>52</v>
      </c>
      <c r="D209" s="74" t="s">
        <v>461</v>
      </c>
      <c r="E209" s="151" t="s">
        <v>462</v>
      </c>
      <c r="F209" s="151"/>
      <c r="G209" s="75">
        <v>15.65</v>
      </c>
      <c r="H209" s="33" t="s">
        <v>52</v>
      </c>
    </row>
    <row r="210" spans="1:8" x14ac:dyDescent="0.25">
      <c r="A210" s="2" t="s">
        <v>52</v>
      </c>
      <c r="B210" s="3" t="s">
        <v>52</v>
      </c>
      <c r="C210" s="3" t="s">
        <v>52</v>
      </c>
      <c r="D210" s="74" t="s">
        <v>463</v>
      </c>
      <c r="E210" s="151" t="s">
        <v>464</v>
      </c>
      <c r="F210" s="151"/>
      <c r="G210" s="75">
        <v>12.25</v>
      </c>
      <c r="H210" s="33" t="s">
        <v>52</v>
      </c>
    </row>
    <row r="211" spans="1:8" x14ac:dyDescent="0.25">
      <c r="A211" s="2" t="s">
        <v>52</v>
      </c>
      <c r="B211" s="3" t="s">
        <v>52</v>
      </c>
      <c r="C211" s="3" t="s">
        <v>52</v>
      </c>
      <c r="D211" s="74" t="s">
        <v>465</v>
      </c>
      <c r="E211" s="151" t="s">
        <v>384</v>
      </c>
      <c r="F211" s="151"/>
      <c r="G211" s="75">
        <v>5.4</v>
      </c>
      <c r="H211" s="33" t="s">
        <v>52</v>
      </c>
    </row>
    <row r="212" spans="1:8" x14ac:dyDescent="0.25">
      <c r="A212" s="2" t="s">
        <v>52</v>
      </c>
      <c r="B212" s="3" t="s">
        <v>52</v>
      </c>
      <c r="C212" s="3" t="s">
        <v>52</v>
      </c>
      <c r="D212" s="74" t="s">
        <v>466</v>
      </c>
      <c r="E212" s="151" t="s">
        <v>382</v>
      </c>
      <c r="F212" s="151"/>
      <c r="G212" s="75">
        <v>4.7</v>
      </c>
      <c r="H212" s="33" t="s">
        <v>52</v>
      </c>
    </row>
    <row r="213" spans="1:8" x14ac:dyDescent="0.25">
      <c r="A213" s="39" t="s">
        <v>467</v>
      </c>
      <c r="B213" s="40" t="s">
        <v>56</v>
      </c>
      <c r="C213" s="40" t="s">
        <v>444</v>
      </c>
      <c r="D213" s="136" t="s">
        <v>468</v>
      </c>
      <c r="E213" s="136"/>
      <c r="F213" s="40" t="s">
        <v>59</v>
      </c>
      <c r="G213" s="42">
        <v>39.9</v>
      </c>
      <c r="H213" s="76">
        <v>0</v>
      </c>
    </row>
    <row r="214" spans="1:8" x14ac:dyDescent="0.25">
      <c r="A214" s="39" t="s">
        <v>52</v>
      </c>
      <c r="B214" s="40" t="s">
        <v>52</v>
      </c>
      <c r="C214" s="40" t="s">
        <v>52</v>
      </c>
      <c r="D214" s="74" t="s">
        <v>461</v>
      </c>
      <c r="E214" s="151" t="s">
        <v>462</v>
      </c>
      <c r="F214" s="151"/>
      <c r="G214" s="77">
        <v>15.65</v>
      </c>
      <c r="H214" s="44" t="s">
        <v>52</v>
      </c>
    </row>
    <row r="215" spans="1:8" x14ac:dyDescent="0.25">
      <c r="A215" s="39" t="s">
        <v>52</v>
      </c>
      <c r="B215" s="40" t="s">
        <v>52</v>
      </c>
      <c r="C215" s="40" t="s">
        <v>52</v>
      </c>
      <c r="D215" s="74" t="s">
        <v>463</v>
      </c>
      <c r="E215" s="151" t="s">
        <v>464</v>
      </c>
      <c r="F215" s="151"/>
      <c r="G215" s="77">
        <v>12.25</v>
      </c>
      <c r="H215" s="44" t="s">
        <v>52</v>
      </c>
    </row>
    <row r="216" spans="1:8" x14ac:dyDescent="0.25">
      <c r="A216" s="39" t="s">
        <v>52</v>
      </c>
      <c r="B216" s="40" t="s">
        <v>52</v>
      </c>
      <c r="C216" s="40" t="s">
        <v>52</v>
      </c>
      <c r="D216" s="74" t="s">
        <v>465</v>
      </c>
      <c r="E216" s="151" t="s">
        <v>384</v>
      </c>
      <c r="F216" s="151"/>
      <c r="G216" s="77">
        <v>5.4</v>
      </c>
      <c r="H216" s="44" t="s">
        <v>52</v>
      </c>
    </row>
    <row r="217" spans="1:8" x14ac:dyDescent="0.25">
      <c r="A217" s="39" t="s">
        <v>52</v>
      </c>
      <c r="B217" s="40" t="s">
        <v>52</v>
      </c>
      <c r="C217" s="40" t="s">
        <v>52</v>
      </c>
      <c r="D217" s="74" t="s">
        <v>466</v>
      </c>
      <c r="E217" s="151" t="s">
        <v>382</v>
      </c>
      <c r="F217" s="151"/>
      <c r="G217" s="77">
        <v>4.7</v>
      </c>
      <c r="H217" s="44" t="s">
        <v>52</v>
      </c>
    </row>
    <row r="218" spans="1:8" x14ac:dyDescent="0.25">
      <c r="A218" s="39" t="s">
        <v>52</v>
      </c>
      <c r="B218" s="40" t="s">
        <v>52</v>
      </c>
      <c r="C218" s="40" t="s">
        <v>52</v>
      </c>
      <c r="D218" s="74" t="s">
        <v>469</v>
      </c>
      <c r="E218" s="151" t="s">
        <v>52</v>
      </c>
      <c r="F218" s="151"/>
      <c r="G218" s="77">
        <v>1.9</v>
      </c>
      <c r="H218" s="44" t="s">
        <v>52</v>
      </c>
    </row>
    <row r="219" spans="1:8" x14ac:dyDescent="0.25">
      <c r="A219" s="2" t="s">
        <v>470</v>
      </c>
      <c r="B219" s="3" t="s">
        <v>56</v>
      </c>
      <c r="C219" s="3" t="s">
        <v>471</v>
      </c>
      <c r="D219" s="107" t="s">
        <v>472</v>
      </c>
      <c r="E219" s="107"/>
      <c r="F219" s="3" t="s">
        <v>215</v>
      </c>
      <c r="G219" s="31">
        <v>38</v>
      </c>
      <c r="H219" s="73">
        <v>0</v>
      </c>
    </row>
    <row r="220" spans="1:8" x14ac:dyDescent="0.25">
      <c r="A220" s="2" t="s">
        <v>52</v>
      </c>
      <c r="B220" s="3" t="s">
        <v>52</v>
      </c>
      <c r="C220" s="3" t="s">
        <v>52</v>
      </c>
      <c r="D220" s="74" t="s">
        <v>461</v>
      </c>
      <c r="E220" s="151" t="s">
        <v>462</v>
      </c>
      <c r="F220" s="151"/>
      <c r="G220" s="75">
        <v>15.65</v>
      </c>
      <c r="H220" s="33" t="s">
        <v>52</v>
      </c>
    </row>
    <row r="221" spans="1:8" x14ac:dyDescent="0.25">
      <c r="A221" s="2" t="s">
        <v>52</v>
      </c>
      <c r="B221" s="3" t="s">
        <v>52</v>
      </c>
      <c r="C221" s="3" t="s">
        <v>52</v>
      </c>
      <c r="D221" s="74" t="s">
        <v>463</v>
      </c>
      <c r="E221" s="151" t="s">
        <v>464</v>
      </c>
      <c r="F221" s="151"/>
      <c r="G221" s="75">
        <v>12.25</v>
      </c>
      <c r="H221" s="33" t="s">
        <v>52</v>
      </c>
    </row>
    <row r="222" spans="1:8" x14ac:dyDescent="0.25">
      <c r="A222" s="2" t="s">
        <v>52</v>
      </c>
      <c r="B222" s="3" t="s">
        <v>52</v>
      </c>
      <c r="C222" s="3" t="s">
        <v>52</v>
      </c>
      <c r="D222" s="74" t="s">
        <v>465</v>
      </c>
      <c r="E222" s="151" t="s">
        <v>384</v>
      </c>
      <c r="F222" s="151"/>
      <c r="G222" s="75">
        <v>5.4</v>
      </c>
      <c r="H222" s="33" t="s">
        <v>52</v>
      </c>
    </row>
    <row r="223" spans="1:8" x14ac:dyDescent="0.25">
      <c r="A223" s="2" t="s">
        <v>52</v>
      </c>
      <c r="B223" s="3" t="s">
        <v>52</v>
      </c>
      <c r="C223" s="3" t="s">
        <v>52</v>
      </c>
      <c r="D223" s="74" t="s">
        <v>466</v>
      </c>
      <c r="E223" s="151" t="s">
        <v>382</v>
      </c>
      <c r="F223" s="151"/>
      <c r="G223" s="75">
        <v>4.7</v>
      </c>
      <c r="H223" s="33" t="s">
        <v>52</v>
      </c>
    </row>
    <row r="224" spans="1:8" x14ac:dyDescent="0.25">
      <c r="A224" s="2" t="s">
        <v>473</v>
      </c>
      <c r="B224" s="3" t="s">
        <v>56</v>
      </c>
      <c r="C224" s="3" t="s">
        <v>474</v>
      </c>
      <c r="D224" s="107" t="s">
        <v>475</v>
      </c>
      <c r="E224" s="107"/>
      <c r="F224" s="3" t="s">
        <v>215</v>
      </c>
      <c r="G224" s="31">
        <v>3</v>
      </c>
      <c r="H224" s="73">
        <v>0</v>
      </c>
    </row>
    <row r="225" spans="1:8" x14ac:dyDescent="0.25">
      <c r="A225" s="2" t="s">
        <v>52</v>
      </c>
      <c r="B225" s="3" t="s">
        <v>52</v>
      </c>
      <c r="C225" s="3" t="s">
        <v>52</v>
      </c>
      <c r="D225" s="74" t="s">
        <v>476</v>
      </c>
      <c r="E225" s="151" t="s">
        <v>477</v>
      </c>
      <c r="F225" s="151"/>
      <c r="G225" s="75">
        <v>1.5</v>
      </c>
      <c r="H225" s="33" t="s">
        <v>52</v>
      </c>
    </row>
    <row r="226" spans="1:8" x14ac:dyDescent="0.25">
      <c r="A226" s="2" t="s">
        <v>52</v>
      </c>
      <c r="B226" s="3" t="s">
        <v>52</v>
      </c>
      <c r="C226" s="3" t="s">
        <v>52</v>
      </c>
      <c r="D226" s="74" t="s">
        <v>478</v>
      </c>
      <c r="E226" s="151" t="s">
        <v>479</v>
      </c>
      <c r="F226" s="151"/>
      <c r="G226" s="75">
        <v>0.8</v>
      </c>
      <c r="H226" s="33" t="s">
        <v>52</v>
      </c>
    </row>
    <row r="227" spans="1:8" x14ac:dyDescent="0.25">
      <c r="A227" s="2" t="s">
        <v>52</v>
      </c>
      <c r="B227" s="3" t="s">
        <v>52</v>
      </c>
      <c r="C227" s="3" t="s">
        <v>52</v>
      </c>
      <c r="D227" s="74" t="s">
        <v>480</v>
      </c>
      <c r="E227" s="151" t="s">
        <v>481</v>
      </c>
      <c r="F227" s="151"/>
      <c r="G227" s="75">
        <v>0.7</v>
      </c>
      <c r="H227" s="33" t="s">
        <v>52</v>
      </c>
    </row>
    <row r="228" spans="1:8" x14ac:dyDescent="0.25">
      <c r="A228" s="2" t="s">
        <v>482</v>
      </c>
      <c r="B228" s="3" t="s">
        <v>56</v>
      </c>
      <c r="C228" s="3" t="s">
        <v>483</v>
      </c>
      <c r="D228" s="107" t="s">
        <v>484</v>
      </c>
      <c r="E228" s="107"/>
      <c r="F228" s="3" t="s">
        <v>276</v>
      </c>
      <c r="G228" s="31">
        <v>2.2690000000000001</v>
      </c>
      <c r="H228" s="73">
        <v>0</v>
      </c>
    </row>
    <row r="229" spans="1:8" x14ac:dyDescent="0.25">
      <c r="A229" s="72" t="s">
        <v>52</v>
      </c>
      <c r="B229" s="27" t="s">
        <v>56</v>
      </c>
      <c r="C229" s="27" t="s">
        <v>485</v>
      </c>
      <c r="D229" s="134" t="s">
        <v>486</v>
      </c>
      <c r="E229" s="134"/>
      <c r="F229" s="27" t="s">
        <v>52</v>
      </c>
      <c r="G229" s="11" t="s">
        <v>52</v>
      </c>
      <c r="H229" s="30" t="s">
        <v>52</v>
      </c>
    </row>
    <row r="230" spans="1:8" x14ac:dyDescent="0.25">
      <c r="A230" s="2" t="s">
        <v>487</v>
      </c>
      <c r="B230" s="3" t="s">
        <v>56</v>
      </c>
      <c r="C230" s="3" t="s">
        <v>488</v>
      </c>
      <c r="D230" s="107" t="s">
        <v>489</v>
      </c>
      <c r="E230" s="107"/>
      <c r="F230" s="3" t="s">
        <v>59</v>
      </c>
      <c r="G230" s="31">
        <v>47.767499999999998</v>
      </c>
      <c r="H230" s="73">
        <v>0</v>
      </c>
    </row>
    <row r="231" spans="1:8" x14ac:dyDescent="0.25">
      <c r="A231" s="2" t="s">
        <v>52</v>
      </c>
      <c r="B231" s="3" t="s">
        <v>52</v>
      </c>
      <c r="C231" s="3" t="s">
        <v>52</v>
      </c>
      <c r="D231" s="74" t="s">
        <v>492</v>
      </c>
      <c r="E231" s="151" t="s">
        <v>493</v>
      </c>
      <c r="F231" s="151"/>
      <c r="G231" s="75">
        <v>14.4925</v>
      </c>
      <c r="H231" s="33" t="s">
        <v>52</v>
      </c>
    </row>
    <row r="232" spans="1:8" x14ac:dyDescent="0.25">
      <c r="A232" s="2" t="s">
        <v>52</v>
      </c>
      <c r="B232" s="3" t="s">
        <v>52</v>
      </c>
      <c r="C232" s="3" t="s">
        <v>52</v>
      </c>
      <c r="D232" s="74" t="s">
        <v>494</v>
      </c>
      <c r="E232" s="151" t="s">
        <v>495</v>
      </c>
      <c r="F232" s="151"/>
      <c r="G232" s="75">
        <v>19.555</v>
      </c>
      <c r="H232" s="33" t="s">
        <v>52</v>
      </c>
    </row>
    <row r="233" spans="1:8" x14ac:dyDescent="0.25">
      <c r="A233" s="2" t="s">
        <v>52</v>
      </c>
      <c r="B233" s="3" t="s">
        <v>52</v>
      </c>
      <c r="C233" s="3" t="s">
        <v>52</v>
      </c>
      <c r="D233" s="74" t="s">
        <v>496</v>
      </c>
      <c r="E233" s="151" t="s">
        <v>497</v>
      </c>
      <c r="F233" s="151"/>
      <c r="G233" s="75">
        <v>13.72</v>
      </c>
      <c r="H233" s="33" t="s">
        <v>52</v>
      </c>
    </row>
    <row r="234" spans="1:8" x14ac:dyDescent="0.25">
      <c r="A234" s="2" t="s">
        <v>498</v>
      </c>
      <c r="B234" s="3" t="s">
        <v>56</v>
      </c>
      <c r="C234" s="3" t="s">
        <v>499</v>
      </c>
      <c r="D234" s="107" t="s">
        <v>500</v>
      </c>
      <c r="E234" s="107"/>
      <c r="F234" s="3" t="s">
        <v>215</v>
      </c>
      <c r="G234" s="31">
        <v>32.1</v>
      </c>
      <c r="H234" s="73">
        <v>0</v>
      </c>
    </row>
    <row r="235" spans="1:8" x14ac:dyDescent="0.25">
      <c r="A235" s="2" t="s">
        <v>52</v>
      </c>
      <c r="B235" s="3" t="s">
        <v>52</v>
      </c>
      <c r="C235" s="3" t="s">
        <v>52</v>
      </c>
      <c r="D235" s="74" t="s">
        <v>501</v>
      </c>
      <c r="E235" s="151" t="s">
        <v>365</v>
      </c>
      <c r="F235" s="151"/>
      <c r="G235" s="75">
        <v>11.75</v>
      </c>
      <c r="H235" s="33" t="s">
        <v>52</v>
      </c>
    </row>
    <row r="236" spans="1:8" x14ac:dyDescent="0.25">
      <c r="A236" s="2" t="s">
        <v>52</v>
      </c>
      <c r="B236" s="3" t="s">
        <v>52</v>
      </c>
      <c r="C236" s="3" t="s">
        <v>52</v>
      </c>
      <c r="D236" s="74" t="s">
        <v>502</v>
      </c>
      <c r="E236" s="151" t="s">
        <v>399</v>
      </c>
      <c r="F236" s="151"/>
      <c r="G236" s="75">
        <v>20.350000000000001</v>
      </c>
      <c r="H236" s="33" t="s">
        <v>52</v>
      </c>
    </row>
    <row r="237" spans="1:8" x14ac:dyDescent="0.25">
      <c r="A237" s="2" t="s">
        <v>503</v>
      </c>
      <c r="B237" s="3" t="s">
        <v>56</v>
      </c>
      <c r="C237" s="3" t="s">
        <v>240</v>
      </c>
      <c r="D237" s="107" t="s">
        <v>504</v>
      </c>
      <c r="E237" s="107"/>
      <c r="F237" s="3" t="s">
        <v>215</v>
      </c>
      <c r="G237" s="31">
        <v>12.4</v>
      </c>
      <c r="H237" s="73">
        <v>0</v>
      </c>
    </row>
    <row r="238" spans="1:8" x14ac:dyDescent="0.25">
      <c r="A238" s="2" t="s">
        <v>52</v>
      </c>
      <c r="B238" s="3" t="s">
        <v>52</v>
      </c>
      <c r="C238" s="3" t="s">
        <v>52</v>
      </c>
      <c r="D238" s="74" t="s">
        <v>505</v>
      </c>
      <c r="E238" s="151" t="s">
        <v>52</v>
      </c>
      <c r="F238" s="151"/>
      <c r="G238" s="75">
        <v>12.4</v>
      </c>
      <c r="H238" s="33" t="s">
        <v>52</v>
      </c>
    </row>
    <row r="239" spans="1:8" x14ac:dyDescent="0.25">
      <c r="A239" s="2" t="s">
        <v>506</v>
      </c>
      <c r="B239" s="3" t="s">
        <v>56</v>
      </c>
      <c r="C239" s="3" t="s">
        <v>507</v>
      </c>
      <c r="D239" s="107" t="s">
        <v>508</v>
      </c>
      <c r="E239" s="107"/>
      <c r="F239" s="3" t="s">
        <v>215</v>
      </c>
      <c r="G239" s="31">
        <v>37</v>
      </c>
      <c r="H239" s="73">
        <v>0</v>
      </c>
    </row>
    <row r="240" spans="1:8" x14ac:dyDescent="0.25">
      <c r="A240" s="2" t="s">
        <v>52</v>
      </c>
      <c r="B240" s="3" t="s">
        <v>52</v>
      </c>
      <c r="C240" s="3" t="s">
        <v>52</v>
      </c>
      <c r="D240" s="74" t="s">
        <v>505</v>
      </c>
      <c r="E240" s="151" t="s">
        <v>510</v>
      </c>
      <c r="F240" s="151"/>
      <c r="G240" s="75">
        <v>12.4</v>
      </c>
      <c r="H240" s="33" t="s">
        <v>52</v>
      </c>
    </row>
    <row r="241" spans="1:8" x14ac:dyDescent="0.25">
      <c r="A241" s="2" t="s">
        <v>52</v>
      </c>
      <c r="B241" s="3" t="s">
        <v>52</v>
      </c>
      <c r="C241" s="3" t="s">
        <v>52</v>
      </c>
      <c r="D241" s="74" t="s">
        <v>511</v>
      </c>
      <c r="E241" s="151" t="s">
        <v>399</v>
      </c>
      <c r="F241" s="151"/>
      <c r="G241" s="75">
        <v>16.399999999999999</v>
      </c>
      <c r="H241" s="33" t="s">
        <v>52</v>
      </c>
    </row>
    <row r="242" spans="1:8" x14ac:dyDescent="0.25">
      <c r="A242" s="2" t="s">
        <v>52</v>
      </c>
      <c r="B242" s="3" t="s">
        <v>52</v>
      </c>
      <c r="C242" s="3" t="s">
        <v>52</v>
      </c>
      <c r="D242" s="74" t="s">
        <v>512</v>
      </c>
      <c r="E242" s="151" t="s">
        <v>397</v>
      </c>
      <c r="F242" s="151"/>
      <c r="G242" s="75">
        <v>8.1999999999999993</v>
      </c>
      <c r="H242" s="33" t="s">
        <v>52</v>
      </c>
    </row>
    <row r="243" spans="1:8" x14ac:dyDescent="0.25">
      <c r="A243" s="39" t="s">
        <v>513</v>
      </c>
      <c r="B243" s="40" t="s">
        <v>56</v>
      </c>
      <c r="C243" s="40" t="s">
        <v>514</v>
      </c>
      <c r="D243" s="136" t="s">
        <v>515</v>
      </c>
      <c r="E243" s="136"/>
      <c r="F243" s="40" t="s">
        <v>59</v>
      </c>
      <c r="G243" s="42">
        <v>3.8849999999999998</v>
      </c>
      <c r="H243" s="76">
        <v>0</v>
      </c>
    </row>
    <row r="244" spans="1:8" x14ac:dyDescent="0.25">
      <c r="A244" s="39" t="s">
        <v>52</v>
      </c>
      <c r="B244" s="40" t="s">
        <v>52</v>
      </c>
      <c r="C244" s="40" t="s">
        <v>52</v>
      </c>
      <c r="D244" s="74" t="s">
        <v>516</v>
      </c>
      <c r="E244" s="151" t="s">
        <v>510</v>
      </c>
      <c r="F244" s="151"/>
      <c r="G244" s="77">
        <v>1.24</v>
      </c>
      <c r="H244" s="44" t="s">
        <v>52</v>
      </c>
    </row>
    <row r="245" spans="1:8" x14ac:dyDescent="0.25">
      <c r="A245" s="39" t="s">
        <v>52</v>
      </c>
      <c r="B245" s="40" t="s">
        <v>52</v>
      </c>
      <c r="C245" s="40" t="s">
        <v>52</v>
      </c>
      <c r="D245" s="74" t="s">
        <v>517</v>
      </c>
      <c r="E245" s="151" t="s">
        <v>399</v>
      </c>
      <c r="F245" s="151"/>
      <c r="G245" s="77">
        <v>1.64</v>
      </c>
      <c r="H245" s="44" t="s">
        <v>52</v>
      </c>
    </row>
    <row r="246" spans="1:8" x14ac:dyDescent="0.25">
      <c r="A246" s="39" t="s">
        <v>52</v>
      </c>
      <c r="B246" s="40" t="s">
        <v>52</v>
      </c>
      <c r="C246" s="40" t="s">
        <v>52</v>
      </c>
      <c r="D246" s="74" t="s">
        <v>518</v>
      </c>
      <c r="E246" s="151" t="s">
        <v>397</v>
      </c>
      <c r="F246" s="151"/>
      <c r="G246" s="77">
        <v>0.82</v>
      </c>
      <c r="H246" s="44" t="s">
        <v>52</v>
      </c>
    </row>
    <row r="247" spans="1:8" x14ac:dyDescent="0.25">
      <c r="A247" s="39" t="s">
        <v>52</v>
      </c>
      <c r="B247" s="40" t="s">
        <v>52</v>
      </c>
      <c r="C247" s="40" t="s">
        <v>52</v>
      </c>
      <c r="D247" s="74" t="s">
        <v>519</v>
      </c>
      <c r="E247" s="151" t="s">
        <v>52</v>
      </c>
      <c r="F247" s="151"/>
      <c r="G247" s="77">
        <v>0.185</v>
      </c>
      <c r="H247" s="44" t="s">
        <v>52</v>
      </c>
    </row>
    <row r="248" spans="1:8" x14ac:dyDescent="0.25">
      <c r="A248" s="2" t="s">
        <v>520</v>
      </c>
      <c r="B248" s="3" t="s">
        <v>56</v>
      </c>
      <c r="C248" s="3" t="s">
        <v>521</v>
      </c>
      <c r="D248" s="107" t="s">
        <v>522</v>
      </c>
      <c r="E248" s="107"/>
      <c r="F248" s="3" t="s">
        <v>59</v>
      </c>
      <c r="G248" s="31">
        <v>34.567500000000003</v>
      </c>
      <c r="H248" s="73">
        <v>0</v>
      </c>
    </row>
    <row r="249" spans="1:8" x14ac:dyDescent="0.25">
      <c r="A249" s="2" t="s">
        <v>52</v>
      </c>
      <c r="B249" s="3" t="s">
        <v>52</v>
      </c>
      <c r="C249" s="3" t="s">
        <v>52</v>
      </c>
      <c r="D249" s="74" t="s">
        <v>523</v>
      </c>
      <c r="E249" s="151" t="s">
        <v>510</v>
      </c>
      <c r="F249" s="151"/>
      <c r="G249" s="75">
        <v>12.48</v>
      </c>
      <c r="H249" s="33" t="s">
        <v>52</v>
      </c>
    </row>
    <row r="250" spans="1:8" x14ac:dyDescent="0.25">
      <c r="A250" s="2" t="s">
        <v>52</v>
      </c>
      <c r="B250" s="3" t="s">
        <v>52</v>
      </c>
      <c r="C250" s="3" t="s">
        <v>52</v>
      </c>
      <c r="D250" s="74" t="s">
        <v>524</v>
      </c>
      <c r="E250" s="151" t="s">
        <v>399</v>
      </c>
      <c r="F250" s="151"/>
      <c r="G250" s="75">
        <v>17.137499999999999</v>
      </c>
      <c r="H250" s="33" t="s">
        <v>52</v>
      </c>
    </row>
    <row r="251" spans="1:8" x14ac:dyDescent="0.25">
      <c r="A251" s="2" t="s">
        <v>52</v>
      </c>
      <c r="B251" s="3" t="s">
        <v>52</v>
      </c>
      <c r="C251" s="3" t="s">
        <v>52</v>
      </c>
      <c r="D251" s="74" t="s">
        <v>525</v>
      </c>
      <c r="E251" s="151" t="s">
        <v>397</v>
      </c>
      <c r="F251" s="151"/>
      <c r="G251" s="75">
        <v>4.95</v>
      </c>
      <c r="H251" s="33" t="s">
        <v>52</v>
      </c>
    </row>
    <row r="252" spans="1:8" x14ac:dyDescent="0.25">
      <c r="A252" s="39" t="s">
        <v>526</v>
      </c>
      <c r="B252" s="40" t="s">
        <v>56</v>
      </c>
      <c r="C252" s="40" t="s">
        <v>514</v>
      </c>
      <c r="D252" s="136" t="s">
        <v>515</v>
      </c>
      <c r="E252" s="136"/>
      <c r="F252" s="40" t="s">
        <v>59</v>
      </c>
      <c r="G252" s="42">
        <v>36.295870000000001</v>
      </c>
      <c r="H252" s="76">
        <v>0</v>
      </c>
    </row>
    <row r="253" spans="1:8" x14ac:dyDescent="0.25">
      <c r="A253" s="39" t="s">
        <v>52</v>
      </c>
      <c r="B253" s="40" t="s">
        <v>52</v>
      </c>
      <c r="C253" s="40" t="s">
        <v>52</v>
      </c>
      <c r="D253" s="74" t="s">
        <v>523</v>
      </c>
      <c r="E253" s="151" t="s">
        <v>510</v>
      </c>
      <c r="F253" s="151"/>
      <c r="G253" s="77">
        <v>12.48</v>
      </c>
      <c r="H253" s="44" t="s">
        <v>52</v>
      </c>
    </row>
    <row r="254" spans="1:8" x14ac:dyDescent="0.25">
      <c r="A254" s="39" t="s">
        <v>52</v>
      </c>
      <c r="B254" s="40" t="s">
        <v>52</v>
      </c>
      <c r="C254" s="40" t="s">
        <v>52</v>
      </c>
      <c r="D254" s="74" t="s">
        <v>524</v>
      </c>
      <c r="E254" s="151" t="s">
        <v>399</v>
      </c>
      <c r="F254" s="151"/>
      <c r="G254" s="77">
        <v>17.137499999999999</v>
      </c>
      <c r="H254" s="44" t="s">
        <v>52</v>
      </c>
    </row>
    <row r="255" spans="1:8" x14ac:dyDescent="0.25">
      <c r="A255" s="39" t="s">
        <v>52</v>
      </c>
      <c r="B255" s="40" t="s">
        <v>52</v>
      </c>
      <c r="C255" s="40" t="s">
        <v>52</v>
      </c>
      <c r="D255" s="74" t="s">
        <v>525</v>
      </c>
      <c r="E255" s="151" t="s">
        <v>397</v>
      </c>
      <c r="F255" s="151"/>
      <c r="G255" s="77">
        <v>4.95</v>
      </c>
      <c r="H255" s="44" t="s">
        <v>52</v>
      </c>
    </row>
    <row r="256" spans="1:8" x14ac:dyDescent="0.25">
      <c r="A256" s="39" t="s">
        <v>52</v>
      </c>
      <c r="B256" s="40" t="s">
        <v>52</v>
      </c>
      <c r="C256" s="40" t="s">
        <v>52</v>
      </c>
      <c r="D256" s="74" t="s">
        <v>527</v>
      </c>
      <c r="E256" s="151" t="s">
        <v>52</v>
      </c>
      <c r="F256" s="151"/>
      <c r="G256" s="77">
        <v>1.72837</v>
      </c>
      <c r="H256" s="44" t="s">
        <v>52</v>
      </c>
    </row>
    <row r="257" spans="1:8" x14ac:dyDescent="0.25">
      <c r="A257" s="2" t="s">
        <v>528</v>
      </c>
      <c r="B257" s="3" t="s">
        <v>56</v>
      </c>
      <c r="C257" s="3" t="s">
        <v>529</v>
      </c>
      <c r="D257" s="107" t="s">
        <v>530</v>
      </c>
      <c r="E257" s="107"/>
      <c r="F257" s="3" t="s">
        <v>276</v>
      </c>
      <c r="G257" s="31">
        <v>0.29144999999999999</v>
      </c>
      <c r="H257" s="73">
        <v>0</v>
      </c>
    </row>
    <row r="258" spans="1:8" x14ac:dyDescent="0.25">
      <c r="A258" s="72" t="s">
        <v>52</v>
      </c>
      <c r="B258" s="27" t="s">
        <v>56</v>
      </c>
      <c r="C258" s="27" t="s">
        <v>531</v>
      </c>
      <c r="D258" s="134" t="s">
        <v>532</v>
      </c>
      <c r="E258" s="134"/>
      <c r="F258" s="27" t="s">
        <v>52</v>
      </c>
      <c r="G258" s="11" t="s">
        <v>52</v>
      </c>
      <c r="H258" s="30" t="s">
        <v>52</v>
      </c>
    </row>
    <row r="259" spans="1:8" x14ac:dyDescent="0.25">
      <c r="A259" s="2" t="s">
        <v>533</v>
      </c>
      <c r="B259" s="3" t="s">
        <v>56</v>
      </c>
      <c r="C259" s="3" t="s">
        <v>534</v>
      </c>
      <c r="D259" s="107" t="s">
        <v>535</v>
      </c>
      <c r="E259" s="107"/>
      <c r="F259" s="3" t="s">
        <v>59</v>
      </c>
      <c r="G259" s="31">
        <v>16.919</v>
      </c>
      <c r="H259" s="73">
        <v>0</v>
      </c>
    </row>
    <row r="260" spans="1:8" x14ac:dyDescent="0.25">
      <c r="A260" s="2" t="s">
        <v>52</v>
      </c>
      <c r="B260" s="3" t="s">
        <v>52</v>
      </c>
      <c r="C260" s="3" t="s">
        <v>52</v>
      </c>
      <c r="D260" s="74" t="s">
        <v>538</v>
      </c>
      <c r="E260" s="151" t="s">
        <v>431</v>
      </c>
      <c r="F260" s="151"/>
      <c r="G260" s="75">
        <v>4.68</v>
      </c>
      <c r="H260" s="33" t="s">
        <v>52</v>
      </c>
    </row>
    <row r="261" spans="1:8" x14ac:dyDescent="0.25">
      <c r="A261" s="2" t="s">
        <v>52</v>
      </c>
      <c r="B261" s="3" t="s">
        <v>52</v>
      </c>
      <c r="C261" s="3" t="s">
        <v>52</v>
      </c>
      <c r="D261" s="74" t="s">
        <v>539</v>
      </c>
      <c r="E261" s="151" t="s">
        <v>429</v>
      </c>
      <c r="F261" s="151"/>
      <c r="G261" s="75">
        <v>2.7149999999999999</v>
      </c>
      <c r="H261" s="33" t="s">
        <v>52</v>
      </c>
    </row>
    <row r="262" spans="1:8" x14ac:dyDescent="0.25">
      <c r="A262" s="2" t="s">
        <v>52</v>
      </c>
      <c r="B262" s="3" t="s">
        <v>52</v>
      </c>
      <c r="C262" s="3" t="s">
        <v>52</v>
      </c>
      <c r="D262" s="74" t="s">
        <v>540</v>
      </c>
      <c r="E262" s="151" t="s">
        <v>427</v>
      </c>
      <c r="F262" s="151"/>
      <c r="G262" s="75">
        <v>4.524</v>
      </c>
      <c r="H262" s="33" t="s">
        <v>52</v>
      </c>
    </row>
    <row r="263" spans="1:8" x14ac:dyDescent="0.25">
      <c r="A263" s="2" t="s">
        <v>52</v>
      </c>
      <c r="B263" s="3" t="s">
        <v>52</v>
      </c>
      <c r="C263" s="3" t="s">
        <v>52</v>
      </c>
      <c r="D263" s="74" t="s">
        <v>85</v>
      </c>
      <c r="E263" s="151" t="s">
        <v>541</v>
      </c>
      <c r="F263" s="151"/>
      <c r="G263" s="75">
        <v>5</v>
      </c>
      <c r="H263" s="33" t="s">
        <v>52</v>
      </c>
    </row>
    <row r="264" spans="1:8" x14ac:dyDescent="0.25">
      <c r="A264" s="2" t="s">
        <v>542</v>
      </c>
      <c r="B264" s="3" t="s">
        <v>56</v>
      </c>
      <c r="C264" s="3" t="s">
        <v>543</v>
      </c>
      <c r="D264" s="107" t="s">
        <v>544</v>
      </c>
      <c r="E264" s="107"/>
      <c r="F264" s="3" t="s">
        <v>59</v>
      </c>
      <c r="G264" s="31">
        <v>11.532500000000001</v>
      </c>
      <c r="H264" s="73">
        <v>0</v>
      </c>
    </row>
    <row r="265" spans="1:8" x14ac:dyDescent="0.25">
      <c r="A265" s="2" t="s">
        <v>52</v>
      </c>
      <c r="B265" s="3" t="s">
        <v>52</v>
      </c>
      <c r="C265" s="3" t="s">
        <v>52</v>
      </c>
      <c r="D265" s="74" t="s">
        <v>545</v>
      </c>
      <c r="E265" s="151" t="s">
        <v>546</v>
      </c>
      <c r="F265" s="151"/>
      <c r="G265" s="75">
        <v>4.0949999999999998</v>
      </c>
      <c r="H265" s="33" t="s">
        <v>52</v>
      </c>
    </row>
    <row r="266" spans="1:8" x14ac:dyDescent="0.25">
      <c r="A266" s="2" t="s">
        <v>52</v>
      </c>
      <c r="B266" s="3" t="s">
        <v>52</v>
      </c>
      <c r="C266" s="3" t="s">
        <v>52</v>
      </c>
      <c r="D266" s="74" t="s">
        <v>85</v>
      </c>
      <c r="E266" s="151" t="s">
        <v>541</v>
      </c>
      <c r="F266" s="151"/>
      <c r="G266" s="75">
        <v>5</v>
      </c>
      <c r="H266" s="33" t="s">
        <v>52</v>
      </c>
    </row>
    <row r="267" spans="1:8" x14ac:dyDescent="0.25">
      <c r="A267" s="2" t="s">
        <v>52</v>
      </c>
      <c r="B267" s="3" t="s">
        <v>52</v>
      </c>
      <c r="C267" s="3" t="s">
        <v>52</v>
      </c>
      <c r="D267" s="74" t="s">
        <v>547</v>
      </c>
      <c r="E267" s="151" t="s">
        <v>427</v>
      </c>
      <c r="F267" s="151"/>
      <c r="G267" s="75">
        <v>2.4375</v>
      </c>
      <c r="H267" s="33" t="s">
        <v>52</v>
      </c>
    </row>
    <row r="268" spans="1:8" x14ac:dyDescent="0.25">
      <c r="A268" s="39" t="s">
        <v>548</v>
      </c>
      <c r="B268" s="40" t="s">
        <v>56</v>
      </c>
      <c r="C268" s="40" t="s">
        <v>549</v>
      </c>
      <c r="D268" s="136" t="s">
        <v>550</v>
      </c>
      <c r="E268" s="136"/>
      <c r="F268" s="40" t="s">
        <v>69</v>
      </c>
      <c r="G268" s="42">
        <v>92.26</v>
      </c>
      <c r="H268" s="76">
        <v>0</v>
      </c>
    </row>
    <row r="269" spans="1:8" x14ac:dyDescent="0.25">
      <c r="A269" s="39" t="s">
        <v>52</v>
      </c>
      <c r="B269" s="40" t="s">
        <v>52</v>
      </c>
      <c r="C269" s="40" t="s">
        <v>52</v>
      </c>
      <c r="D269" s="74" t="s">
        <v>551</v>
      </c>
      <c r="E269" s="151" t="s">
        <v>52</v>
      </c>
      <c r="F269" s="151"/>
      <c r="G269" s="77">
        <v>0</v>
      </c>
      <c r="H269" s="44" t="s">
        <v>52</v>
      </c>
    </row>
    <row r="270" spans="1:8" x14ac:dyDescent="0.25">
      <c r="A270" s="39" t="s">
        <v>52</v>
      </c>
      <c r="B270" s="40" t="s">
        <v>52</v>
      </c>
      <c r="C270" s="40" t="s">
        <v>52</v>
      </c>
      <c r="D270" s="74" t="s">
        <v>552</v>
      </c>
      <c r="E270" s="151" t="s">
        <v>546</v>
      </c>
      <c r="F270" s="151"/>
      <c r="G270" s="77">
        <v>32.76</v>
      </c>
      <c r="H270" s="44" t="s">
        <v>52</v>
      </c>
    </row>
    <row r="271" spans="1:8" x14ac:dyDescent="0.25">
      <c r="A271" s="39" t="s">
        <v>52</v>
      </c>
      <c r="B271" s="40" t="s">
        <v>52</v>
      </c>
      <c r="C271" s="40" t="s">
        <v>52</v>
      </c>
      <c r="D271" s="74" t="s">
        <v>553</v>
      </c>
      <c r="E271" s="151" t="s">
        <v>541</v>
      </c>
      <c r="F271" s="151"/>
      <c r="G271" s="77">
        <v>40</v>
      </c>
      <c r="H271" s="44" t="s">
        <v>52</v>
      </c>
    </row>
    <row r="272" spans="1:8" x14ac:dyDescent="0.25">
      <c r="A272" s="39" t="s">
        <v>52</v>
      </c>
      <c r="B272" s="40" t="s">
        <v>52</v>
      </c>
      <c r="C272" s="40" t="s">
        <v>52</v>
      </c>
      <c r="D272" s="74" t="s">
        <v>554</v>
      </c>
      <c r="E272" s="151" t="s">
        <v>427</v>
      </c>
      <c r="F272" s="151"/>
      <c r="G272" s="77">
        <v>19.5</v>
      </c>
      <c r="H272" s="44" t="s">
        <v>52</v>
      </c>
    </row>
    <row r="273" spans="1:8" x14ac:dyDescent="0.25">
      <c r="A273" s="2" t="s">
        <v>555</v>
      </c>
      <c r="B273" s="3" t="s">
        <v>56</v>
      </c>
      <c r="C273" s="3" t="s">
        <v>556</v>
      </c>
      <c r="D273" s="107" t="s">
        <v>557</v>
      </c>
      <c r="E273" s="107"/>
      <c r="F273" s="3" t="s">
        <v>59</v>
      </c>
      <c r="G273" s="31">
        <v>13.9625</v>
      </c>
      <c r="H273" s="73">
        <v>0</v>
      </c>
    </row>
    <row r="274" spans="1:8" x14ac:dyDescent="0.25">
      <c r="A274" s="2" t="s">
        <v>52</v>
      </c>
      <c r="B274" s="3" t="s">
        <v>52</v>
      </c>
      <c r="C274" s="3" t="s">
        <v>52</v>
      </c>
      <c r="D274" s="74" t="s">
        <v>559</v>
      </c>
      <c r="E274" s="151" t="s">
        <v>462</v>
      </c>
      <c r="F274" s="151"/>
      <c r="G274" s="75">
        <v>1.35</v>
      </c>
      <c r="H274" s="33" t="s">
        <v>52</v>
      </c>
    </row>
    <row r="275" spans="1:8" x14ac:dyDescent="0.25">
      <c r="A275" s="2" t="s">
        <v>52</v>
      </c>
      <c r="B275" s="3" t="s">
        <v>52</v>
      </c>
      <c r="C275" s="3" t="s">
        <v>52</v>
      </c>
      <c r="D275" s="74" t="s">
        <v>560</v>
      </c>
      <c r="E275" s="151" t="s">
        <v>464</v>
      </c>
      <c r="F275" s="151"/>
      <c r="G275" s="75">
        <v>1.08</v>
      </c>
      <c r="H275" s="33" t="s">
        <v>52</v>
      </c>
    </row>
    <row r="276" spans="1:8" x14ac:dyDescent="0.25">
      <c r="A276" s="2" t="s">
        <v>52</v>
      </c>
      <c r="B276" s="3" t="s">
        <v>52</v>
      </c>
      <c r="C276" s="3" t="s">
        <v>52</v>
      </c>
      <c r="D276" s="74" t="s">
        <v>545</v>
      </c>
      <c r="E276" s="151" t="s">
        <v>546</v>
      </c>
      <c r="F276" s="151"/>
      <c r="G276" s="75">
        <v>4.0949999999999998</v>
      </c>
      <c r="H276" s="33" t="s">
        <v>52</v>
      </c>
    </row>
    <row r="277" spans="1:8" x14ac:dyDescent="0.25">
      <c r="A277" s="2" t="s">
        <v>52</v>
      </c>
      <c r="B277" s="3" t="s">
        <v>52</v>
      </c>
      <c r="C277" s="3" t="s">
        <v>52</v>
      </c>
      <c r="D277" s="74" t="s">
        <v>547</v>
      </c>
      <c r="E277" s="151" t="s">
        <v>427</v>
      </c>
      <c r="F277" s="151"/>
      <c r="G277" s="75">
        <v>2.4375</v>
      </c>
      <c r="H277" s="33" t="s">
        <v>52</v>
      </c>
    </row>
    <row r="278" spans="1:8" x14ac:dyDescent="0.25">
      <c r="A278" s="2" t="s">
        <v>52</v>
      </c>
      <c r="B278" s="3" t="s">
        <v>52</v>
      </c>
      <c r="C278" s="3" t="s">
        <v>52</v>
      </c>
      <c r="D278" s="74" t="s">
        <v>85</v>
      </c>
      <c r="E278" s="151" t="s">
        <v>541</v>
      </c>
      <c r="F278" s="151"/>
      <c r="G278" s="75">
        <v>5</v>
      </c>
      <c r="H278" s="33" t="s">
        <v>52</v>
      </c>
    </row>
    <row r="279" spans="1:8" x14ac:dyDescent="0.25">
      <c r="A279" s="39" t="s">
        <v>561</v>
      </c>
      <c r="B279" s="40" t="s">
        <v>56</v>
      </c>
      <c r="C279" s="40" t="s">
        <v>562</v>
      </c>
      <c r="D279" s="136" t="s">
        <v>563</v>
      </c>
      <c r="E279" s="136"/>
      <c r="F279" s="40" t="s">
        <v>59</v>
      </c>
      <c r="G279" s="42">
        <v>14.68225</v>
      </c>
      <c r="H279" s="76">
        <v>0</v>
      </c>
    </row>
    <row r="280" spans="1:8" x14ac:dyDescent="0.25">
      <c r="A280" s="39" t="s">
        <v>52</v>
      </c>
      <c r="B280" s="40" t="s">
        <v>52</v>
      </c>
      <c r="C280" s="40" t="s">
        <v>52</v>
      </c>
      <c r="D280" s="74" t="s">
        <v>559</v>
      </c>
      <c r="E280" s="151" t="s">
        <v>462</v>
      </c>
      <c r="F280" s="151"/>
      <c r="G280" s="77">
        <v>1.35</v>
      </c>
      <c r="H280" s="44" t="s">
        <v>52</v>
      </c>
    </row>
    <row r="281" spans="1:8" x14ac:dyDescent="0.25">
      <c r="A281" s="39" t="s">
        <v>52</v>
      </c>
      <c r="B281" s="40" t="s">
        <v>52</v>
      </c>
      <c r="C281" s="40" t="s">
        <v>52</v>
      </c>
      <c r="D281" s="74" t="s">
        <v>560</v>
      </c>
      <c r="E281" s="151" t="s">
        <v>464</v>
      </c>
      <c r="F281" s="151"/>
      <c r="G281" s="77">
        <v>1.08</v>
      </c>
      <c r="H281" s="44" t="s">
        <v>52</v>
      </c>
    </row>
    <row r="282" spans="1:8" x14ac:dyDescent="0.25">
      <c r="A282" s="39" t="s">
        <v>52</v>
      </c>
      <c r="B282" s="40" t="s">
        <v>52</v>
      </c>
      <c r="C282" s="40" t="s">
        <v>52</v>
      </c>
      <c r="D282" s="74" t="s">
        <v>545</v>
      </c>
      <c r="E282" s="151" t="s">
        <v>546</v>
      </c>
      <c r="F282" s="151"/>
      <c r="G282" s="77">
        <v>4.0949999999999998</v>
      </c>
      <c r="H282" s="44" t="s">
        <v>52</v>
      </c>
    </row>
    <row r="283" spans="1:8" x14ac:dyDescent="0.25">
      <c r="A283" s="39" t="s">
        <v>52</v>
      </c>
      <c r="B283" s="40" t="s">
        <v>52</v>
      </c>
      <c r="C283" s="40" t="s">
        <v>52</v>
      </c>
      <c r="D283" s="74" t="s">
        <v>547</v>
      </c>
      <c r="E283" s="151" t="s">
        <v>427</v>
      </c>
      <c r="F283" s="151"/>
      <c r="G283" s="77">
        <v>2.4375</v>
      </c>
      <c r="H283" s="44" t="s">
        <v>52</v>
      </c>
    </row>
    <row r="284" spans="1:8" x14ac:dyDescent="0.25">
      <c r="A284" s="39" t="s">
        <v>52</v>
      </c>
      <c r="B284" s="40" t="s">
        <v>52</v>
      </c>
      <c r="C284" s="40" t="s">
        <v>52</v>
      </c>
      <c r="D284" s="74" t="s">
        <v>85</v>
      </c>
      <c r="E284" s="151" t="s">
        <v>541</v>
      </c>
      <c r="F284" s="151"/>
      <c r="G284" s="77">
        <v>5</v>
      </c>
      <c r="H284" s="44" t="s">
        <v>52</v>
      </c>
    </row>
    <row r="285" spans="1:8" x14ac:dyDescent="0.25">
      <c r="A285" s="39" t="s">
        <v>52</v>
      </c>
      <c r="B285" s="40" t="s">
        <v>52</v>
      </c>
      <c r="C285" s="40" t="s">
        <v>52</v>
      </c>
      <c r="D285" s="74" t="s">
        <v>564</v>
      </c>
      <c r="E285" s="151" t="s">
        <v>565</v>
      </c>
      <c r="F285" s="151"/>
      <c r="G285" s="77">
        <v>-0.42749999999999999</v>
      </c>
      <c r="H285" s="44" t="s">
        <v>52</v>
      </c>
    </row>
    <row r="286" spans="1:8" x14ac:dyDescent="0.25">
      <c r="A286" s="39" t="s">
        <v>52</v>
      </c>
      <c r="B286" s="40" t="s">
        <v>52</v>
      </c>
      <c r="C286" s="40" t="s">
        <v>52</v>
      </c>
      <c r="D286" s="74" t="s">
        <v>566</v>
      </c>
      <c r="E286" s="151" t="s">
        <v>567</v>
      </c>
      <c r="F286" s="151"/>
      <c r="G286" s="77">
        <v>-0.1875</v>
      </c>
      <c r="H286" s="44" t="s">
        <v>52</v>
      </c>
    </row>
    <row r="287" spans="1:8" x14ac:dyDescent="0.25">
      <c r="A287" s="39" t="s">
        <v>52</v>
      </c>
      <c r="B287" s="40" t="s">
        <v>52</v>
      </c>
      <c r="C287" s="40" t="s">
        <v>52</v>
      </c>
      <c r="D287" s="74" t="s">
        <v>568</v>
      </c>
      <c r="E287" s="151" t="s">
        <v>52</v>
      </c>
      <c r="F287" s="151"/>
      <c r="G287" s="77">
        <v>1.3347500000000001</v>
      </c>
      <c r="H287" s="44" t="s">
        <v>52</v>
      </c>
    </row>
    <row r="288" spans="1:8" x14ac:dyDescent="0.25">
      <c r="A288" s="39" t="s">
        <v>569</v>
      </c>
      <c r="B288" s="40" t="s">
        <v>56</v>
      </c>
      <c r="C288" s="40" t="s">
        <v>570</v>
      </c>
      <c r="D288" s="136" t="s">
        <v>571</v>
      </c>
      <c r="E288" s="136"/>
      <c r="F288" s="40" t="s">
        <v>59</v>
      </c>
      <c r="G288" s="42">
        <v>0.67649999999999999</v>
      </c>
      <c r="H288" s="76">
        <v>0</v>
      </c>
    </row>
    <row r="289" spans="1:8" x14ac:dyDescent="0.25">
      <c r="A289" s="39" t="s">
        <v>52</v>
      </c>
      <c r="B289" s="40" t="s">
        <v>52</v>
      </c>
      <c r="C289" s="40" t="s">
        <v>52</v>
      </c>
      <c r="D289" s="74" t="s">
        <v>572</v>
      </c>
      <c r="E289" s="151" t="s">
        <v>52</v>
      </c>
      <c r="F289" s="151"/>
      <c r="G289" s="77">
        <v>0</v>
      </c>
      <c r="H289" s="44" t="s">
        <v>52</v>
      </c>
    </row>
    <row r="290" spans="1:8" x14ac:dyDescent="0.25">
      <c r="A290" s="39" t="s">
        <v>52</v>
      </c>
      <c r="B290" s="40" t="s">
        <v>52</v>
      </c>
      <c r="C290" s="40" t="s">
        <v>52</v>
      </c>
      <c r="D290" s="74" t="s">
        <v>573</v>
      </c>
      <c r="E290" s="151" t="s">
        <v>574</v>
      </c>
      <c r="F290" s="151"/>
      <c r="G290" s="77">
        <v>0.42749999999999999</v>
      </c>
      <c r="H290" s="44" t="s">
        <v>52</v>
      </c>
    </row>
    <row r="291" spans="1:8" x14ac:dyDescent="0.25">
      <c r="A291" s="39" t="s">
        <v>52</v>
      </c>
      <c r="B291" s="40" t="s">
        <v>52</v>
      </c>
      <c r="C291" s="40" t="s">
        <v>52</v>
      </c>
      <c r="D291" s="74" t="s">
        <v>575</v>
      </c>
      <c r="E291" s="151" t="s">
        <v>427</v>
      </c>
      <c r="F291" s="151"/>
      <c r="G291" s="77">
        <v>0.1875</v>
      </c>
      <c r="H291" s="44" t="s">
        <v>52</v>
      </c>
    </row>
    <row r="292" spans="1:8" x14ac:dyDescent="0.25">
      <c r="A292" s="39" t="s">
        <v>52</v>
      </c>
      <c r="B292" s="40" t="s">
        <v>52</v>
      </c>
      <c r="C292" s="40" t="s">
        <v>52</v>
      </c>
      <c r="D292" s="74" t="s">
        <v>576</v>
      </c>
      <c r="E292" s="151" t="s">
        <v>52</v>
      </c>
      <c r="F292" s="151"/>
      <c r="G292" s="77">
        <v>6.1499999999999999E-2</v>
      </c>
      <c r="H292" s="44" t="s">
        <v>52</v>
      </c>
    </row>
    <row r="293" spans="1:8" x14ac:dyDescent="0.25">
      <c r="A293" s="2" t="s">
        <v>577</v>
      </c>
      <c r="B293" s="3" t="s">
        <v>56</v>
      </c>
      <c r="C293" s="3" t="s">
        <v>578</v>
      </c>
      <c r="D293" s="107" t="s">
        <v>579</v>
      </c>
      <c r="E293" s="107"/>
      <c r="F293" s="3" t="s">
        <v>59</v>
      </c>
      <c r="G293" s="31">
        <v>13.9625</v>
      </c>
      <c r="H293" s="73">
        <v>0</v>
      </c>
    </row>
    <row r="294" spans="1:8" x14ac:dyDescent="0.25">
      <c r="A294" s="2" t="s">
        <v>52</v>
      </c>
      <c r="B294" s="3" t="s">
        <v>52</v>
      </c>
      <c r="C294" s="3" t="s">
        <v>52</v>
      </c>
      <c r="D294" s="74" t="s">
        <v>559</v>
      </c>
      <c r="E294" s="151" t="s">
        <v>462</v>
      </c>
      <c r="F294" s="151"/>
      <c r="G294" s="75">
        <v>1.35</v>
      </c>
      <c r="H294" s="33" t="s">
        <v>52</v>
      </c>
    </row>
    <row r="295" spans="1:8" x14ac:dyDescent="0.25">
      <c r="A295" s="2" t="s">
        <v>52</v>
      </c>
      <c r="B295" s="3" t="s">
        <v>52</v>
      </c>
      <c r="C295" s="3" t="s">
        <v>52</v>
      </c>
      <c r="D295" s="74" t="s">
        <v>560</v>
      </c>
      <c r="E295" s="151" t="s">
        <v>464</v>
      </c>
      <c r="F295" s="151"/>
      <c r="G295" s="75">
        <v>1.08</v>
      </c>
      <c r="H295" s="33" t="s">
        <v>52</v>
      </c>
    </row>
    <row r="296" spans="1:8" x14ac:dyDescent="0.25">
      <c r="A296" s="2" t="s">
        <v>52</v>
      </c>
      <c r="B296" s="3" t="s">
        <v>52</v>
      </c>
      <c r="C296" s="3" t="s">
        <v>52</v>
      </c>
      <c r="D296" s="74" t="s">
        <v>545</v>
      </c>
      <c r="E296" s="151" t="s">
        <v>546</v>
      </c>
      <c r="F296" s="151"/>
      <c r="G296" s="75">
        <v>4.0949999999999998</v>
      </c>
      <c r="H296" s="33" t="s">
        <v>52</v>
      </c>
    </row>
    <row r="297" spans="1:8" x14ac:dyDescent="0.25">
      <c r="A297" s="2" t="s">
        <v>52</v>
      </c>
      <c r="B297" s="3" t="s">
        <v>52</v>
      </c>
      <c r="C297" s="3" t="s">
        <v>52</v>
      </c>
      <c r="D297" s="74" t="s">
        <v>547</v>
      </c>
      <c r="E297" s="151" t="s">
        <v>427</v>
      </c>
      <c r="F297" s="151"/>
      <c r="G297" s="75">
        <v>2.4375</v>
      </c>
      <c r="H297" s="33" t="s">
        <v>52</v>
      </c>
    </row>
    <row r="298" spans="1:8" x14ac:dyDescent="0.25">
      <c r="A298" s="2" t="s">
        <v>52</v>
      </c>
      <c r="B298" s="3" t="s">
        <v>52</v>
      </c>
      <c r="C298" s="3" t="s">
        <v>52</v>
      </c>
      <c r="D298" s="74" t="s">
        <v>85</v>
      </c>
      <c r="E298" s="151" t="s">
        <v>541</v>
      </c>
      <c r="F298" s="151"/>
      <c r="G298" s="75">
        <v>5</v>
      </c>
      <c r="H298" s="33" t="s">
        <v>52</v>
      </c>
    </row>
    <row r="299" spans="1:8" x14ac:dyDescent="0.25">
      <c r="A299" s="2" t="s">
        <v>580</v>
      </c>
      <c r="B299" s="3" t="s">
        <v>56</v>
      </c>
      <c r="C299" s="3" t="s">
        <v>581</v>
      </c>
      <c r="D299" s="107" t="s">
        <v>582</v>
      </c>
      <c r="E299" s="107"/>
      <c r="F299" s="3" t="s">
        <v>215</v>
      </c>
      <c r="G299" s="31">
        <v>15.9</v>
      </c>
      <c r="H299" s="73">
        <v>0</v>
      </c>
    </row>
    <row r="300" spans="1:8" x14ac:dyDescent="0.25">
      <c r="A300" s="2" t="s">
        <v>52</v>
      </c>
      <c r="B300" s="3" t="s">
        <v>52</v>
      </c>
      <c r="C300" s="3" t="s">
        <v>52</v>
      </c>
      <c r="D300" s="74" t="s">
        <v>583</v>
      </c>
      <c r="E300" s="151" t="s">
        <v>52</v>
      </c>
      <c r="F300" s="151"/>
      <c r="G300" s="75">
        <v>15.9</v>
      </c>
      <c r="H300" s="33" t="s">
        <v>52</v>
      </c>
    </row>
    <row r="301" spans="1:8" x14ac:dyDescent="0.25">
      <c r="A301" s="2" t="s">
        <v>584</v>
      </c>
      <c r="B301" s="3" t="s">
        <v>56</v>
      </c>
      <c r="C301" s="3" t="s">
        <v>585</v>
      </c>
      <c r="D301" s="107" t="s">
        <v>586</v>
      </c>
      <c r="E301" s="107"/>
      <c r="F301" s="3" t="s">
        <v>215</v>
      </c>
      <c r="G301" s="31">
        <v>14.55</v>
      </c>
      <c r="H301" s="73">
        <v>0</v>
      </c>
    </row>
    <row r="302" spans="1:8" x14ac:dyDescent="0.25">
      <c r="A302" s="2" t="s">
        <v>52</v>
      </c>
      <c r="B302" s="3" t="s">
        <v>52</v>
      </c>
      <c r="C302" s="3" t="s">
        <v>52</v>
      </c>
      <c r="D302" s="74" t="s">
        <v>587</v>
      </c>
      <c r="E302" s="151" t="s">
        <v>546</v>
      </c>
      <c r="F302" s="151"/>
      <c r="G302" s="75">
        <v>6</v>
      </c>
      <c r="H302" s="33" t="s">
        <v>52</v>
      </c>
    </row>
    <row r="303" spans="1:8" x14ac:dyDescent="0.25">
      <c r="A303" s="2" t="s">
        <v>52</v>
      </c>
      <c r="B303" s="3" t="s">
        <v>52</v>
      </c>
      <c r="C303" s="3" t="s">
        <v>52</v>
      </c>
      <c r="D303" s="74" t="s">
        <v>588</v>
      </c>
      <c r="E303" s="151" t="s">
        <v>427</v>
      </c>
      <c r="F303" s="151"/>
      <c r="G303" s="75">
        <v>3.15</v>
      </c>
      <c r="H303" s="33" t="s">
        <v>52</v>
      </c>
    </row>
    <row r="304" spans="1:8" x14ac:dyDescent="0.25">
      <c r="A304" s="2" t="s">
        <v>52</v>
      </c>
      <c r="B304" s="3" t="s">
        <v>52</v>
      </c>
      <c r="C304" s="3" t="s">
        <v>52</v>
      </c>
      <c r="D304" s="74" t="s">
        <v>589</v>
      </c>
      <c r="E304" s="151" t="s">
        <v>462</v>
      </c>
      <c r="F304" s="151"/>
      <c r="G304" s="75">
        <v>2.4</v>
      </c>
      <c r="H304" s="33" t="s">
        <v>52</v>
      </c>
    </row>
    <row r="305" spans="1:8" x14ac:dyDescent="0.25">
      <c r="A305" s="2" t="s">
        <v>52</v>
      </c>
      <c r="B305" s="3" t="s">
        <v>52</v>
      </c>
      <c r="C305" s="3" t="s">
        <v>52</v>
      </c>
      <c r="D305" s="74" t="s">
        <v>590</v>
      </c>
      <c r="E305" s="151" t="s">
        <v>464</v>
      </c>
      <c r="F305" s="151"/>
      <c r="G305" s="75">
        <v>3</v>
      </c>
      <c r="H305" s="33" t="s">
        <v>52</v>
      </c>
    </row>
    <row r="306" spans="1:8" x14ac:dyDescent="0.25">
      <c r="A306" s="39" t="s">
        <v>591</v>
      </c>
      <c r="B306" s="40" t="s">
        <v>56</v>
      </c>
      <c r="C306" s="40" t="s">
        <v>592</v>
      </c>
      <c r="D306" s="136" t="s">
        <v>593</v>
      </c>
      <c r="E306" s="136"/>
      <c r="F306" s="40" t="s">
        <v>81</v>
      </c>
      <c r="G306" s="42">
        <v>6.1109999999999998</v>
      </c>
      <c r="H306" s="76">
        <v>0</v>
      </c>
    </row>
    <row r="307" spans="1:8" x14ac:dyDescent="0.25">
      <c r="A307" s="39" t="s">
        <v>52</v>
      </c>
      <c r="B307" s="40" t="s">
        <v>52</v>
      </c>
      <c r="C307" s="40" t="s">
        <v>52</v>
      </c>
      <c r="D307" s="74" t="s">
        <v>594</v>
      </c>
      <c r="E307" s="151" t="s">
        <v>52</v>
      </c>
      <c r="F307" s="151"/>
      <c r="G307" s="77">
        <v>0</v>
      </c>
      <c r="H307" s="44" t="s">
        <v>52</v>
      </c>
    </row>
    <row r="308" spans="1:8" x14ac:dyDescent="0.25">
      <c r="A308" s="39" t="s">
        <v>52</v>
      </c>
      <c r="B308" s="40" t="s">
        <v>52</v>
      </c>
      <c r="C308" s="40" t="s">
        <v>52</v>
      </c>
      <c r="D308" s="74" t="s">
        <v>595</v>
      </c>
      <c r="E308" s="151" t="s">
        <v>546</v>
      </c>
      <c r="F308" s="151"/>
      <c r="G308" s="77">
        <v>2.4</v>
      </c>
      <c r="H308" s="44" t="s">
        <v>52</v>
      </c>
    </row>
    <row r="309" spans="1:8" x14ac:dyDescent="0.25">
      <c r="A309" s="39" t="s">
        <v>52</v>
      </c>
      <c r="B309" s="40" t="s">
        <v>52</v>
      </c>
      <c r="C309" s="40" t="s">
        <v>52</v>
      </c>
      <c r="D309" s="74" t="s">
        <v>596</v>
      </c>
      <c r="E309" s="151" t="s">
        <v>427</v>
      </c>
      <c r="F309" s="151"/>
      <c r="G309" s="77">
        <v>1.26</v>
      </c>
      <c r="H309" s="44" t="s">
        <v>52</v>
      </c>
    </row>
    <row r="310" spans="1:8" x14ac:dyDescent="0.25">
      <c r="A310" s="39" t="s">
        <v>52</v>
      </c>
      <c r="B310" s="40" t="s">
        <v>52</v>
      </c>
      <c r="C310" s="40" t="s">
        <v>52</v>
      </c>
      <c r="D310" s="74" t="s">
        <v>597</v>
      </c>
      <c r="E310" s="151" t="s">
        <v>462</v>
      </c>
      <c r="F310" s="151"/>
      <c r="G310" s="77">
        <v>0.96</v>
      </c>
      <c r="H310" s="44" t="s">
        <v>52</v>
      </c>
    </row>
    <row r="311" spans="1:8" x14ac:dyDescent="0.25">
      <c r="A311" s="39" t="s">
        <v>52</v>
      </c>
      <c r="B311" s="40" t="s">
        <v>52</v>
      </c>
      <c r="C311" s="40" t="s">
        <v>52</v>
      </c>
      <c r="D311" s="74" t="s">
        <v>598</v>
      </c>
      <c r="E311" s="151" t="s">
        <v>464</v>
      </c>
      <c r="F311" s="151"/>
      <c r="G311" s="77">
        <v>1.2</v>
      </c>
      <c r="H311" s="44" t="s">
        <v>52</v>
      </c>
    </row>
    <row r="312" spans="1:8" x14ac:dyDescent="0.25">
      <c r="A312" s="39" t="s">
        <v>52</v>
      </c>
      <c r="B312" s="40" t="s">
        <v>52</v>
      </c>
      <c r="C312" s="40" t="s">
        <v>52</v>
      </c>
      <c r="D312" s="74" t="s">
        <v>599</v>
      </c>
      <c r="E312" s="151" t="s">
        <v>52</v>
      </c>
      <c r="F312" s="151"/>
      <c r="G312" s="77">
        <v>0.29099999999999998</v>
      </c>
      <c r="H312" s="44" t="s">
        <v>52</v>
      </c>
    </row>
    <row r="313" spans="1:8" x14ac:dyDescent="0.25">
      <c r="A313" s="2" t="s">
        <v>600</v>
      </c>
      <c r="B313" s="3" t="s">
        <v>56</v>
      </c>
      <c r="C313" s="3" t="s">
        <v>601</v>
      </c>
      <c r="D313" s="107" t="s">
        <v>602</v>
      </c>
      <c r="E313" s="107"/>
      <c r="F313" s="3" t="s">
        <v>276</v>
      </c>
      <c r="G313" s="31">
        <v>1.4734100000000001</v>
      </c>
      <c r="H313" s="73">
        <v>0</v>
      </c>
    </row>
    <row r="314" spans="1:8" x14ac:dyDescent="0.25">
      <c r="A314" s="72" t="s">
        <v>52</v>
      </c>
      <c r="B314" s="27" t="s">
        <v>56</v>
      </c>
      <c r="C314" s="27" t="s">
        <v>603</v>
      </c>
      <c r="D314" s="134" t="s">
        <v>604</v>
      </c>
      <c r="E314" s="134"/>
      <c r="F314" s="27" t="s">
        <v>52</v>
      </c>
      <c r="G314" s="11" t="s">
        <v>52</v>
      </c>
      <c r="H314" s="30" t="s">
        <v>52</v>
      </c>
    </row>
    <row r="315" spans="1:8" x14ac:dyDescent="0.25">
      <c r="A315" s="2" t="s">
        <v>605</v>
      </c>
      <c r="B315" s="3" t="s">
        <v>56</v>
      </c>
      <c r="C315" s="3" t="s">
        <v>606</v>
      </c>
      <c r="D315" s="107" t="s">
        <v>607</v>
      </c>
      <c r="E315" s="107"/>
      <c r="F315" s="3" t="s">
        <v>59</v>
      </c>
      <c r="G315" s="31">
        <v>10.8</v>
      </c>
      <c r="H315" s="73">
        <v>0</v>
      </c>
    </row>
    <row r="316" spans="1:8" x14ac:dyDescent="0.25">
      <c r="A316" s="2" t="s">
        <v>52</v>
      </c>
      <c r="B316" s="3" t="s">
        <v>52</v>
      </c>
      <c r="C316" s="3" t="s">
        <v>52</v>
      </c>
      <c r="D316" s="74" t="s">
        <v>609</v>
      </c>
      <c r="E316" s="151" t="s">
        <v>610</v>
      </c>
      <c r="F316" s="151"/>
      <c r="G316" s="75">
        <v>7.83</v>
      </c>
      <c r="H316" s="33" t="s">
        <v>52</v>
      </c>
    </row>
    <row r="317" spans="1:8" x14ac:dyDescent="0.25">
      <c r="A317" s="2" t="s">
        <v>52</v>
      </c>
      <c r="B317" s="3" t="s">
        <v>52</v>
      </c>
      <c r="C317" s="3" t="s">
        <v>52</v>
      </c>
      <c r="D317" s="74" t="s">
        <v>611</v>
      </c>
      <c r="E317" s="151" t="s">
        <v>612</v>
      </c>
      <c r="F317" s="151"/>
      <c r="G317" s="75">
        <v>2.97</v>
      </c>
      <c r="H317" s="33" t="s">
        <v>52</v>
      </c>
    </row>
    <row r="318" spans="1:8" x14ac:dyDescent="0.25">
      <c r="A318" s="2" t="s">
        <v>613</v>
      </c>
      <c r="B318" s="3" t="s">
        <v>56</v>
      </c>
      <c r="C318" s="3" t="s">
        <v>614</v>
      </c>
      <c r="D318" s="107" t="s">
        <v>615</v>
      </c>
      <c r="E318" s="107"/>
      <c r="F318" s="3" t="s">
        <v>59</v>
      </c>
      <c r="G318" s="31">
        <v>10.8</v>
      </c>
      <c r="H318" s="73">
        <v>0</v>
      </c>
    </row>
    <row r="319" spans="1:8" x14ac:dyDescent="0.25">
      <c r="A319" s="2" t="s">
        <v>52</v>
      </c>
      <c r="B319" s="3" t="s">
        <v>52</v>
      </c>
      <c r="C319" s="3" t="s">
        <v>52</v>
      </c>
      <c r="D319" s="74" t="s">
        <v>609</v>
      </c>
      <c r="E319" s="151" t="s">
        <v>610</v>
      </c>
      <c r="F319" s="151"/>
      <c r="G319" s="75">
        <v>7.83</v>
      </c>
      <c r="H319" s="33" t="s">
        <v>52</v>
      </c>
    </row>
    <row r="320" spans="1:8" x14ac:dyDescent="0.25">
      <c r="A320" s="2" t="s">
        <v>52</v>
      </c>
      <c r="B320" s="3" t="s">
        <v>52</v>
      </c>
      <c r="C320" s="3" t="s">
        <v>52</v>
      </c>
      <c r="D320" s="74" t="s">
        <v>611</v>
      </c>
      <c r="E320" s="151" t="s">
        <v>612</v>
      </c>
      <c r="F320" s="151"/>
      <c r="G320" s="75">
        <v>2.97</v>
      </c>
      <c r="H320" s="33" t="s">
        <v>52</v>
      </c>
    </row>
    <row r="321" spans="1:8" x14ac:dyDescent="0.25">
      <c r="A321" s="72" t="s">
        <v>52</v>
      </c>
      <c r="B321" s="27" t="s">
        <v>56</v>
      </c>
      <c r="C321" s="27" t="s">
        <v>616</v>
      </c>
      <c r="D321" s="134" t="s">
        <v>617</v>
      </c>
      <c r="E321" s="134"/>
      <c r="F321" s="27" t="s">
        <v>52</v>
      </c>
      <c r="G321" s="11" t="s">
        <v>52</v>
      </c>
      <c r="H321" s="30" t="s">
        <v>52</v>
      </c>
    </row>
    <row r="322" spans="1:8" x14ac:dyDescent="0.25">
      <c r="A322" s="2" t="s">
        <v>618</v>
      </c>
      <c r="B322" s="3" t="s">
        <v>56</v>
      </c>
      <c r="C322" s="3" t="s">
        <v>619</v>
      </c>
      <c r="D322" s="107" t="s">
        <v>620</v>
      </c>
      <c r="E322" s="107"/>
      <c r="F322" s="3" t="s">
        <v>59</v>
      </c>
      <c r="G322" s="31">
        <v>530.351</v>
      </c>
      <c r="H322" s="73">
        <v>0</v>
      </c>
    </row>
    <row r="323" spans="1:8" x14ac:dyDescent="0.25">
      <c r="A323" s="2" t="s">
        <v>52</v>
      </c>
      <c r="B323" s="3" t="s">
        <v>52</v>
      </c>
      <c r="C323" s="3" t="s">
        <v>52</v>
      </c>
      <c r="D323" s="74" t="s">
        <v>622</v>
      </c>
      <c r="E323" s="151" t="s">
        <v>52</v>
      </c>
      <c r="F323" s="151"/>
      <c r="G323" s="75">
        <v>0</v>
      </c>
      <c r="H323" s="33" t="s">
        <v>52</v>
      </c>
    </row>
    <row r="324" spans="1:8" x14ac:dyDescent="0.25">
      <c r="A324" s="2" t="s">
        <v>52</v>
      </c>
      <c r="B324" s="3" t="s">
        <v>52</v>
      </c>
      <c r="C324" s="3" t="s">
        <v>52</v>
      </c>
      <c r="D324" s="74" t="s">
        <v>623</v>
      </c>
      <c r="E324" s="151" t="s">
        <v>384</v>
      </c>
      <c r="F324" s="151"/>
      <c r="G324" s="75">
        <v>59.965000000000003</v>
      </c>
      <c r="H324" s="33" t="s">
        <v>52</v>
      </c>
    </row>
    <row r="325" spans="1:8" x14ac:dyDescent="0.25">
      <c r="A325" s="2" t="s">
        <v>52</v>
      </c>
      <c r="B325" s="3" t="s">
        <v>52</v>
      </c>
      <c r="C325" s="3" t="s">
        <v>52</v>
      </c>
      <c r="D325" s="74" t="s">
        <v>624</v>
      </c>
      <c r="E325" s="151" t="s">
        <v>397</v>
      </c>
      <c r="F325" s="151"/>
      <c r="G325" s="75">
        <v>29.545000000000002</v>
      </c>
      <c r="H325" s="33" t="s">
        <v>52</v>
      </c>
    </row>
    <row r="326" spans="1:8" x14ac:dyDescent="0.25">
      <c r="A326" s="2" t="s">
        <v>52</v>
      </c>
      <c r="B326" s="3" t="s">
        <v>52</v>
      </c>
      <c r="C326" s="3" t="s">
        <v>52</v>
      </c>
      <c r="D326" s="74" t="s">
        <v>625</v>
      </c>
      <c r="E326" s="151" t="s">
        <v>626</v>
      </c>
      <c r="F326" s="151"/>
      <c r="G326" s="75">
        <v>16.670000000000002</v>
      </c>
      <c r="H326" s="33" t="s">
        <v>52</v>
      </c>
    </row>
    <row r="327" spans="1:8" x14ac:dyDescent="0.25">
      <c r="A327" s="2" t="s">
        <v>52</v>
      </c>
      <c r="B327" s="3" t="s">
        <v>52</v>
      </c>
      <c r="C327" s="3" t="s">
        <v>52</v>
      </c>
      <c r="D327" s="74" t="s">
        <v>627</v>
      </c>
      <c r="E327" s="151" t="s">
        <v>628</v>
      </c>
      <c r="F327" s="151"/>
      <c r="G327" s="75">
        <v>89.724999999999994</v>
      </c>
      <c r="H327" s="33" t="s">
        <v>52</v>
      </c>
    </row>
    <row r="328" spans="1:8" x14ac:dyDescent="0.25">
      <c r="A328" s="2" t="s">
        <v>52</v>
      </c>
      <c r="B328" s="3" t="s">
        <v>52</v>
      </c>
      <c r="C328" s="3" t="s">
        <v>52</v>
      </c>
      <c r="D328" s="74" t="s">
        <v>629</v>
      </c>
      <c r="E328" s="151" t="s">
        <v>510</v>
      </c>
      <c r="F328" s="151"/>
      <c r="G328" s="75">
        <v>48.63</v>
      </c>
      <c r="H328" s="33" t="s">
        <v>52</v>
      </c>
    </row>
    <row r="329" spans="1:8" x14ac:dyDescent="0.25">
      <c r="A329" s="2" t="s">
        <v>52</v>
      </c>
      <c r="B329" s="3" t="s">
        <v>52</v>
      </c>
      <c r="C329" s="3" t="s">
        <v>52</v>
      </c>
      <c r="D329" s="74" t="s">
        <v>630</v>
      </c>
      <c r="E329" s="151" t="s">
        <v>631</v>
      </c>
      <c r="F329" s="151"/>
      <c r="G329" s="75">
        <v>51.435000000000002</v>
      </c>
      <c r="H329" s="33" t="s">
        <v>52</v>
      </c>
    </row>
    <row r="330" spans="1:8" x14ac:dyDescent="0.25">
      <c r="A330" s="2" t="s">
        <v>52</v>
      </c>
      <c r="B330" s="3" t="s">
        <v>52</v>
      </c>
      <c r="C330" s="3" t="s">
        <v>52</v>
      </c>
      <c r="D330" s="74" t="s">
        <v>632</v>
      </c>
      <c r="E330" s="151" t="s">
        <v>633</v>
      </c>
      <c r="F330" s="151"/>
      <c r="G330" s="75">
        <v>12.35</v>
      </c>
      <c r="H330" s="33" t="s">
        <v>52</v>
      </c>
    </row>
    <row r="331" spans="1:8" x14ac:dyDescent="0.25">
      <c r="A331" s="2" t="s">
        <v>52</v>
      </c>
      <c r="B331" s="3" t="s">
        <v>52</v>
      </c>
      <c r="C331" s="3" t="s">
        <v>52</v>
      </c>
      <c r="D331" s="74" t="s">
        <v>634</v>
      </c>
      <c r="E331" s="151" t="s">
        <v>635</v>
      </c>
      <c r="F331" s="151"/>
      <c r="G331" s="75">
        <v>28.774999999999999</v>
      </c>
      <c r="H331" s="33" t="s">
        <v>52</v>
      </c>
    </row>
    <row r="332" spans="1:8" x14ac:dyDescent="0.25">
      <c r="A332" s="2" t="s">
        <v>52</v>
      </c>
      <c r="B332" s="3" t="s">
        <v>52</v>
      </c>
      <c r="C332" s="3" t="s">
        <v>52</v>
      </c>
      <c r="D332" s="74" t="s">
        <v>636</v>
      </c>
      <c r="E332" s="151" t="s">
        <v>637</v>
      </c>
      <c r="F332" s="151"/>
      <c r="G332" s="75">
        <v>35.375</v>
      </c>
      <c r="H332" s="33" t="s">
        <v>52</v>
      </c>
    </row>
    <row r="333" spans="1:8" x14ac:dyDescent="0.25">
      <c r="A333" s="2" t="s">
        <v>52</v>
      </c>
      <c r="B333" s="3" t="s">
        <v>52</v>
      </c>
      <c r="C333" s="3" t="s">
        <v>52</v>
      </c>
      <c r="D333" s="74" t="s">
        <v>638</v>
      </c>
      <c r="E333" s="151" t="s">
        <v>546</v>
      </c>
      <c r="F333" s="151"/>
      <c r="G333" s="75">
        <v>13.234</v>
      </c>
      <c r="H333" s="33" t="s">
        <v>52</v>
      </c>
    </row>
    <row r="334" spans="1:8" x14ac:dyDescent="0.25">
      <c r="A334" s="2" t="s">
        <v>52</v>
      </c>
      <c r="B334" s="3" t="s">
        <v>52</v>
      </c>
      <c r="C334" s="3" t="s">
        <v>52</v>
      </c>
      <c r="D334" s="74" t="s">
        <v>639</v>
      </c>
      <c r="E334" s="151" t="s">
        <v>427</v>
      </c>
      <c r="F334" s="151"/>
      <c r="G334" s="75">
        <v>9.58</v>
      </c>
      <c r="H334" s="33" t="s">
        <v>52</v>
      </c>
    </row>
    <row r="335" spans="1:8" x14ac:dyDescent="0.25">
      <c r="A335" s="2" t="s">
        <v>52</v>
      </c>
      <c r="B335" s="3" t="s">
        <v>52</v>
      </c>
      <c r="C335" s="3" t="s">
        <v>52</v>
      </c>
      <c r="D335" s="74" t="s">
        <v>640</v>
      </c>
      <c r="E335" s="151" t="s">
        <v>641</v>
      </c>
      <c r="F335" s="151"/>
      <c r="G335" s="75">
        <v>4.1580000000000004</v>
      </c>
      <c r="H335" s="33" t="s">
        <v>52</v>
      </c>
    </row>
    <row r="336" spans="1:8" x14ac:dyDescent="0.25">
      <c r="A336" s="2" t="s">
        <v>52</v>
      </c>
      <c r="B336" s="3" t="s">
        <v>52</v>
      </c>
      <c r="C336" s="3" t="s">
        <v>52</v>
      </c>
      <c r="D336" s="74" t="s">
        <v>642</v>
      </c>
      <c r="E336" s="151" t="s">
        <v>643</v>
      </c>
      <c r="F336" s="151"/>
      <c r="G336" s="75">
        <v>5.7539999999999996</v>
      </c>
      <c r="H336" s="33" t="s">
        <v>52</v>
      </c>
    </row>
    <row r="337" spans="1:8" x14ac:dyDescent="0.25">
      <c r="A337" s="2" t="s">
        <v>52</v>
      </c>
      <c r="B337" s="3" t="s">
        <v>52</v>
      </c>
      <c r="C337" s="3" t="s">
        <v>52</v>
      </c>
      <c r="D337" s="74" t="s">
        <v>644</v>
      </c>
      <c r="E337" s="151" t="s">
        <v>645</v>
      </c>
      <c r="F337" s="151"/>
      <c r="G337" s="75">
        <v>8.76</v>
      </c>
      <c r="H337" s="33" t="s">
        <v>52</v>
      </c>
    </row>
    <row r="338" spans="1:8" x14ac:dyDescent="0.25">
      <c r="A338" s="2" t="s">
        <v>52</v>
      </c>
      <c r="B338" s="3" t="s">
        <v>52</v>
      </c>
      <c r="C338" s="3" t="s">
        <v>52</v>
      </c>
      <c r="D338" s="74" t="s">
        <v>646</v>
      </c>
      <c r="E338" s="151" t="s">
        <v>462</v>
      </c>
      <c r="F338" s="151"/>
      <c r="G338" s="75">
        <v>58.984999999999999</v>
      </c>
      <c r="H338" s="33" t="s">
        <v>52</v>
      </c>
    </row>
    <row r="339" spans="1:8" x14ac:dyDescent="0.25">
      <c r="A339" s="2" t="s">
        <v>52</v>
      </c>
      <c r="B339" s="3" t="s">
        <v>52</v>
      </c>
      <c r="C339" s="3" t="s">
        <v>52</v>
      </c>
      <c r="D339" s="74" t="s">
        <v>647</v>
      </c>
      <c r="E339" s="151" t="s">
        <v>464</v>
      </c>
      <c r="F339" s="151"/>
      <c r="G339" s="75">
        <v>57.41</v>
      </c>
      <c r="H339" s="33" t="s">
        <v>52</v>
      </c>
    </row>
    <row r="340" spans="1:8" x14ac:dyDescent="0.25">
      <c r="A340" s="2" t="s">
        <v>648</v>
      </c>
      <c r="B340" s="3" t="s">
        <v>56</v>
      </c>
      <c r="C340" s="3" t="s">
        <v>649</v>
      </c>
      <c r="D340" s="107" t="s">
        <v>650</v>
      </c>
      <c r="E340" s="107"/>
      <c r="F340" s="3" t="s">
        <v>59</v>
      </c>
      <c r="G340" s="31">
        <v>125.24</v>
      </c>
      <c r="H340" s="73">
        <v>0</v>
      </c>
    </row>
    <row r="341" spans="1:8" x14ac:dyDescent="0.25">
      <c r="A341" s="2" t="s">
        <v>52</v>
      </c>
      <c r="B341" s="3" t="s">
        <v>52</v>
      </c>
      <c r="C341" s="3" t="s">
        <v>52</v>
      </c>
      <c r="D341" s="74" t="s">
        <v>652</v>
      </c>
      <c r="E341" s="151" t="s">
        <v>52</v>
      </c>
      <c r="F341" s="151"/>
      <c r="G341" s="75">
        <v>125.24</v>
      </c>
      <c r="H341" s="33" t="s">
        <v>52</v>
      </c>
    </row>
    <row r="342" spans="1:8" x14ac:dyDescent="0.25">
      <c r="A342" s="2" t="s">
        <v>653</v>
      </c>
      <c r="B342" s="3" t="s">
        <v>56</v>
      </c>
      <c r="C342" s="3" t="s">
        <v>654</v>
      </c>
      <c r="D342" s="107" t="s">
        <v>655</v>
      </c>
      <c r="E342" s="107"/>
      <c r="F342" s="3" t="s">
        <v>59</v>
      </c>
      <c r="G342" s="31">
        <v>86.002499999999998</v>
      </c>
      <c r="H342" s="73">
        <v>0</v>
      </c>
    </row>
    <row r="343" spans="1:8" x14ac:dyDescent="0.25">
      <c r="A343" s="2" t="s">
        <v>52</v>
      </c>
      <c r="B343" s="3" t="s">
        <v>52</v>
      </c>
      <c r="C343" s="3" t="s">
        <v>52</v>
      </c>
      <c r="D343" s="74" t="s">
        <v>657</v>
      </c>
      <c r="E343" s="151" t="s">
        <v>658</v>
      </c>
      <c r="F343" s="151"/>
      <c r="G343" s="75">
        <v>4.2300000000000004</v>
      </c>
      <c r="H343" s="33" t="s">
        <v>52</v>
      </c>
    </row>
    <row r="344" spans="1:8" x14ac:dyDescent="0.25">
      <c r="A344" s="2" t="s">
        <v>52</v>
      </c>
      <c r="B344" s="3" t="s">
        <v>52</v>
      </c>
      <c r="C344" s="3" t="s">
        <v>52</v>
      </c>
      <c r="D344" s="74" t="s">
        <v>659</v>
      </c>
      <c r="E344" s="151" t="s">
        <v>660</v>
      </c>
      <c r="F344" s="151"/>
      <c r="G344" s="75">
        <v>51.772500000000001</v>
      </c>
      <c r="H344" s="33" t="s">
        <v>52</v>
      </c>
    </row>
    <row r="345" spans="1:8" x14ac:dyDescent="0.25">
      <c r="A345" s="2" t="s">
        <v>52</v>
      </c>
      <c r="B345" s="3" t="s">
        <v>52</v>
      </c>
      <c r="C345" s="3" t="s">
        <v>52</v>
      </c>
      <c r="D345" s="74" t="s">
        <v>661</v>
      </c>
      <c r="E345" s="151" t="s">
        <v>662</v>
      </c>
      <c r="F345" s="151"/>
      <c r="G345" s="75">
        <v>30</v>
      </c>
      <c r="H345" s="33" t="s">
        <v>52</v>
      </c>
    </row>
    <row r="346" spans="1:8" x14ac:dyDescent="0.25">
      <c r="A346" s="72" t="s">
        <v>52</v>
      </c>
      <c r="B346" s="27" t="s">
        <v>56</v>
      </c>
      <c r="C346" s="27" t="s">
        <v>663</v>
      </c>
      <c r="D346" s="134" t="s">
        <v>664</v>
      </c>
      <c r="E346" s="134"/>
      <c r="F346" s="27" t="s">
        <v>52</v>
      </c>
      <c r="G346" s="11" t="s">
        <v>52</v>
      </c>
      <c r="H346" s="30" t="s">
        <v>52</v>
      </c>
    </row>
    <row r="347" spans="1:8" x14ac:dyDescent="0.25">
      <c r="A347" s="2" t="s">
        <v>665</v>
      </c>
      <c r="B347" s="3" t="s">
        <v>56</v>
      </c>
      <c r="C347" s="3" t="s">
        <v>666</v>
      </c>
      <c r="D347" s="107" t="s">
        <v>667</v>
      </c>
      <c r="E347" s="107"/>
      <c r="F347" s="3" t="s">
        <v>59</v>
      </c>
      <c r="G347" s="31">
        <v>12.7</v>
      </c>
      <c r="H347" s="73">
        <v>0</v>
      </c>
    </row>
    <row r="348" spans="1:8" x14ac:dyDescent="0.25">
      <c r="A348" s="2" t="s">
        <v>52</v>
      </c>
      <c r="B348" s="3" t="s">
        <v>52</v>
      </c>
      <c r="C348" s="3" t="s">
        <v>52</v>
      </c>
      <c r="D348" s="74" t="s">
        <v>669</v>
      </c>
      <c r="E348" s="151" t="s">
        <v>52</v>
      </c>
      <c r="F348" s="151"/>
      <c r="G348" s="75">
        <v>12.7</v>
      </c>
      <c r="H348" s="33" t="s">
        <v>52</v>
      </c>
    </row>
    <row r="349" spans="1:8" x14ac:dyDescent="0.25">
      <c r="A349" s="72" t="s">
        <v>52</v>
      </c>
      <c r="B349" s="27" t="s">
        <v>56</v>
      </c>
      <c r="C349" s="27" t="s">
        <v>580</v>
      </c>
      <c r="D349" s="134" t="s">
        <v>670</v>
      </c>
      <c r="E349" s="134"/>
      <c r="F349" s="27" t="s">
        <v>52</v>
      </c>
      <c r="G349" s="11" t="s">
        <v>52</v>
      </c>
      <c r="H349" s="30" t="s">
        <v>52</v>
      </c>
    </row>
    <row r="350" spans="1:8" x14ac:dyDescent="0.25">
      <c r="A350" s="2" t="s">
        <v>671</v>
      </c>
      <c r="B350" s="3" t="s">
        <v>56</v>
      </c>
      <c r="C350" s="3" t="s">
        <v>672</v>
      </c>
      <c r="D350" s="107" t="s">
        <v>673</v>
      </c>
      <c r="E350" s="107"/>
      <c r="F350" s="3" t="s">
        <v>674</v>
      </c>
      <c r="G350" s="31">
        <v>16</v>
      </c>
      <c r="H350" s="73">
        <v>0</v>
      </c>
    </row>
    <row r="351" spans="1:8" x14ac:dyDescent="0.25">
      <c r="A351" s="2" t="s">
        <v>52</v>
      </c>
      <c r="B351" s="3" t="s">
        <v>52</v>
      </c>
      <c r="C351" s="3" t="s">
        <v>52</v>
      </c>
      <c r="D351" s="74" t="s">
        <v>677</v>
      </c>
      <c r="E351" s="151" t="s">
        <v>52</v>
      </c>
      <c r="F351" s="151"/>
      <c r="G351" s="75">
        <v>0</v>
      </c>
      <c r="H351" s="33" t="s">
        <v>52</v>
      </c>
    </row>
    <row r="352" spans="1:8" x14ac:dyDescent="0.25">
      <c r="A352" s="2" t="s">
        <v>52</v>
      </c>
      <c r="B352" s="3" t="s">
        <v>52</v>
      </c>
      <c r="C352" s="3" t="s">
        <v>52</v>
      </c>
      <c r="D352" s="74" t="s">
        <v>678</v>
      </c>
      <c r="E352" s="151" t="s">
        <v>52</v>
      </c>
      <c r="F352" s="151"/>
      <c r="G352" s="75">
        <v>16</v>
      </c>
      <c r="H352" s="33" t="s">
        <v>52</v>
      </c>
    </row>
    <row r="353" spans="1:8" x14ac:dyDescent="0.25">
      <c r="A353" s="2" t="s">
        <v>679</v>
      </c>
      <c r="B353" s="3" t="s">
        <v>56</v>
      </c>
      <c r="C353" s="3" t="s">
        <v>672</v>
      </c>
      <c r="D353" s="107" t="s">
        <v>680</v>
      </c>
      <c r="E353" s="107"/>
      <c r="F353" s="3" t="s">
        <v>674</v>
      </c>
      <c r="G353" s="31">
        <v>4</v>
      </c>
      <c r="H353" s="73">
        <v>0</v>
      </c>
    </row>
    <row r="354" spans="1:8" x14ac:dyDescent="0.25">
      <c r="A354" s="2" t="s">
        <v>52</v>
      </c>
      <c r="B354" s="3" t="s">
        <v>52</v>
      </c>
      <c r="C354" s="3" t="s">
        <v>52</v>
      </c>
      <c r="D354" s="74" t="s">
        <v>682</v>
      </c>
      <c r="E354" s="151" t="s">
        <v>52</v>
      </c>
      <c r="F354" s="151"/>
      <c r="G354" s="75">
        <v>0</v>
      </c>
      <c r="H354" s="33" t="s">
        <v>52</v>
      </c>
    </row>
    <row r="355" spans="1:8" x14ac:dyDescent="0.25">
      <c r="A355" s="2" t="s">
        <v>52</v>
      </c>
      <c r="B355" s="3" t="s">
        <v>52</v>
      </c>
      <c r="C355" s="3" t="s">
        <v>52</v>
      </c>
      <c r="D355" s="74" t="s">
        <v>683</v>
      </c>
      <c r="E355" s="151" t="s">
        <v>52</v>
      </c>
      <c r="F355" s="151"/>
      <c r="G355" s="75">
        <v>4</v>
      </c>
      <c r="H355" s="33" t="s">
        <v>52</v>
      </c>
    </row>
    <row r="356" spans="1:8" x14ac:dyDescent="0.25">
      <c r="A356" s="2" t="s">
        <v>684</v>
      </c>
      <c r="B356" s="3" t="s">
        <v>56</v>
      </c>
      <c r="C356" s="3" t="s">
        <v>672</v>
      </c>
      <c r="D356" s="107" t="s">
        <v>685</v>
      </c>
      <c r="E356" s="107"/>
      <c r="F356" s="3" t="s">
        <v>674</v>
      </c>
      <c r="G356" s="31">
        <v>2</v>
      </c>
      <c r="H356" s="73">
        <v>0</v>
      </c>
    </row>
    <row r="357" spans="1:8" x14ac:dyDescent="0.25">
      <c r="A357" s="2" t="s">
        <v>52</v>
      </c>
      <c r="B357" s="3" t="s">
        <v>52</v>
      </c>
      <c r="C357" s="3" t="s">
        <v>52</v>
      </c>
      <c r="D357" s="74" t="s">
        <v>686</v>
      </c>
      <c r="E357" s="151" t="s">
        <v>52</v>
      </c>
      <c r="F357" s="151"/>
      <c r="G357" s="75">
        <v>0</v>
      </c>
      <c r="H357" s="33" t="s">
        <v>52</v>
      </c>
    </row>
    <row r="358" spans="1:8" x14ac:dyDescent="0.25">
      <c r="A358" s="2" t="s">
        <v>52</v>
      </c>
      <c r="B358" s="3" t="s">
        <v>52</v>
      </c>
      <c r="C358" s="3" t="s">
        <v>52</v>
      </c>
      <c r="D358" s="74" t="s">
        <v>687</v>
      </c>
      <c r="E358" s="151" t="s">
        <v>52</v>
      </c>
      <c r="F358" s="151"/>
      <c r="G358" s="75">
        <v>2</v>
      </c>
      <c r="H358" s="33" t="s">
        <v>52</v>
      </c>
    </row>
    <row r="359" spans="1:8" x14ac:dyDescent="0.25">
      <c r="A359" s="72" t="s">
        <v>52</v>
      </c>
      <c r="B359" s="27" t="s">
        <v>56</v>
      </c>
      <c r="C359" s="27" t="s">
        <v>605</v>
      </c>
      <c r="D359" s="134" t="s">
        <v>688</v>
      </c>
      <c r="E359" s="134"/>
      <c r="F359" s="27" t="s">
        <v>52</v>
      </c>
      <c r="G359" s="11" t="s">
        <v>52</v>
      </c>
      <c r="H359" s="30" t="s">
        <v>52</v>
      </c>
    </row>
    <row r="360" spans="1:8" x14ac:dyDescent="0.25">
      <c r="A360" s="2" t="s">
        <v>689</v>
      </c>
      <c r="B360" s="3" t="s">
        <v>56</v>
      </c>
      <c r="C360" s="3" t="s">
        <v>690</v>
      </c>
      <c r="D360" s="107" t="s">
        <v>691</v>
      </c>
      <c r="E360" s="107"/>
      <c r="F360" s="3" t="s">
        <v>59</v>
      </c>
      <c r="G360" s="31">
        <v>16.66</v>
      </c>
      <c r="H360" s="73">
        <v>0</v>
      </c>
    </row>
    <row r="361" spans="1:8" x14ac:dyDescent="0.25">
      <c r="A361" s="2" t="s">
        <v>52</v>
      </c>
      <c r="B361" s="3" t="s">
        <v>52</v>
      </c>
      <c r="C361" s="3" t="s">
        <v>52</v>
      </c>
      <c r="D361" s="74" t="s">
        <v>693</v>
      </c>
      <c r="E361" s="151" t="s">
        <v>694</v>
      </c>
      <c r="F361" s="151"/>
      <c r="G361" s="75">
        <v>16.66</v>
      </c>
      <c r="H361" s="33" t="s">
        <v>52</v>
      </c>
    </row>
    <row r="362" spans="1:8" x14ac:dyDescent="0.25">
      <c r="A362" s="72" t="s">
        <v>52</v>
      </c>
      <c r="B362" s="27" t="s">
        <v>56</v>
      </c>
      <c r="C362" s="27" t="s">
        <v>613</v>
      </c>
      <c r="D362" s="134" t="s">
        <v>695</v>
      </c>
      <c r="E362" s="134"/>
      <c r="F362" s="27" t="s">
        <v>52</v>
      </c>
      <c r="G362" s="11" t="s">
        <v>52</v>
      </c>
      <c r="H362" s="30" t="s">
        <v>52</v>
      </c>
    </row>
    <row r="363" spans="1:8" x14ac:dyDescent="0.25">
      <c r="A363" s="2" t="s">
        <v>696</v>
      </c>
      <c r="B363" s="3" t="s">
        <v>56</v>
      </c>
      <c r="C363" s="3" t="s">
        <v>697</v>
      </c>
      <c r="D363" s="107" t="s">
        <v>698</v>
      </c>
      <c r="E363" s="107"/>
      <c r="F363" s="3" t="s">
        <v>59</v>
      </c>
      <c r="G363" s="31">
        <v>125.24</v>
      </c>
      <c r="H363" s="73">
        <v>0</v>
      </c>
    </row>
    <row r="364" spans="1:8" x14ac:dyDescent="0.25">
      <c r="A364" s="2" t="s">
        <v>52</v>
      </c>
      <c r="B364" s="3" t="s">
        <v>52</v>
      </c>
      <c r="C364" s="3" t="s">
        <v>52</v>
      </c>
      <c r="D364" s="74" t="s">
        <v>652</v>
      </c>
      <c r="E364" s="151" t="s">
        <v>52</v>
      </c>
      <c r="F364" s="151"/>
      <c r="G364" s="75">
        <v>125.24</v>
      </c>
      <c r="H364" s="33" t="s">
        <v>52</v>
      </c>
    </row>
    <row r="365" spans="1:8" x14ac:dyDescent="0.25">
      <c r="A365" s="72" t="s">
        <v>52</v>
      </c>
      <c r="B365" s="27" t="s">
        <v>56</v>
      </c>
      <c r="C365" s="27" t="s">
        <v>618</v>
      </c>
      <c r="D365" s="134" t="s">
        <v>700</v>
      </c>
      <c r="E365" s="134"/>
      <c r="F365" s="27" t="s">
        <v>52</v>
      </c>
      <c r="G365" s="11" t="s">
        <v>52</v>
      </c>
      <c r="H365" s="30" t="s">
        <v>52</v>
      </c>
    </row>
    <row r="366" spans="1:8" x14ac:dyDescent="0.25">
      <c r="A366" s="2" t="s">
        <v>701</v>
      </c>
      <c r="B366" s="3" t="s">
        <v>56</v>
      </c>
      <c r="C366" s="3" t="s">
        <v>702</v>
      </c>
      <c r="D366" s="107" t="s">
        <v>703</v>
      </c>
      <c r="E366" s="107"/>
      <c r="F366" s="3" t="s">
        <v>59</v>
      </c>
      <c r="G366" s="31">
        <v>10.24</v>
      </c>
      <c r="H366" s="73">
        <v>0</v>
      </c>
    </row>
    <row r="367" spans="1:8" x14ac:dyDescent="0.25">
      <c r="A367" s="2" t="s">
        <v>52</v>
      </c>
      <c r="B367" s="3" t="s">
        <v>52</v>
      </c>
      <c r="C367" s="3" t="s">
        <v>52</v>
      </c>
      <c r="D367" s="74" t="s">
        <v>705</v>
      </c>
      <c r="E367" s="151" t="s">
        <v>706</v>
      </c>
      <c r="F367" s="151"/>
      <c r="G367" s="75">
        <v>0.1</v>
      </c>
      <c r="H367" s="33" t="s">
        <v>52</v>
      </c>
    </row>
    <row r="368" spans="1:8" x14ac:dyDescent="0.25">
      <c r="A368" s="2" t="s">
        <v>52</v>
      </c>
      <c r="B368" s="3" t="s">
        <v>52</v>
      </c>
      <c r="C368" s="3" t="s">
        <v>52</v>
      </c>
      <c r="D368" s="74" t="s">
        <v>707</v>
      </c>
      <c r="E368" s="151" t="s">
        <v>708</v>
      </c>
      <c r="F368" s="151"/>
      <c r="G368" s="75">
        <v>9.6</v>
      </c>
      <c r="H368" s="33" t="s">
        <v>52</v>
      </c>
    </row>
    <row r="369" spans="1:8" x14ac:dyDescent="0.25">
      <c r="A369" s="2" t="s">
        <v>52</v>
      </c>
      <c r="B369" s="3" t="s">
        <v>52</v>
      </c>
      <c r="C369" s="3" t="s">
        <v>52</v>
      </c>
      <c r="D369" s="74" t="s">
        <v>709</v>
      </c>
      <c r="E369" s="151" t="s">
        <v>710</v>
      </c>
      <c r="F369" s="151"/>
      <c r="G369" s="75">
        <v>0.54</v>
      </c>
      <c r="H369" s="33" t="s">
        <v>52</v>
      </c>
    </row>
    <row r="370" spans="1:8" x14ac:dyDescent="0.25">
      <c r="A370" s="2" t="s">
        <v>711</v>
      </c>
      <c r="B370" s="3" t="s">
        <v>56</v>
      </c>
      <c r="C370" s="3" t="s">
        <v>712</v>
      </c>
      <c r="D370" s="107" t="s">
        <v>713</v>
      </c>
      <c r="E370" s="107"/>
      <c r="F370" s="3" t="s">
        <v>59</v>
      </c>
      <c r="G370" s="31">
        <v>13.145</v>
      </c>
      <c r="H370" s="73">
        <v>0</v>
      </c>
    </row>
    <row r="371" spans="1:8" x14ac:dyDescent="0.25">
      <c r="A371" s="2" t="s">
        <v>52</v>
      </c>
      <c r="B371" s="3" t="s">
        <v>52</v>
      </c>
      <c r="C371" s="3" t="s">
        <v>52</v>
      </c>
      <c r="D371" s="74" t="s">
        <v>714</v>
      </c>
      <c r="E371" s="151" t="s">
        <v>715</v>
      </c>
      <c r="F371" s="151"/>
      <c r="G371" s="75">
        <v>10.5</v>
      </c>
      <c r="H371" s="33" t="s">
        <v>52</v>
      </c>
    </row>
    <row r="372" spans="1:8" x14ac:dyDescent="0.25">
      <c r="A372" s="2" t="s">
        <v>52</v>
      </c>
      <c r="B372" s="3" t="s">
        <v>52</v>
      </c>
      <c r="C372" s="3" t="s">
        <v>52</v>
      </c>
      <c r="D372" s="74" t="s">
        <v>716</v>
      </c>
      <c r="E372" s="151" t="s">
        <v>717</v>
      </c>
      <c r="F372" s="151"/>
      <c r="G372" s="75">
        <v>2.645</v>
      </c>
      <c r="H372" s="33" t="s">
        <v>52</v>
      </c>
    </row>
    <row r="373" spans="1:8" x14ac:dyDescent="0.25">
      <c r="A373" s="2" t="s">
        <v>718</v>
      </c>
      <c r="B373" s="3" t="s">
        <v>56</v>
      </c>
      <c r="C373" s="3" t="s">
        <v>719</v>
      </c>
      <c r="D373" s="107" t="s">
        <v>720</v>
      </c>
      <c r="E373" s="107"/>
      <c r="F373" s="3" t="s">
        <v>59</v>
      </c>
      <c r="G373" s="31">
        <v>6.0650000000000004</v>
      </c>
      <c r="H373" s="73">
        <v>0</v>
      </c>
    </row>
    <row r="374" spans="1:8" x14ac:dyDescent="0.25">
      <c r="A374" s="2" t="s">
        <v>52</v>
      </c>
      <c r="B374" s="3" t="s">
        <v>52</v>
      </c>
      <c r="C374" s="3" t="s">
        <v>52</v>
      </c>
      <c r="D374" s="74" t="s">
        <v>721</v>
      </c>
      <c r="E374" s="151" t="s">
        <v>52</v>
      </c>
      <c r="F374" s="151"/>
      <c r="G374" s="75">
        <v>1.76</v>
      </c>
      <c r="H374" s="33" t="s">
        <v>52</v>
      </c>
    </row>
    <row r="375" spans="1:8" x14ac:dyDescent="0.25">
      <c r="A375" s="2" t="s">
        <v>52</v>
      </c>
      <c r="B375" s="3" t="s">
        <v>52</v>
      </c>
      <c r="C375" s="3" t="s">
        <v>52</v>
      </c>
      <c r="D375" s="74" t="s">
        <v>722</v>
      </c>
      <c r="E375" s="151" t="s">
        <v>52</v>
      </c>
      <c r="F375" s="151"/>
      <c r="G375" s="75">
        <v>4.3049999999999997</v>
      </c>
      <c r="H375" s="33" t="s">
        <v>52</v>
      </c>
    </row>
    <row r="376" spans="1:8" x14ac:dyDescent="0.25">
      <c r="A376" s="2" t="s">
        <v>723</v>
      </c>
      <c r="B376" s="3" t="s">
        <v>56</v>
      </c>
      <c r="C376" s="3" t="s">
        <v>724</v>
      </c>
      <c r="D376" s="107" t="s">
        <v>725</v>
      </c>
      <c r="E376" s="107"/>
      <c r="F376" s="3" t="s">
        <v>81</v>
      </c>
      <c r="G376" s="31">
        <v>5</v>
      </c>
      <c r="H376" s="73">
        <v>0</v>
      </c>
    </row>
    <row r="377" spans="1:8" x14ac:dyDescent="0.25">
      <c r="A377" s="2" t="s">
        <v>52</v>
      </c>
      <c r="B377" s="3" t="s">
        <v>52</v>
      </c>
      <c r="C377" s="3" t="s">
        <v>52</v>
      </c>
      <c r="D377" s="74" t="s">
        <v>78</v>
      </c>
      <c r="E377" s="151" t="s">
        <v>726</v>
      </c>
      <c r="F377" s="151"/>
      <c r="G377" s="75">
        <v>4</v>
      </c>
      <c r="H377" s="33" t="s">
        <v>52</v>
      </c>
    </row>
    <row r="378" spans="1:8" x14ac:dyDescent="0.25">
      <c r="A378" s="2" t="s">
        <v>52</v>
      </c>
      <c r="B378" s="3" t="s">
        <v>52</v>
      </c>
      <c r="C378" s="3" t="s">
        <v>52</v>
      </c>
      <c r="D378" s="74" t="s">
        <v>56</v>
      </c>
      <c r="E378" s="151" t="s">
        <v>727</v>
      </c>
      <c r="F378" s="151"/>
      <c r="G378" s="75">
        <v>1</v>
      </c>
      <c r="H378" s="33" t="s">
        <v>52</v>
      </c>
    </row>
    <row r="379" spans="1:8" x14ac:dyDescent="0.25">
      <c r="A379" s="2" t="s">
        <v>728</v>
      </c>
      <c r="B379" s="3" t="s">
        <v>56</v>
      </c>
      <c r="C379" s="3" t="s">
        <v>729</v>
      </c>
      <c r="D379" s="107" t="s">
        <v>730</v>
      </c>
      <c r="E379" s="107"/>
      <c r="F379" s="3" t="s">
        <v>59</v>
      </c>
      <c r="G379" s="31">
        <v>2.0874999999999999</v>
      </c>
      <c r="H379" s="73">
        <v>0</v>
      </c>
    </row>
    <row r="380" spans="1:8" x14ac:dyDescent="0.25">
      <c r="A380" s="2" t="s">
        <v>52</v>
      </c>
      <c r="B380" s="3" t="s">
        <v>52</v>
      </c>
      <c r="C380" s="3" t="s">
        <v>52</v>
      </c>
      <c r="D380" s="74" t="s">
        <v>731</v>
      </c>
      <c r="E380" s="151" t="s">
        <v>52</v>
      </c>
      <c r="F380" s="151"/>
      <c r="G380" s="75">
        <v>2.0874999999999999</v>
      </c>
      <c r="H380" s="33" t="s">
        <v>52</v>
      </c>
    </row>
    <row r="381" spans="1:8" x14ac:dyDescent="0.25">
      <c r="A381" s="2" t="s">
        <v>732</v>
      </c>
      <c r="B381" s="3" t="s">
        <v>56</v>
      </c>
      <c r="C381" s="3" t="s">
        <v>733</v>
      </c>
      <c r="D381" s="107" t="s">
        <v>734</v>
      </c>
      <c r="E381" s="107"/>
      <c r="F381" s="3" t="s">
        <v>138</v>
      </c>
      <c r="G381" s="31">
        <v>3.3243499999999999</v>
      </c>
      <c r="H381" s="73">
        <v>0</v>
      </c>
    </row>
    <row r="382" spans="1:8" x14ac:dyDescent="0.25">
      <c r="A382" s="2" t="s">
        <v>52</v>
      </c>
      <c r="B382" s="3" t="s">
        <v>52</v>
      </c>
      <c r="C382" s="3" t="s">
        <v>52</v>
      </c>
      <c r="D382" s="74" t="s">
        <v>735</v>
      </c>
      <c r="E382" s="151" t="s">
        <v>736</v>
      </c>
      <c r="F382" s="151"/>
      <c r="G382" s="75">
        <v>3.3243499999999999</v>
      </c>
      <c r="H382" s="33" t="s">
        <v>52</v>
      </c>
    </row>
    <row r="383" spans="1:8" x14ac:dyDescent="0.25">
      <c r="A383" s="2" t="s">
        <v>737</v>
      </c>
      <c r="B383" s="3" t="s">
        <v>56</v>
      </c>
      <c r="C383" s="3" t="s">
        <v>738</v>
      </c>
      <c r="D383" s="107" t="s">
        <v>739</v>
      </c>
      <c r="E383" s="107"/>
      <c r="F383" s="3" t="s">
        <v>215</v>
      </c>
      <c r="G383" s="31">
        <v>0.78</v>
      </c>
      <c r="H383" s="73">
        <v>0</v>
      </c>
    </row>
    <row r="384" spans="1:8" x14ac:dyDescent="0.25">
      <c r="A384" s="2" t="s">
        <v>52</v>
      </c>
      <c r="B384" s="3" t="s">
        <v>52</v>
      </c>
      <c r="C384" s="3" t="s">
        <v>52</v>
      </c>
      <c r="D384" s="74" t="s">
        <v>740</v>
      </c>
      <c r="E384" s="151" t="s">
        <v>425</v>
      </c>
      <c r="F384" s="151"/>
      <c r="G384" s="75">
        <v>0.45</v>
      </c>
      <c r="H384" s="33" t="s">
        <v>52</v>
      </c>
    </row>
    <row r="385" spans="1:8" x14ac:dyDescent="0.25">
      <c r="A385" s="2" t="s">
        <v>52</v>
      </c>
      <c r="B385" s="3" t="s">
        <v>52</v>
      </c>
      <c r="C385" s="3" t="s">
        <v>52</v>
      </c>
      <c r="D385" s="74" t="s">
        <v>741</v>
      </c>
      <c r="E385" s="151" t="s">
        <v>367</v>
      </c>
      <c r="F385" s="151"/>
      <c r="G385" s="75">
        <v>0.215</v>
      </c>
      <c r="H385" s="33" t="s">
        <v>52</v>
      </c>
    </row>
    <row r="386" spans="1:8" x14ac:dyDescent="0.25">
      <c r="A386" s="2" t="s">
        <v>52</v>
      </c>
      <c r="B386" s="3" t="s">
        <v>52</v>
      </c>
      <c r="C386" s="3" t="s">
        <v>52</v>
      </c>
      <c r="D386" s="74" t="s">
        <v>742</v>
      </c>
      <c r="E386" s="151" t="s">
        <v>743</v>
      </c>
      <c r="F386" s="151"/>
      <c r="G386" s="75">
        <v>0.115</v>
      </c>
      <c r="H386" s="33" t="s">
        <v>52</v>
      </c>
    </row>
    <row r="387" spans="1:8" x14ac:dyDescent="0.25">
      <c r="A387" s="2" t="s">
        <v>744</v>
      </c>
      <c r="B387" s="3" t="s">
        <v>56</v>
      </c>
      <c r="C387" s="3" t="s">
        <v>745</v>
      </c>
      <c r="D387" s="107" t="s">
        <v>746</v>
      </c>
      <c r="E387" s="107"/>
      <c r="F387" s="3" t="s">
        <v>138</v>
      </c>
      <c r="G387" s="31">
        <v>6.2469999999999998E-2</v>
      </c>
      <c r="H387" s="73">
        <v>0</v>
      </c>
    </row>
    <row r="388" spans="1:8" x14ac:dyDescent="0.25">
      <c r="A388" s="2" t="s">
        <v>52</v>
      </c>
      <c r="B388" s="3" t="s">
        <v>52</v>
      </c>
      <c r="C388" s="3" t="s">
        <v>52</v>
      </c>
      <c r="D388" s="74" t="s">
        <v>747</v>
      </c>
      <c r="E388" s="151" t="s">
        <v>748</v>
      </c>
      <c r="F388" s="151"/>
      <c r="G388" s="75">
        <v>1.2489999999999999E-2</v>
      </c>
      <c r="H388" s="33" t="s">
        <v>52</v>
      </c>
    </row>
    <row r="389" spans="1:8" x14ac:dyDescent="0.25">
      <c r="A389" s="2" t="s">
        <v>52</v>
      </c>
      <c r="B389" s="3" t="s">
        <v>52</v>
      </c>
      <c r="C389" s="3" t="s">
        <v>52</v>
      </c>
      <c r="D389" s="74" t="s">
        <v>749</v>
      </c>
      <c r="E389" s="151" t="s">
        <v>750</v>
      </c>
      <c r="F389" s="151"/>
      <c r="G389" s="75">
        <v>4.9979999999999997E-2</v>
      </c>
      <c r="H389" s="33" t="s">
        <v>52</v>
      </c>
    </row>
    <row r="390" spans="1:8" x14ac:dyDescent="0.25">
      <c r="A390" s="72" t="s">
        <v>52</v>
      </c>
      <c r="B390" s="27" t="s">
        <v>56</v>
      </c>
      <c r="C390" s="27" t="s">
        <v>648</v>
      </c>
      <c r="D390" s="134" t="s">
        <v>751</v>
      </c>
      <c r="E390" s="134"/>
      <c r="F390" s="27" t="s">
        <v>52</v>
      </c>
      <c r="G390" s="11" t="s">
        <v>52</v>
      </c>
      <c r="H390" s="30" t="s">
        <v>52</v>
      </c>
    </row>
    <row r="391" spans="1:8" x14ac:dyDescent="0.25">
      <c r="A391" s="2" t="s">
        <v>752</v>
      </c>
      <c r="B391" s="3" t="s">
        <v>56</v>
      </c>
      <c r="C391" s="3" t="s">
        <v>753</v>
      </c>
      <c r="D391" s="107" t="s">
        <v>754</v>
      </c>
      <c r="E391" s="107"/>
      <c r="F391" s="3" t="s">
        <v>215</v>
      </c>
      <c r="G391" s="31">
        <v>15.7</v>
      </c>
      <c r="H391" s="73">
        <v>0</v>
      </c>
    </row>
    <row r="392" spans="1:8" x14ac:dyDescent="0.25">
      <c r="A392" s="2" t="s">
        <v>52</v>
      </c>
      <c r="B392" s="3" t="s">
        <v>52</v>
      </c>
      <c r="C392" s="3" t="s">
        <v>52</v>
      </c>
      <c r="D392" s="74" t="s">
        <v>95</v>
      </c>
      <c r="E392" s="151" t="s">
        <v>96</v>
      </c>
      <c r="F392" s="151"/>
      <c r="G392" s="75">
        <v>2.9</v>
      </c>
      <c r="H392" s="33" t="s">
        <v>52</v>
      </c>
    </row>
    <row r="393" spans="1:8" x14ac:dyDescent="0.25">
      <c r="A393" s="2" t="s">
        <v>52</v>
      </c>
      <c r="B393" s="3" t="s">
        <v>52</v>
      </c>
      <c r="C393" s="3" t="s">
        <v>52</v>
      </c>
      <c r="D393" s="74" t="s">
        <v>97</v>
      </c>
      <c r="E393" s="151" t="s">
        <v>98</v>
      </c>
      <c r="F393" s="151"/>
      <c r="G393" s="75">
        <v>12.3</v>
      </c>
      <c r="H393" s="33" t="s">
        <v>52</v>
      </c>
    </row>
    <row r="394" spans="1:8" x14ac:dyDescent="0.25">
      <c r="A394" s="2" t="s">
        <v>52</v>
      </c>
      <c r="B394" s="3" t="s">
        <v>52</v>
      </c>
      <c r="C394" s="3" t="s">
        <v>52</v>
      </c>
      <c r="D394" s="74" t="s">
        <v>99</v>
      </c>
      <c r="E394" s="151" t="s">
        <v>100</v>
      </c>
      <c r="F394" s="151"/>
      <c r="G394" s="75">
        <v>0.5</v>
      </c>
      <c r="H394" s="33" t="s">
        <v>52</v>
      </c>
    </row>
    <row r="395" spans="1:8" x14ac:dyDescent="0.25">
      <c r="A395" s="2" t="s">
        <v>756</v>
      </c>
      <c r="B395" s="3" t="s">
        <v>56</v>
      </c>
      <c r="C395" s="3" t="s">
        <v>757</v>
      </c>
      <c r="D395" s="107" t="s">
        <v>758</v>
      </c>
      <c r="E395" s="107"/>
      <c r="F395" s="3" t="s">
        <v>81</v>
      </c>
      <c r="G395" s="31">
        <v>1</v>
      </c>
      <c r="H395" s="73">
        <v>0</v>
      </c>
    </row>
    <row r="396" spans="1:8" x14ac:dyDescent="0.25">
      <c r="A396" s="2" t="s">
        <v>52</v>
      </c>
      <c r="B396" s="3" t="s">
        <v>52</v>
      </c>
      <c r="C396" s="3" t="s">
        <v>52</v>
      </c>
      <c r="D396" s="74" t="s">
        <v>56</v>
      </c>
      <c r="E396" s="151" t="s">
        <v>759</v>
      </c>
      <c r="F396" s="151"/>
      <c r="G396" s="75">
        <v>1</v>
      </c>
      <c r="H396" s="33" t="s">
        <v>52</v>
      </c>
    </row>
    <row r="397" spans="1:8" x14ac:dyDescent="0.25">
      <c r="A397" s="2" t="s">
        <v>760</v>
      </c>
      <c r="B397" s="3" t="s">
        <v>56</v>
      </c>
      <c r="C397" s="3" t="s">
        <v>761</v>
      </c>
      <c r="D397" s="107" t="s">
        <v>762</v>
      </c>
      <c r="E397" s="107"/>
      <c r="F397" s="3" t="s">
        <v>81</v>
      </c>
      <c r="G397" s="31">
        <v>8</v>
      </c>
      <c r="H397" s="73">
        <v>0</v>
      </c>
    </row>
    <row r="398" spans="1:8" x14ac:dyDescent="0.25">
      <c r="A398" s="2" t="s">
        <v>52</v>
      </c>
      <c r="B398" s="3" t="s">
        <v>52</v>
      </c>
      <c r="C398" s="3" t="s">
        <v>52</v>
      </c>
      <c r="D398" s="74" t="s">
        <v>763</v>
      </c>
      <c r="E398" s="151" t="s">
        <v>764</v>
      </c>
      <c r="F398" s="151"/>
      <c r="G398" s="75">
        <v>6</v>
      </c>
      <c r="H398" s="33" t="s">
        <v>52</v>
      </c>
    </row>
    <row r="399" spans="1:8" x14ac:dyDescent="0.25">
      <c r="A399" s="2" t="s">
        <v>52</v>
      </c>
      <c r="B399" s="3" t="s">
        <v>52</v>
      </c>
      <c r="C399" s="3" t="s">
        <v>52</v>
      </c>
      <c r="D399" s="74" t="s">
        <v>56</v>
      </c>
      <c r="E399" s="151" t="s">
        <v>765</v>
      </c>
      <c r="F399" s="151"/>
      <c r="G399" s="75">
        <v>1</v>
      </c>
      <c r="H399" s="33" t="s">
        <v>52</v>
      </c>
    </row>
    <row r="400" spans="1:8" x14ac:dyDescent="0.25">
      <c r="A400" s="2" t="s">
        <v>52</v>
      </c>
      <c r="B400" s="3" t="s">
        <v>52</v>
      </c>
      <c r="C400" s="3" t="s">
        <v>52</v>
      </c>
      <c r="D400" s="74" t="s">
        <v>56</v>
      </c>
      <c r="E400" s="151" t="s">
        <v>766</v>
      </c>
      <c r="F400" s="151"/>
      <c r="G400" s="75">
        <v>1</v>
      </c>
      <c r="H400" s="33" t="s">
        <v>52</v>
      </c>
    </row>
    <row r="401" spans="1:8" x14ac:dyDescent="0.25">
      <c r="A401" s="2" t="s">
        <v>767</v>
      </c>
      <c r="B401" s="3" t="s">
        <v>56</v>
      </c>
      <c r="C401" s="3" t="s">
        <v>768</v>
      </c>
      <c r="D401" s="107" t="s">
        <v>769</v>
      </c>
      <c r="E401" s="107"/>
      <c r="F401" s="3" t="s">
        <v>81</v>
      </c>
      <c r="G401" s="31">
        <v>1</v>
      </c>
      <c r="H401" s="73">
        <v>0</v>
      </c>
    </row>
    <row r="402" spans="1:8" x14ac:dyDescent="0.25">
      <c r="A402" s="2" t="s">
        <v>52</v>
      </c>
      <c r="B402" s="3" t="s">
        <v>52</v>
      </c>
      <c r="C402" s="3" t="s">
        <v>52</v>
      </c>
      <c r="D402" s="74" t="s">
        <v>56</v>
      </c>
      <c r="E402" s="151" t="s">
        <v>770</v>
      </c>
      <c r="F402" s="151"/>
      <c r="G402" s="75">
        <v>1</v>
      </c>
      <c r="H402" s="33" t="s">
        <v>52</v>
      </c>
    </row>
    <row r="403" spans="1:8" x14ac:dyDescent="0.25">
      <c r="A403" s="72" t="s">
        <v>52</v>
      </c>
      <c r="B403" s="27" t="s">
        <v>56</v>
      </c>
      <c r="C403" s="27" t="s">
        <v>771</v>
      </c>
      <c r="D403" s="134" t="s">
        <v>772</v>
      </c>
      <c r="E403" s="134"/>
      <c r="F403" s="27" t="s">
        <v>52</v>
      </c>
      <c r="G403" s="11" t="s">
        <v>52</v>
      </c>
      <c r="H403" s="30" t="s">
        <v>52</v>
      </c>
    </row>
    <row r="404" spans="1:8" x14ac:dyDescent="0.25">
      <c r="A404" s="2" t="s">
        <v>773</v>
      </c>
      <c r="B404" s="3" t="s">
        <v>56</v>
      </c>
      <c r="C404" s="3" t="s">
        <v>774</v>
      </c>
      <c r="D404" s="107" t="s">
        <v>775</v>
      </c>
      <c r="E404" s="107"/>
      <c r="F404" s="3" t="s">
        <v>276</v>
      </c>
      <c r="G404" s="31">
        <v>12.072620000000001</v>
      </c>
      <c r="H404" s="73">
        <v>0</v>
      </c>
    </row>
    <row r="405" spans="1:8" x14ac:dyDescent="0.25">
      <c r="A405" s="72" t="s">
        <v>52</v>
      </c>
      <c r="B405" s="27" t="s">
        <v>56</v>
      </c>
      <c r="C405" s="27" t="s">
        <v>777</v>
      </c>
      <c r="D405" s="134" t="s">
        <v>778</v>
      </c>
      <c r="E405" s="134"/>
      <c r="F405" s="27" t="s">
        <v>52</v>
      </c>
      <c r="G405" s="11" t="s">
        <v>52</v>
      </c>
      <c r="H405" s="30" t="s">
        <v>52</v>
      </c>
    </row>
    <row r="406" spans="1:8" x14ac:dyDescent="0.25">
      <c r="A406" s="2" t="s">
        <v>779</v>
      </c>
      <c r="B406" s="3" t="s">
        <v>56</v>
      </c>
      <c r="C406" s="3" t="s">
        <v>780</v>
      </c>
      <c r="D406" s="107" t="s">
        <v>781</v>
      </c>
      <c r="E406" s="107"/>
      <c r="F406" s="3" t="s">
        <v>276</v>
      </c>
      <c r="G406" s="31">
        <v>9.8572100000000002</v>
      </c>
      <c r="H406" s="73">
        <v>0</v>
      </c>
    </row>
    <row r="407" spans="1:8" x14ac:dyDescent="0.25">
      <c r="A407" s="2" t="s">
        <v>783</v>
      </c>
      <c r="B407" s="3" t="s">
        <v>56</v>
      </c>
      <c r="C407" s="3" t="s">
        <v>784</v>
      </c>
      <c r="D407" s="107" t="s">
        <v>785</v>
      </c>
      <c r="E407" s="107"/>
      <c r="F407" s="3" t="s">
        <v>276</v>
      </c>
      <c r="G407" s="31">
        <v>147.85814999999999</v>
      </c>
      <c r="H407" s="73">
        <v>0</v>
      </c>
    </row>
    <row r="408" spans="1:8" x14ac:dyDescent="0.25">
      <c r="A408" s="2" t="s">
        <v>52</v>
      </c>
      <c r="B408" s="3" t="s">
        <v>52</v>
      </c>
      <c r="C408" s="3" t="s">
        <v>52</v>
      </c>
      <c r="D408" s="74" t="s">
        <v>786</v>
      </c>
      <c r="E408" s="151" t="s">
        <v>52</v>
      </c>
      <c r="F408" s="151"/>
      <c r="G408" s="75">
        <v>147.85814999999999</v>
      </c>
      <c r="H408" s="33" t="s">
        <v>52</v>
      </c>
    </row>
    <row r="409" spans="1:8" x14ac:dyDescent="0.25">
      <c r="A409" s="2" t="s">
        <v>787</v>
      </c>
      <c r="B409" s="3" t="s">
        <v>56</v>
      </c>
      <c r="C409" s="3" t="s">
        <v>788</v>
      </c>
      <c r="D409" s="107" t="s">
        <v>789</v>
      </c>
      <c r="E409" s="107"/>
      <c r="F409" s="3" t="s">
        <v>276</v>
      </c>
      <c r="G409" s="31">
        <v>9.8572100000000002</v>
      </c>
      <c r="H409" s="73">
        <v>0</v>
      </c>
    </row>
    <row r="410" spans="1:8" x14ac:dyDescent="0.25">
      <c r="A410" s="2" t="s">
        <v>790</v>
      </c>
      <c r="B410" s="3" t="s">
        <v>56</v>
      </c>
      <c r="C410" s="3" t="s">
        <v>791</v>
      </c>
      <c r="D410" s="107" t="s">
        <v>792</v>
      </c>
      <c r="E410" s="107"/>
      <c r="F410" s="3" t="s">
        <v>276</v>
      </c>
      <c r="G410" s="31">
        <v>9.8572100000000002</v>
      </c>
      <c r="H410" s="73">
        <v>0</v>
      </c>
    </row>
    <row r="411" spans="1:8" x14ac:dyDescent="0.25">
      <c r="A411" s="2" t="s">
        <v>793</v>
      </c>
      <c r="B411" s="3" t="s">
        <v>56</v>
      </c>
      <c r="C411" s="3" t="s">
        <v>794</v>
      </c>
      <c r="D411" s="107" t="s">
        <v>795</v>
      </c>
      <c r="E411" s="107"/>
      <c r="F411" s="3" t="s">
        <v>276</v>
      </c>
      <c r="G411" s="31">
        <v>9.8572100000000002</v>
      </c>
      <c r="H411" s="73">
        <v>0</v>
      </c>
    </row>
    <row r="412" spans="1:8" x14ac:dyDescent="0.25">
      <c r="A412" s="2" t="s">
        <v>796</v>
      </c>
      <c r="B412" s="3" t="s">
        <v>56</v>
      </c>
      <c r="C412" s="3" t="s">
        <v>797</v>
      </c>
      <c r="D412" s="107" t="s">
        <v>798</v>
      </c>
      <c r="E412" s="107"/>
      <c r="F412" s="3" t="s">
        <v>276</v>
      </c>
      <c r="G412" s="31">
        <v>9.8572100000000002</v>
      </c>
      <c r="H412" s="73">
        <v>0</v>
      </c>
    </row>
    <row r="413" spans="1:8" x14ac:dyDescent="0.25">
      <c r="A413" s="78" t="s">
        <v>52</v>
      </c>
      <c r="B413" s="47" t="s">
        <v>66</v>
      </c>
      <c r="C413" s="47" t="s">
        <v>52</v>
      </c>
      <c r="D413" s="142" t="s">
        <v>799</v>
      </c>
      <c r="E413" s="142"/>
      <c r="F413" s="47" t="s">
        <v>52</v>
      </c>
      <c r="G413" s="79" t="s">
        <v>52</v>
      </c>
      <c r="H413" s="50" t="s">
        <v>52</v>
      </c>
    </row>
    <row r="414" spans="1:8" x14ac:dyDescent="0.25">
      <c r="A414" s="72" t="s">
        <v>52</v>
      </c>
      <c r="B414" s="27" t="s">
        <v>66</v>
      </c>
      <c r="C414" s="27" t="s">
        <v>800</v>
      </c>
      <c r="D414" s="134" t="s">
        <v>801</v>
      </c>
      <c r="E414" s="134"/>
      <c r="F414" s="27" t="s">
        <v>52</v>
      </c>
      <c r="G414" s="11" t="s">
        <v>52</v>
      </c>
      <c r="H414" s="30" t="s">
        <v>52</v>
      </c>
    </row>
    <row r="415" spans="1:8" x14ac:dyDescent="0.25">
      <c r="A415" s="2" t="s">
        <v>802</v>
      </c>
      <c r="B415" s="3" t="s">
        <v>66</v>
      </c>
      <c r="C415" s="3" t="s">
        <v>803</v>
      </c>
      <c r="D415" s="107" t="s">
        <v>804</v>
      </c>
      <c r="E415" s="107"/>
      <c r="F415" s="3" t="s">
        <v>81</v>
      </c>
      <c r="G415" s="31">
        <v>4</v>
      </c>
      <c r="H415" s="73">
        <v>0</v>
      </c>
    </row>
    <row r="416" spans="1:8" x14ac:dyDescent="0.25">
      <c r="A416" s="2" t="s">
        <v>808</v>
      </c>
      <c r="B416" s="3" t="s">
        <v>66</v>
      </c>
      <c r="C416" s="3" t="s">
        <v>809</v>
      </c>
      <c r="D416" s="107" t="s">
        <v>810</v>
      </c>
      <c r="E416" s="107"/>
      <c r="F416" s="3" t="s">
        <v>215</v>
      </c>
      <c r="G416" s="31">
        <v>1.9</v>
      </c>
      <c r="H416" s="73">
        <v>0</v>
      </c>
    </row>
    <row r="417" spans="1:8" x14ac:dyDescent="0.25">
      <c r="A417" s="2" t="s">
        <v>52</v>
      </c>
      <c r="B417" s="3" t="s">
        <v>52</v>
      </c>
      <c r="C417" s="3" t="s">
        <v>52</v>
      </c>
      <c r="D417" s="74" t="s">
        <v>811</v>
      </c>
      <c r="E417" s="151" t="s">
        <v>52</v>
      </c>
      <c r="F417" s="151"/>
      <c r="G417" s="75">
        <v>1.9</v>
      </c>
      <c r="H417" s="33" t="s">
        <v>52</v>
      </c>
    </row>
    <row r="418" spans="1:8" x14ac:dyDescent="0.25">
      <c r="A418" s="2" t="s">
        <v>812</v>
      </c>
      <c r="B418" s="3" t="s">
        <v>66</v>
      </c>
      <c r="C418" s="3" t="s">
        <v>813</v>
      </c>
      <c r="D418" s="107" t="s">
        <v>814</v>
      </c>
      <c r="E418" s="107"/>
      <c r="F418" s="3" t="s">
        <v>81</v>
      </c>
      <c r="G418" s="31">
        <v>2</v>
      </c>
      <c r="H418" s="73">
        <v>0</v>
      </c>
    </row>
    <row r="419" spans="1:8" x14ac:dyDescent="0.25">
      <c r="A419" s="2" t="s">
        <v>815</v>
      </c>
      <c r="B419" s="3" t="s">
        <v>66</v>
      </c>
      <c r="C419" s="3" t="s">
        <v>816</v>
      </c>
      <c r="D419" s="107" t="s">
        <v>817</v>
      </c>
      <c r="E419" s="107"/>
      <c r="F419" s="3" t="s">
        <v>215</v>
      </c>
      <c r="G419" s="31">
        <v>24.8</v>
      </c>
      <c r="H419" s="73">
        <v>0</v>
      </c>
    </row>
    <row r="420" spans="1:8" x14ac:dyDescent="0.25">
      <c r="A420" s="2" t="s">
        <v>52</v>
      </c>
      <c r="B420" s="3" t="s">
        <v>52</v>
      </c>
      <c r="C420" s="3" t="s">
        <v>52</v>
      </c>
      <c r="D420" s="74" t="s">
        <v>818</v>
      </c>
      <c r="E420" s="151" t="s">
        <v>819</v>
      </c>
      <c r="F420" s="151"/>
      <c r="G420" s="75">
        <v>2</v>
      </c>
      <c r="H420" s="33" t="s">
        <v>52</v>
      </c>
    </row>
    <row r="421" spans="1:8" x14ac:dyDescent="0.25">
      <c r="A421" s="2" t="s">
        <v>52</v>
      </c>
      <c r="B421" s="3" t="s">
        <v>52</v>
      </c>
      <c r="C421" s="3" t="s">
        <v>52</v>
      </c>
      <c r="D421" s="74" t="s">
        <v>820</v>
      </c>
      <c r="E421" s="151" t="s">
        <v>821</v>
      </c>
      <c r="F421" s="151"/>
      <c r="G421" s="75">
        <v>22.8</v>
      </c>
      <c r="H421" s="33" t="s">
        <v>52</v>
      </c>
    </row>
    <row r="422" spans="1:8" x14ac:dyDescent="0.25">
      <c r="A422" s="39" t="s">
        <v>822</v>
      </c>
      <c r="B422" s="40" t="s">
        <v>66</v>
      </c>
      <c r="C422" s="40" t="s">
        <v>240</v>
      </c>
      <c r="D422" s="136" t="s">
        <v>823</v>
      </c>
      <c r="E422" s="136"/>
      <c r="F422" s="40" t="s">
        <v>81</v>
      </c>
      <c r="G422" s="42">
        <v>4</v>
      </c>
      <c r="H422" s="76">
        <v>0</v>
      </c>
    </row>
    <row r="423" spans="1:8" x14ac:dyDescent="0.25">
      <c r="A423" s="39" t="s">
        <v>824</v>
      </c>
      <c r="B423" s="40" t="s">
        <v>66</v>
      </c>
      <c r="C423" s="40" t="s">
        <v>240</v>
      </c>
      <c r="D423" s="136" t="s">
        <v>825</v>
      </c>
      <c r="E423" s="136"/>
      <c r="F423" s="40" t="s">
        <v>81</v>
      </c>
      <c r="G423" s="42">
        <v>8</v>
      </c>
      <c r="H423" s="76">
        <v>0</v>
      </c>
    </row>
    <row r="424" spans="1:8" x14ac:dyDescent="0.25">
      <c r="A424" s="39" t="s">
        <v>52</v>
      </c>
      <c r="B424" s="40" t="s">
        <v>52</v>
      </c>
      <c r="C424" s="40" t="s">
        <v>52</v>
      </c>
      <c r="D424" s="74" t="s">
        <v>826</v>
      </c>
      <c r="E424" s="151" t="s">
        <v>52</v>
      </c>
      <c r="F424" s="151"/>
      <c r="G424" s="77">
        <v>8</v>
      </c>
      <c r="H424" s="44" t="s">
        <v>52</v>
      </c>
    </row>
    <row r="425" spans="1:8" x14ac:dyDescent="0.25">
      <c r="A425" s="39" t="s">
        <v>827</v>
      </c>
      <c r="B425" s="40" t="s">
        <v>66</v>
      </c>
      <c r="C425" s="40" t="s">
        <v>240</v>
      </c>
      <c r="D425" s="136" t="s">
        <v>828</v>
      </c>
      <c r="E425" s="136"/>
      <c r="F425" s="40" t="s">
        <v>81</v>
      </c>
      <c r="G425" s="42">
        <v>2</v>
      </c>
      <c r="H425" s="76">
        <v>0</v>
      </c>
    </row>
    <row r="426" spans="1:8" x14ac:dyDescent="0.25">
      <c r="A426" s="2" t="s">
        <v>829</v>
      </c>
      <c r="B426" s="3" t="s">
        <v>66</v>
      </c>
      <c r="C426" s="3" t="s">
        <v>830</v>
      </c>
      <c r="D426" s="107" t="s">
        <v>831</v>
      </c>
      <c r="E426" s="107"/>
      <c r="F426" s="3" t="s">
        <v>215</v>
      </c>
      <c r="G426" s="31">
        <v>24.8</v>
      </c>
      <c r="H426" s="73">
        <v>0</v>
      </c>
    </row>
    <row r="427" spans="1:8" x14ac:dyDescent="0.25">
      <c r="A427" s="2" t="s">
        <v>52</v>
      </c>
      <c r="B427" s="3" t="s">
        <v>52</v>
      </c>
      <c r="C427" s="3" t="s">
        <v>52</v>
      </c>
      <c r="D427" s="74" t="s">
        <v>818</v>
      </c>
      <c r="E427" s="151" t="s">
        <v>819</v>
      </c>
      <c r="F427" s="151"/>
      <c r="G427" s="75">
        <v>2</v>
      </c>
      <c r="H427" s="33" t="s">
        <v>52</v>
      </c>
    </row>
    <row r="428" spans="1:8" x14ac:dyDescent="0.25">
      <c r="A428" s="2" t="s">
        <v>52</v>
      </c>
      <c r="B428" s="3" t="s">
        <v>52</v>
      </c>
      <c r="C428" s="3" t="s">
        <v>52</v>
      </c>
      <c r="D428" s="74" t="s">
        <v>820</v>
      </c>
      <c r="E428" s="151" t="s">
        <v>821</v>
      </c>
      <c r="F428" s="151"/>
      <c r="G428" s="75">
        <v>22.8</v>
      </c>
      <c r="H428" s="33" t="s">
        <v>52</v>
      </c>
    </row>
    <row r="429" spans="1:8" x14ac:dyDescent="0.25">
      <c r="A429" s="2" t="s">
        <v>832</v>
      </c>
      <c r="B429" s="3" t="s">
        <v>66</v>
      </c>
      <c r="C429" s="3" t="s">
        <v>833</v>
      </c>
      <c r="D429" s="107" t="s">
        <v>834</v>
      </c>
      <c r="E429" s="107"/>
      <c r="F429" s="3" t="s">
        <v>276</v>
      </c>
      <c r="G429" s="31">
        <v>2.163E-2</v>
      </c>
      <c r="H429" s="73">
        <v>0</v>
      </c>
    </row>
    <row r="430" spans="1:8" x14ac:dyDescent="0.25">
      <c r="A430" s="72" t="s">
        <v>52</v>
      </c>
      <c r="B430" s="27" t="s">
        <v>66</v>
      </c>
      <c r="C430" s="27" t="s">
        <v>835</v>
      </c>
      <c r="D430" s="134" t="s">
        <v>836</v>
      </c>
      <c r="E430" s="134"/>
      <c r="F430" s="27" t="s">
        <v>52</v>
      </c>
      <c r="G430" s="11" t="s">
        <v>52</v>
      </c>
      <c r="H430" s="30" t="s">
        <v>52</v>
      </c>
    </row>
    <row r="431" spans="1:8" x14ac:dyDescent="0.25">
      <c r="A431" s="2" t="s">
        <v>837</v>
      </c>
      <c r="B431" s="3" t="s">
        <v>66</v>
      </c>
      <c r="C431" s="3" t="s">
        <v>838</v>
      </c>
      <c r="D431" s="107" t="s">
        <v>839</v>
      </c>
      <c r="E431" s="107"/>
      <c r="F431" s="3" t="s">
        <v>81</v>
      </c>
      <c r="G431" s="31">
        <v>2</v>
      </c>
      <c r="H431" s="73">
        <v>0</v>
      </c>
    </row>
    <row r="432" spans="1:8" x14ac:dyDescent="0.25">
      <c r="A432" s="2" t="s">
        <v>52</v>
      </c>
      <c r="B432" s="3" t="s">
        <v>52</v>
      </c>
      <c r="C432" s="3" t="s">
        <v>52</v>
      </c>
      <c r="D432" s="74" t="s">
        <v>66</v>
      </c>
      <c r="E432" s="151" t="s">
        <v>841</v>
      </c>
      <c r="F432" s="151"/>
      <c r="G432" s="75">
        <v>2</v>
      </c>
      <c r="H432" s="33" t="s">
        <v>52</v>
      </c>
    </row>
    <row r="433" spans="1:8" x14ac:dyDescent="0.25">
      <c r="A433" s="2" t="s">
        <v>842</v>
      </c>
      <c r="B433" s="3" t="s">
        <v>66</v>
      </c>
      <c r="C433" s="3" t="s">
        <v>843</v>
      </c>
      <c r="D433" s="107" t="s">
        <v>844</v>
      </c>
      <c r="E433" s="107"/>
      <c r="F433" s="3" t="s">
        <v>81</v>
      </c>
      <c r="G433" s="31">
        <v>6</v>
      </c>
      <c r="H433" s="73">
        <v>0</v>
      </c>
    </row>
    <row r="434" spans="1:8" x14ac:dyDescent="0.25">
      <c r="A434" s="2" t="s">
        <v>52</v>
      </c>
      <c r="B434" s="3" t="s">
        <v>52</v>
      </c>
      <c r="C434" s="3" t="s">
        <v>52</v>
      </c>
      <c r="D434" s="74" t="s">
        <v>73</v>
      </c>
      <c r="E434" s="151" t="s">
        <v>845</v>
      </c>
      <c r="F434" s="151"/>
      <c r="G434" s="75">
        <v>3</v>
      </c>
      <c r="H434" s="33" t="s">
        <v>52</v>
      </c>
    </row>
    <row r="435" spans="1:8" x14ac:dyDescent="0.25">
      <c r="A435" s="2" t="s">
        <v>52</v>
      </c>
      <c r="B435" s="3" t="s">
        <v>52</v>
      </c>
      <c r="C435" s="3" t="s">
        <v>52</v>
      </c>
      <c r="D435" s="74" t="s">
        <v>73</v>
      </c>
      <c r="E435" s="151" t="s">
        <v>846</v>
      </c>
      <c r="F435" s="151"/>
      <c r="G435" s="75">
        <v>3</v>
      </c>
      <c r="H435" s="33" t="s">
        <v>52</v>
      </c>
    </row>
    <row r="436" spans="1:8" x14ac:dyDescent="0.25">
      <c r="A436" s="39" t="s">
        <v>847</v>
      </c>
      <c r="B436" s="40" t="s">
        <v>66</v>
      </c>
      <c r="C436" s="40" t="s">
        <v>848</v>
      </c>
      <c r="D436" s="136" t="s">
        <v>849</v>
      </c>
      <c r="E436" s="136"/>
      <c r="F436" s="40" t="s">
        <v>81</v>
      </c>
      <c r="G436" s="42">
        <v>3</v>
      </c>
      <c r="H436" s="76">
        <v>0</v>
      </c>
    </row>
    <row r="437" spans="1:8" x14ac:dyDescent="0.25">
      <c r="A437" s="39" t="s">
        <v>850</v>
      </c>
      <c r="B437" s="40" t="s">
        <v>66</v>
      </c>
      <c r="C437" s="40" t="s">
        <v>851</v>
      </c>
      <c r="D437" s="136" t="s">
        <v>852</v>
      </c>
      <c r="E437" s="136"/>
      <c r="F437" s="40" t="s">
        <v>81</v>
      </c>
      <c r="G437" s="42">
        <v>3</v>
      </c>
      <c r="H437" s="76">
        <v>0</v>
      </c>
    </row>
    <row r="438" spans="1:8" x14ac:dyDescent="0.25">
      <c r="A438" s="2" t="s">
        <v>853</v>
      </c>
      <c r="B438" s="3" t="s">
        <v>66</v>
      </c>
      <c r="C438" s="3" t="s">
        <v>240</v>
      </c>
      <c r="D438" s="107" t="s">
        <v>854</v>
      </c>
      <c r="E438" s="107"/>
      <c r="F438" s="3" t="s">
        <v>81</v>
      </c>
      <c r="G438" s="31">
        <v>3</v>
      </c>
      <c r="H438" s="73">
        <v>0</v>
      </c>
    </row>
    <row r="439" spans="1:8" x14ac:dyDescent="0.25">
      <c r="A439" s="39" t="s">
        <v>855</v>
      </c>
      <c r="B439" s="40" t="s">
        <v>66</v>
      </c>
      <c r="C439" s="40" t="s">
        <v>856</v>
      </c>
      <c r="D439" s="136" t="s">
        <v>857</v>
      </c>
      <c r="E439" s="136"/>
      <c r="F439" s="40" t="s">
        <v>81</v>
      </c>
      <c r="G439" s="42">
        <v>1</v>
      </c>
      <c r="H439" s="76">
        <v>0</v>
      </c>
    </row>
    <row r="440" spans="1:8" x14ac:dyDescent="0.25">
      <c r="A440" s="39" t="s">
        <v>52</v>
      </c>
      <c r="B440" s="40" t="s">
        <v>52</v>
      </c>
      <c r="C440" s="40" t="s">
        <v>52</v>
      </c>
      <c r="D440" s="74" t="s">
        <v>56</v>
      </c>
      <c r="E440" s="151" t="s">
        <v>858</v>
      </c>
      <c r="F440" s="151"/>
      <c r="G440" s="77">
        <v>1</v>
      </c>
      <c r="H440" s="44" t="s">
        <v>52</v>
      </c>
    </row>
    <row r="441" spans="1:8" x14ac:dyDescent="0.25">
      <c r="A441" s="39" t="s">
        <v>859</v>
      </c>
      <c r="B441" s="40" t="s">
        <v>66</v>
      </c>
      <c r="C441" s="40" t="s">
        <v>860</v>
      </c>
      <c r="D441" s="136" t="s">
        <v>861</v>
      </c>
      <c r="E441" s="136"/>
      <c r="F441" s="40" t="s">
        <v>81</v>
      </c>
      <c r="G441" s="42">
        <v>2</v>
      </c>
      <c r="H441" s="76">
        <v>0</v>
      </c>
    </row>
    <row r="442" spans="1:8" x14ac:dyDescent="0.25">
      <c r="A442" s="2" t="s">
        <v>862</v>
      </c>
      <c r="B442" s="3" t="s">
        <v>66</v>
      </c>
      <c r="C442" s="3" t="s">
        <v>863</v>
      </c>
      <c r="D442" s="107" t="s">
        <v>864</v>
      </c>
      <c r="E442" s="107"/>
      <c r="F442" s="3" t="s">
        <v>276</v>
      </c>
      <c r="G442" s="31">
        <v>3.8700000000000002E-3</v>
      </c>
      <c r="H442" s="73">
        <v>0</v>
      </c>
    </row>
    <row r="443" spans="1:8" x14ac:dyDescent="0.25">
      <c r="A443" s="72" t="s">
        <v>52</v>
      </c>
      <c r="B443" s="27" t="s">
        <v>66</v>
      </c>
      <c r="C443" s="27" t="s">
        <v>865</v>
      </c>
      <c r="D443" s="134" t="s">
        <v>866</v>
      </c>
      <c r="E443" s="134"/>
      <c r="F443" s="27" t="s">
        <v>52</v>
      </c>
      <c r="G443" s="11" t="s">
        <v>52</v>
      </c>
      <c r="H443" s="30" t="s">
        <v>52</v>
      </c>
    </row>
    <row r="444" spans="1:8" x14ac:dyDescent="0.25">
      <c r="A444" s="2" t="s">
        <v>867</v>
      </c>
      <c r="B444" s="3" t="s">
        <v>66</v>
      </c>
      <c r="C444" s="3" t="s">
        <v>868</v>
      </c>
      <c r="D444" s="107" t="s">
        <v>869</v>
      </c>
      <c r="E444" s="107"/>
      <c r="F444" s="3" t="s">
        <v>59</v>
      </c>
      <c r="G444" s="31">
        <v>4.6749999999999998</v>
      </c>
      <c r="H444" s="73">
        <v>0</v>
      </c>
    </row>
    <row r="445" spans="1:8" x14ac:dyDescent="0.25">
      <c r="A445" s="2" t="s">
        <v>52</v>
      </c>
      <c r="B445" s="3" t="s">
        <v>52</v>
      </c>
      <c r="C445" s="3" t="s">
        <v>52</v>
      </c>
      <c r="D445" s="74" t="s">
        <v>871</v>
      </c>
      <c r="E445" s="151" t="s">
        <v>872</v>
      </c>
      <c r="F445" s="151"/>
      <c r="G445" s="75">
        <v>3.145</v>
      </c>
      <c r="H445" s="33" t="s">
        <v>52</v>
      </c>
    </row>
    <row r="446" spans="1:8" x14ac:dyDescent="0.25">
      <c r="A446" s="2" t="s">
        <v>52</v>
      </c>
      <c r="B446" s="3" t="s">
        <v>52</v>
      </c>
      <c r="C446" s="3" t="s">
        <v>52</v>
      </c>
      <c r="D446" s="74" t="s">
        <v>873</v>
      </c>
      <c r="E446" s="151" t="s">
        <v>874</v>
      </c>
      <c r="F446" s="151"/>
      <c r="G446" s="75">
        <v>1.53</v>
      </c>
      <c r="H446" s="33" t="s">
        <v>52</v>
      </c>
    </row>
    <row r="447" spans="1:8" x14ac:dyDescent="0.25">
      <c r="A447" s="2" t="s">
        <v>875</v>
      </c>
      <c r="B447" s="3" t="s">
        <v>66</v>
      </c>
      <c r="C447" s="3" t="s">
        <v>876</v>
      </c>
      <c r="D447" s="107" t="s">
        <v>877</v>
      </c>
      <c r="E447" s="107"/>
      <c r="F447" s="3" t="s">
        <v>59</v>
      </c>
      <c r="G447" s="31">
        <v>4.6749999999999998</v>
      </c>
      <c r="H447" s="73">
        <v>0</v>
      </c>
    </row>
    <row r="448" spans="1:8" x14ac:dyDescent="0.25">
      <c r="A448" s="2" t="s">
        <v>52</v>
      </c>
      <c r="B448" s="3" t="s">
        <v>52</v>
      </c>
      <c r="C448" s="3" t="s">
        <v>52</v>
      </c>
      <c r="D448" s="74" t="s">
        <v>871</v>
      </c>
      <c r="E448" s="151" t="s">
        <v>872</v>
      </c>
      <c r="F448" s="151"/>
      <c r="G448" s="75">
        <v>3.145</v>
      </c>
      <c r="H448" s="33" t="s">
        <v>52</v>
      </c>
    </row>
    <row r="449" spans="1:8" x14ac:dyDescent="0.25">
      <c r="A449" s="2" t="s">
        <v>52</v>
      </c>
      <c r="B449" s="3" t="s">
        <v>52</v>
      </c>
      <c r="C449" s="3" t="s">
        <v>52</v>
      </c>
      <c r="D449" s="74" t="s">
        <v>873</v>
      </c>
      <c r="E449" s="151" t="s">
        <v>874</v>
      </c>
      <c r="F449" s="151"/>
      <c r="G449" s="75">
        <v>1.53</v>
      </c>
      <c r="H449" s="33" t="s">
        <v>52</v>
      </c>
    </row>
    <row r="450" spans="1:8" x14ac:dyDescent="0.25">
      <c r="A450" s="2" t="s">
        <v>878</v>
      </c>
      <c r="B450" s="3" t="s">
        <v>66</v>
      </c>
      <c r="C450" s="3" t="s">
        <v>879</v>
      </c>
      <c r="D450" s="107" t="s">
        <v>880</v>
      </c>
      <c r="E450" s="107"/>
      <c r="F450" s="3" t="s">
        <v>81</v>
      </c>
      <c r="G450" s="31">
        <v>1</v>
      </c>
      <c r="H450" s="73">
        <v>0</v>
      </c>
    </row>
    <row r="451" spans="1:8" x14ac:dyDescent="0.25">
      <c r="A451" s="2" t="s">
        <v>881</v>
      </c>
      <c r="B451" s="3" t="s">
        <v>66</v>
      </c>
      <c r="C451" s="3" t="s">
        <v>882</v>
      </c>
      <c r="D451" s="107" t="s">
        <v>883</v>
      </c>
      <c r="E451" s="107"/>
      <c r="F451" s="3" t="s">
        <v>59</v>
      </c>
      <c r="G451" s="31">
        <v>1.53</v>
      </c>
      <c r="H451" s="73">
        <v>0</v>
      </c>
    </row>
    <row r="452" spans="1:8" x14ac:dyDescent="0.25">
      <c r="A452" s="2" t="s">
        <v>52</v>
      </c>
      <c r="B452" s="3" t="s">
        <v>52</v>
      </c>
      <c r="C452" s="3" t="s">
        <v>52</v>
      </c>
      <c r="D452" s="74" t="s">
        <v>873</v>
      </c>
      <c r="E452" s="151" t="s">
        <v>874</v>
      </c>
      <c r="F452" s="151"/>
      <c r="G452" s="75">
        <v>1.53</v>
      </c>
      <c r="H452" s="33" t="s">
        <v>52</v>
      </c>
    </row>
    <row r="453" spans="1:8" x14ac:dyDescent="0.25">
      <c r="A453" s="2" t="s">
        <v>884</v>
      </c>
      <c r="B453" s="3" t="s">
        <v>66</v>
      </c>
      <c r="C453" s="3" t="s">
        <v>885</v>
      </c>
      <c r="D453" s="107" t="s">
        <v>886</v>
      </c>
      <c r="E453" s="107"/>
      <c r="F453" s="3" t="s">
        <v>59</v>
      </c>
      <c r="G453" s="31">
        <v>1.53</v>
      </c>
      <c r="H453" s="73">
        <v>0</v>
      </c>
    </row>
    <row r="454" spans="1:8" x14ac:dyDescent="0.25">
      <c r="A454" s="2" t="s">
        <v>52</v>
      </c>
      <c r="B454" s="3" t="s">
        <v>52</v>
      </c>
      <c r="C454" s="3" t="s">
        <v>52</v>
      </c>
      <c r="D454" s="74" t="s">
        <v>873</v>
      </c>
      <c r="E454" s="151" t="s">
        <v>874</v>
      </c>
      <c r="F454" s="151"/>
      <c r="G454" s="75">
        <v>1.53</v>
      </c>
      <c r="H454" s="33" t="s">
        <v>52</v>
      </c>
    </row>
    <row r="455" spans="1:8" x14ac:dyDescent="0.25">
      <c r="A455" s="39" t="s">
        <v>887</v>
      </c>
      <c r="B455" s="40" t="s">
        <v>66</v>
      </c>
      <c r="C455" s="40" t="s">
        <v>240</v>
      </c>
      <c r="D455" s="136" t="s">
        <v>888</v>
      </c>
      <c r="E455" s="136"/>
      <c r="F455" s="40" t="s">
        <v>81</v>
      </c>
      <c r="G455" s="42">
        <v>4</v>
      </c>
      <c r="H455" s="76">
        <v>0</v>
      </c>
    </row>
    <row r="456" spans="1:8" x14ac:dyDescent="0.25">
      <c r="A456" s="39" t="s">
        <v>52</v>
      </c>
      <c r="B456" s="40" t="s">
        <v>52</v>
      </c>
      <c r="C456" s="40" t="s">
        <v>52</v>
      </c>
      <c r="D456" s="74" t="s">
        <v>78</v>
      </c>
      <c r="E456" s="151" t="s">
        <v>889</v>
      </c>
      <c r="F456" s="151"/>
      <c r="G456" s="77">
        <v>4</v>
      </c>
      <c r="H456" s="44" t="s">
        <v>52</v>
      </c>
    </row>
    <row r="457" spans="1:8" x14ac:dyDescent="0.25">
      <c r="A457" s="2" t="s">
        <v>890</v>
      </c>
      <c r="B457" s="3" t="s">
        <v>66</v>
      </c>
      <c r="C457" s="3" t="s">
        <v>891</v>
      </c>
      <c r="D457" s="107" t="s">
        <v>892</v>
      </c>
      <c r="E457" s="107"/>
      <c r="F457" s="3" t="s">
        <v>59</v>
      </c>
      <c r="G457" s="31">
        <v>12.03</v>
      </c>
      <c r="H457" s="73">
        <v>0</v>
      </c>
    </row>
    <row r="458" spans="1:8" x14ac:dyDescent="0.25">
      <c r="A458" s="2" t="s">
        <v>52</v>
      </c>
      <c r="B458" s="3" t="s">
        <v>52</v>
      </c>
      <c r="C458" s="3" t="s">
        <v>52</v>
      </c>
      <c r="D458" s="74" t="s">
        <v>873</v>
      </c>
      <c r="E458" s="151" t="s">
        <v>874</v>
      </c>
      <c r="F458" s="151"/>
      <c r="G458" s="75">
        <v>1.53</v>
      </c>
      <c r="H458" s="33" t="s">
        <v>52</v>
      </c>
    </row>
    <row r="459" spans="1:8" x14ac:dyDescent="0.25">
      <c r="A459" s="2" t="s">
        <v>52</v>
      </c>
      <c r="B459" s="3" t="s">
        <v>52</v>
      </c>
      <c r="C459" s="3" t="s">
        <v>52</v>
      </c>
      <c r="D459" s="74" t="s">
        <v>893</v>
      </c>
      <c r="E459" s="151" t="s">
        <v>894</v>
      </c>
      <c r="F459" s="151"/>
      <c r="G459" s="75">
        <v>6.3</v>
      </c>
      <c r="H459" s="33" t="s">
        <v>52</v>
      </c>
    </row>
    <row r="460" spans="1:8" x14ac:dyDescent="0.25">
      <c r="A460" s="2" t="s">
        <v>52</v>
      </c>
      <c r="B460" s="3" t="s">
        <v>52</v>
      </c>
      <c r="C460" s="3" t="s">
        <v>52</v>
      </c>
      <c r="D460" s="74" t="s">
        <v>895</v>
      </c>
      <c r="E460" s="151" t="s">
        <v>896</v>
      </c>
      <c r="F460" s="151"/>
      <c r="G460" s="75">
        <v>0.84</v>
      </c>
      <c r="H460" s="33" t="s">
        <v>52</v>
      </c>
    </row>
    <row r="461" spans="1:8" x14ac:dyDescent="0.25">
      <c r="A461" s="2" t="s">
        <v>52</v>
      </c>
      <c r="B461" s="3" t="s">
        <v>52</v>
      </c>
      <c r="C461" s="3" t="s">
        <v>52</v>
      </c>
      <c r="D461" s="74" t="s">
        <v>897</v>
      </c>
      <c r="E461" s="151" t="s">
        <v>898</v>
      </c>
      <c r="F461" s="151"/>
      <c r="G461" s="75">
        <v>3.36</v>
      </c>
      <c r="H461" s="33" t="s">
        <v>52</v>
      </c>
    </row>
    <row r="462" spans="1:8" x14ac:dyDescent="0.25">
      <c r="A462" s="2" t="s">
        <v>899</v>
      </c>
      <c r="B462" s="3" t="s">
        <v>66</v>
      </c>
      <c r="C462" s="3" t="s">
        <v>900</v>
      </c>
      <c r="D462" s="107" t="s">
        <v>901</v>
      </c>
      <c r="E462" s="107"/>
      <c r="F462" s="3" t="s">
        <v>59</v>
      </c>
      <c r="G462" s="31">
        <v>10.5</v>
      </c>
      <c r="H462" s="73">
        <v>0</v>
      </c>
    </row>
    <row r="463" spans="1:8" x14ac:dyDescent="0.25">
      <c r="A463" s="2" t="s">
        <v>52</v>
      </c>
      <c r="B463" s="3" t="s">
        <v>52</v>
      </c>
      <c r="C463" s="3" t="s">
        <v>52</v>
      </c>
      <c r="D463" s="74" t="s">
        <v>893</v>
      </c>
      <c r="E463" s="151" t="s">
        <v>894</v>
      </c>
      <c r="F463" s="151"/>
      <c r="G463" s="75">
        <v>6.3</v>
      </c>
      <c r="H463" s="33" t="s">
        <v>52</v>
      </c>
    </row>
    <row r="464" spans="1:8" x14ac:dyDescent="0.25">
      <c r="A464" s="2" t="s">
        <v>52</v>
      </c>
      <c r="B464" s="3" t="s">
        <v>52</v>
      </c>
      <c r="C464" s="3" t="s">
        <v>52</v>
      </c>
      <c r="D464" s="74" t="s">
        <v>895</v>
      </c>
      <c r="E464" s="151" t="s">
        <v>896</v>
      </c>
      <c r="F464" s="151"/>
      <c r="G464" s="75">
        <v>0.84</v>
      </c>
      <c r="H464" s="33" t="s">
        <v>52</v>
      </c>
    </row>
    <row r="465" spans="1:8" x14ac:dyDescent="0.25">
      <c r="A465" s="2" t="s">
        <v>52</v>
      </c>
      <c r="B465" s="3" t="s">
        <v>52</v>
      </c>
      <c r="C465" s="3" t="s">
        <v>52</v>
      </c>
      <c r="D465" s="74" t="s">
        <v>897</v>
      </c>
      <c r="E465" s="151" t="s">
        <v>898</v>
      </c>
      <c r="F465" s="151"/>
      <c r="G465" s="75">
        <v>3.36</v>
      </c>
      <c r="H465" s="33" t="s">
        <v>52</v>
      </c>
    </row>
    <row r="466" spans="1:8" x14ac:dyDescent="0.25">
      <c r="A466" s="39" t="s">
        <v>902</v>
      </c>
      <c r="B466" s="40" t="s">
        <v>66</v>
      </c>
      <c r="C466" s="40" t="s">
        <v>240</v>
      </c>
      <c r="D466" s="136" t="s">
        <v>903</v>
      </c>
      <c r="E466" s="136"/>
      <c r="F466" s="40" t="s">
        <v>81</v>
      </c>
      <c r="G466" s="42">
        <v>4</v>
      </c>
      <c r="H466" s="76">
        <v>0</v>
      </c>
    </row>
    <row r="467" spans="1:8" x14ac:dyDescent="0.25">
      <c r="A467" s="39" t="s">
        <v>52</v>
      </c>
      <c r="B467" s="40" t="s">
        <v>52</v>
      </c>
      <c r="C467" s="40" t="s">
        <v>52</v>
      </c>
      <c r="D467" s="74" t="s">
        <v>904</v>
      </c>
      <c r="E467" s="151" t="s">
        <v>52</v>
      </c>
      <c r="F467" s="151"/>
      <c r="G467" s="77">
        <v>4</v>
      </c>
      <c r="H467" s="44" t="s">
        <v>52</v>
      </c>
    </row>
    <row r="468" spans="1:8" x14ac:dyDescent="0.25">
      <c r="A468" s="39" t="s">
        <v>905</v>
      </c>
      <c r="B468" s="40" t="s">
        <v>66</v>
      </c>
      <c r="C468" s="40" t="s">
        <v>240</v>
      </c>
      <c r="D468" s="136" t="s">
        <v>906</v>
      </c>
      <c r="E468" s="136"/>
      <c r="F468" s="40" t="s">
        <v>81</v>
      </c>
      <c r="G468" s="42">
        <v>3</v>
      </c>
      <c r="H468" s="76">
        <v>0</v>
      </c>
    </row>
    <row r="469" spans="1:8" x14ac:dyDescent="0.25">
      <c r="A469" s="39" t="s">
        <v>907</v>
      </c>
      <c r="B469" s="40" t="s">
        <v>66</v>
      </c>
      <c r="C469" s="40" t="s">
        <v>908</v>
      </c>
      <c r="D469" s="136" t="s">
        <v>909</v>
      </c>
      <c r="E469" s="136"/>
      <c r="F469" s="40" t="s">
        <v>81</v>
      </c>
      <c r="G469" s="42">
        <v>1</v>
      </c>
      <c r="H469" s="76">
        <v>0</v>
      </c>
    </row>
    <row r="470" spans="1:8" x14ac:dyDescent="0.25">
      <c r="A470" s="39" t="s">
        <v>910</v>
      </c>
      <c r="B470" s="40" t="s">
        <v>66</v>
      </c>
      <c r="C470" s="40" t="s">
        <v>911</v>
      </c>
      <c r="D470" s="136" t="s">
        <v>912</v>
      </c>
      <c r="E470" s="136"/>
      <c r="F470" s="40" t="s">
        <v>81</v>
      </c>
      <c r="G470" s="42">
        <v>1</v>
      </c>
      <c r="H470" s="76">
        <v>0</v>
      </c>
    </row>
    <row r="471" spans="1:8" x14ac:dyDescent="0.25">
      <c r="A471" s="39" t="s">
        <v>913</v>
      </c>
      <c r="B471" s="40" t="s">
        <v>66</v>
      </c>
      <c r="C471" s="40" t="s">
        <v>914</v>
      </c>
      <c r="D471" s="136" t="s">
        <v>915</v>
      </c>
      <c r="E471" s="136"/>
      <c r="F471" s="40" t="s">
        <v>81</v>
      </c>
      <c r="G471" s="42">
        <v>1</v>
      </c>
      <c r="H471" s="76">
        <v>0</v>
      </c>
    </row>
    <row r="472" spans="1:8" x14ac:dyDescent="0.25">
      <c r="A472" s="2" t="s">
        <v>916</v>
      </c>
      <c r="B472" s="3" t="s">
        <v>66</v>
      </c>
      <c r="C472" s="3" t="s">
        <v>917</v>
      </c>
      <c r="D472" s="107" t="s">
        <v>918</v>
      </c>
      <c r="E472" s="107"/>
      <c r="F472" s="3" t="s">
        <v>81</v>
      </c>
      <c r="G472" s="31">
        <v>8</v>
      </c>
      <c r="H472" s="73">
        <v>0</v>
      </c>
    </row>
    <row r="473" spans="1:8" x14ac:dyDescent="0.25">
      <c r="A473" s="2" t="s">
        <v>52</v>
      </c>
      <c r="B473" s="3" t="s">
        <v>52</v>
      </c>
      <c r="C473" s="3" t="s">
        <v>52</v>
      </c>
      <c r="D473" s="74" t="s">
        <v>826</v>
      </c>
      <c r="E473" s="151" t="s">
        <v>919</v>
      </c>
      <c r="F473" s="151"/>
      <c r="G473" s="75">
        <v>8</v>
      </c>
      <c r="H473" s="33" t="s">
        <v>52</v>
      </c>
    </row>
    <row r="474" spans="1:8" x14ac:dyDescent="0.25">
      <c r="A474" s="2" t="s">
        <v>920</v>
      </c>
      <c r="B474" s="3" t="s">
        <v>66</v>
      </c>
      <c r="C474" s="3" t="s">
        <v>921</v>
      </c>
      <c r="D474" s="107" t="s">
        <v>922</v>
      </c>
      <c r="E474" s="107"/>
      <c r="F474" s="3" t="s">
        <v>81</v>
      </c>
      <c r="G474" s="31">
        <v>3</v>
      </c>
      <c r="H474" s="73">
        <v>0</v>
      </c>
    </row>
    <row r="475" spans="1:8" x14ac:dyDescent="0.25">
      <c r="A475" s="2" t="s">
        <v>52</v>
      </c>
      <c r="B475" s="3" t="s">
        <v>52</v>
      </c>
      <c r="C475" s="3" t="s">
        <v>52</v>
      </c>
      <c r="D475" s="74" t="s">
        <v>73</v>
      </c>
      <c r="E475" s="151" t="s">
        <v>923</v>
      </c>
      <c r="F475" s="151"/>
      <c r="G475" s="75">
        <v>3</v>
      </c>
      <c r="H475" s="33" t="s">
        <v>52</v>
      </c>
    </row>
    <row r="476" spans="1:8" x14ac:dyDescent="0.25">
      <c r="A476" s="2" t="s">
        <v>924</v>
      </c>
      <c r="B476" s="3" t="s">
        <v>66</v>
      </c>
      <c r="C476" s="3" t="s">
        <v>925</v>
      </c>
      <c r="D476" s="107" t="s">
        <v>926</v>
      </c>
      <c r="E476" s="107"/>
      <c r="F476" s="3" t="s">
        <v>81</v>
      </c>
      <c r="G476" s="31">
        <v>3</v>
      </c>
      <c r="H476" s="73">
        <v>0</v>
      </c>
    </row>
    <row r="477" spans="1:8" x14ac:dyDescent="0.25">
      <c r="A477" s="2" t="s">
        <v>52</v>
      </c>
      <c r="B477" s="3" t="s">
        <v>52</v>
      </c>
      <c r="C477" s="3" t="s">
        <v>52</v>
      </c>
      <c r="D477" s="74" t="s">
        <v>73</v>
      </c>
      <c r="E477" s="151" t="s">
        <v>927</v>
      </c>
      <c r="F477" s="151"/>
      <c r="G477" s="75">
        <v>3</v>
      </c>
      <c r="H477" s="33" t="s">
        <v>52</v>
      </c>
    </row>
    <row r="478" spans="1:8" x14ac:dyDescent="0.25">
      <c r="A478" s="2" t="s">
        <v>928</v>
      </c>
      <c r="B478" s="3" t="s">
        <v>66</v>
      </c>
      <c r="C478" s="3" t="s">
        <v>240</v>
      </c>
      <c r="D478" s="107" t="s">
        <v>929</v>
      </c>
      <c r="E478" s="107"/>
      <c r="F478" s="3" t="s">
        <v>81</v>
      </c>
      <c r="G478" s="31">
        <v>2</v>
      </c>
      <c r="H478" s="73">
        <v>0</v>
      </c>
    </row>
    <row r="479" spans="1:8" x14ac:dyDescent="0.25">
      <c r="A479" s="2" t="s">
        <v>52</v>
      </c>
      <c r="B479" s="3" t="s">
        <v>52</v>
      </c>
      <c r="C479" s="3" t="s">
        <v>52</v>
      </c>
      <c r="D479" s="74" t="s">
        <v>56</v>
      </c>
      <c r="E479" s="151" t="s">
        <v>930</v>
      </c>
      <c r="F479" s="151"/>
      <c r="G479" s="75">
        <v>1</v>
      </c>
      <c r="H479" s="33" t="s">
        <v>52</v>
      </c>
    </row>
    <row r="480" spans="1:8" x14ac:dyDescent="0.25">
      <c r="A480" s="2" t="s">
        <v>52</v>
      </c>
      <c r="B480" s="3" t="s">
        <v>52</v>
      </c>
      <c r="C480" s="3" t="s">
        <v>52</v>
      </c>
      <c r="D480" s="74" t="s">
        <v>56</v>
      </c>
      <c r="E480" s="151" t="s">
        <v>931</v>
      </c>
      <c r="F480" s="151"/>
      <c r="G480" s="75">
        <v>1</v>
      </c>
      <c r="H480" s="33" t="s">
        <v>52</v>
      </c>
    </row>
    <row r="481" spans="1:8" x14ac:dyDescent="0.25">
      <c r="A481" s="2" t="s">
        <v>932</v>
      </c>
      <c r="B481" s="3" t="s">
        <v>66</v>
      </c>
      <c r="C481" s="3" t="s">
        <v>240</v>
      </c>
      <c r="D481" s="107" t="s">
        <v>933</v>
      </c>
      <c r="E481" s="107"/>
      <c r="F481" s="3" t="s">
        <v>81</v>
      </c>
      <c r="G481" s="31">
        <v>4</v>
      </c>
      <c r="H481" s="73">
        <v>0</v>
      </c>
    </row>
    <row r="482" spans="1:8" x14ac:dyDescent="0.25">
      <c r="A482" s="2" t="s">
        <v>52</v>
      </c>
      <c r="B482" s="3" t="s">
        <v>52</v>
      </c>
      <c r="C482" s="3" t="s">
        <v>52</v>
      </c>
      <c r="D482" s="74" t="s">
        <v>56</v>
      </c>
      <c r="E482" s="151" t="s">
        <v>934</v>
      </c>
      <c r="F482" s="151"/>
      <c r="G482" s="75">
        <v>1</v>
      </c>
      <c r="H482" s="33" t="s">
        <v>52</v>
      </c>
    </row>
    <row r="483" spans="1:8" x14ac:dyDescent="0.25">
      <c r="A483" s="2" t="s">
        <v>52</v>
      </c>
      <c r="B483" s="3" t="s">
        <v>52</v>
      </c>
      <c r="C483" s="3" t="s">
        <v>52</v>
      </c>
      <c r="D483" s="74" t="s">
        <v>935</v>
      </c>
      <c r="E483" s="151" t="s">
        <v>936</v>
      </c>
      <c r="F483" s="151"/>
      <c r="G483" s="75">
        <v>3</v>
      </c>
      <c r="H483" s="33" t="s">
        <v>52</v>
      </c>
    </row>
    <row r="484" spans="1:8" x14ac:dyDescent="0.25">
      <c r="A484" s="39" t="s">
        <v>937</v>
      </c>
      <c r="B484" s="40" t="s">
        <v>66</v>
      </c>
      <c r="C484" s="40" t="s">
        <v>240</v>
      </c>
      <c r="D484" s="136" t="s">
        <v>938</v>
      </c>
      <c r="E484" s="136"/>
      <c r="F484" s="40" t="s">
        <v>81</v>
      </c>
      <c r="G484" s="42">
        <v>2</v>
      </c>
      <c r="H484" s="76">
        <v>0</v>
      </c>
    </row>
    <row r="485" spans="1:8" x14ac:dyDescent="0.25">
      <c r="A485" s="39" t="s">
        <v>52</v>
      </c>
      <c r="B485" s="40" t="s">
        <v>52</v>
      </c>
      <c r="C485" s="40" t="s">
        <v>52</v>
      </c>
      <c r="D485" s="74" t="s">
        <v>66</v>
      </c>
      <c r="E485" s="151" t="s">
        <v>939</v>
      </c>
      <c r="F485" s="151"/>
      <c r="G485" s="77">
        <v>2</v>
      </c>
      <c r="H485" s="44" t="s">
        <v>52</v>
      </c>
    </row>
    <row r="486" spans="1:8" x14ac:dyDescent="0.25">
      <c r="A486" s="39" t="s">
        <v>940</v>
      </c>
      <c r="B486" s="40" t="s">
        <v>66</v>
      </c>
      <c r="C486" s="40" t="s">
        <v>240</v>
      </c>
      <c r="D486" s="136" t="s">
        <v>941</v>
      </c>
      <c r="E486" s="136"/>
      <c r="F486" s="40" t="s">
        <v>81</v>
      </c>
      <c r="G486" s="42">
        <v>4</v>
      </c>
      <c r="H486" s="76">
        <v>0</v>
      </c>
    </row>
    <row r="487" spans="1:8" x14ac:dyDescent="0.25">
      <c r="A487" s="39" t="s">
        <v>52</v>
      </c>
      <c r="B487" s="40" t="s">
        <v>52</v>
      </c>
      <c r="C487" s="40" t="s">
        <v>52</v>
      </c>
      <c r="D487" s="74" t="s">
        <v>935</v>
      </c>
      <c r="E487" s="151" t="s">
        <v>936</v>
      </c>
      <c r="F487" s="151"/>
      <c r="G487" s="77">
        <v>3</v>
      </c>
      <c r="H487" s="44" t="s">
        <v>52</v>
      </c>
    </row>
    <row r="488" spans="1:8" x14ac:dyDescent="0.25">
      <c r="A488" s="39" t="s">
        <v>52</v>
      </c>
      <c r="B488" s="40" t="s">
        <v>52</v>
      </c>
      <c r="C488" s="40" t="s">
        <v>52</v>
      </c>
      <c r="D488" s="74" t="s">
        <v>56</v>
      </c>
      <c r="E488" s="151" t="s">
        <v>889</v>
      </c>
      <c r="F488" s="151"/>
      <c r="G488" s="77">
        <v>1</v>
      </c>
      <c r="H488" s="44" t="s">
        <v>52</v>
      </c>
    </row>
    <row r="489" spans="1:8" x14ac:dyDescent="0.25">
      <c r="A489" s="2" t="s">
        <v>942</v>
      </c>
      <c r="B489" s="3" t="s">
        <v>66</v>
      </c>
      <c r="C489" s="3" t="s">
        <v>943</v>
      </c>
      <c r="D489" s="107" t="s">
        <v>944</v>
      </c>
      <c r="E489" s="107"/>
      <c r="F489" s="3" t="s">
        <v>81</v>
      </c>
      <c r="G489" s="31">
        <v>4</v>
      </c>
      <c r="H489" s="73">
        <v>0</v>
      </c>
    </row>
    <row r="490" spans="1:8" x14ac:dyDescent="0.25">
      <c r="A490" s="2" t="s">
        <v>52</v>
      </c>
      <c r="B490" s="3" t="s">
        <v>52</v>
      </c>
      <c r="C490" s="3" t="s">
        <v>52</v>
      </c>
      <c r="D490" s="74" t="s">
        <v>904</v>
      </c>
      <c r="E490" s="151" t="s">
        <v>945</v>
      </c>
      <c r="F490" s="151"/>
      <c r="G490" s="75">
        <v>4</v>
      </c>
      <c r="H490" s="33" t="s">
        <v>52</v>
      </c>
    </row>
    <row r="491" spans="1:8" x14ac:dyDescent="0.25">
      <c r="A491" s="2" t="s">
        <v>946</v>
      </c>
      <c r="B491" s="3" t="s">
        <v>66</v>
      </c>
      <c r="C491" s="3" t="s">
        <v>947</v>
      </c>
      <c r="D491" s="107" t="s">
        <v>948</v>
      </c>
      <c r="E491" s="107"/>
      <c r="F491" s="3" t="s">
        <v>276</v>
      </c>
      <c r="G491" s="31">
        <v>0.14760000000000001</v>
      </c>
      <c r="H491" s="73">
        <v>0</v>
      </c>
    </row>
    <row r="492" spans="1:8" x14ac:dyDescent="0.25">
      <c r="A492" s="2" t="s">
        <v>52</v>
      </c>
      <c r="B492" s="3" t="s">
        <v>52</v>
      </c>
      <c r="C492" s="3" t="s">
        <v>52</v>
      </c>
      <c r="D492" s="74" t="s">
        <v>949</v>
      </c>
      <c r="E492" s="151" t="s">
        <v>950</v>
      </c>
      <c r="F492" s="151"/>
      <c r="G492" s="75">
        <v>7.2800000000000004E-2</v>
      </c>
      <c r="H492" s="33" t="s">
        <v>52</v>
      </c>
    </row>
    <row r="493" spans="1:8" x14ac:dyDescent="0.25">
      <c r="A493" s="2" t="s">
        <v>52</v>
      </c>
      <c r="B493" s="3" t="s">
        <v>52</v>
      </c>
      <c r="C493" s="3" t="s">
        <v>52</v>
      </c>
      <c r="D493" s="74" t="s">
        <v>951</v>
      </c>
      <c r="E493" s="151" t="s">
        <v>952</v>
      </c>
      <c r="F493" s="151"/>
      <c r="G493" s="75">
        <v>7.4800000000000005E-2</v>
      </c>
      <c r="H493" s="33" t="s">
        <v>52</v>
      </c>
    </row>
    <row r="494" spans="1:8" x14ac:dyDescent="0.25">
      <c r="A494" s="2" t="s">
        <v>953</v>
      </c>
      <c r="B494" s="3" t="s">
        <v>66</v>
      </c>
      <c r="C494" s="3" t="s">
        <v>954</v>
      </c>
      <c r="D494" s="107" t="s">
        <v>955</v>
      </c>
      <c r="E494" s="107"/>
      <c r="F494" s="3" t="s">
        <v>276</v>
      </c>
      <c r="G494" s="31">
        <v>0.34898000000000001</v>
      </c>
      <c r="H494" s="73">
        <v>0</v>
      </c>
    </row>
    <row r="495" spans="1:8" x14ac:dyDescent="0.25">
      <c r="A495" s="72" t="s">
        <v>52</v>
      </c>
      <c r="B495" s="27" t="s">
        <v>66</v>
      </c>
      <c r="C495" s="27" t="s">
        <v>344</v>
      </c>
      <c r="D495" s="134" t="s">
        <v>345</v>
      </c>
      <c r="E495" s="134"/>
      <c r="F495" s="27" t="s">
        <v>52</v>
      </c>
      <c r="G495" s="11" t="s">
        <v>52</v>
      </c>
      <c r="H495" s="30" t="s">
        <v>52</v>
      </c>
    </row>
    <row r="496" spans="1:8" x14ac:dyDescent="0.25">
      <c r="A496" s="2" t="s">
        <v>956</v>
      </c>
      <c r="B496" s="3" t="s">
        <v>66</v>
      </c>
      <c r="C496" s="3" t="s">
        <v>957</v>
      </c>
      <c r="D496" s="107" t="s">
        <v>958</v>
      </c>
      <c r="E496" s="107"/>
      <c r="F496" s="3" t="s">
        <v>959</v>
      </c>
      <c r="G496" s="31">
        <v>10</v>
      </c>
      <c r="H496" s="73">
        <v>0</v>
      </c>
    </row>
    <row r="497" spans="1:8" x14ac:dyDescent="0.25">
      <c r="A497" s="2" t="s">
        <v>52</v>
      </c>
      <c r="B497" s="3" t="s">
        <v>52</v>
      </c>
      <c r="C497" s="3" t="s">
        <v>52</v>
      </c>
      <c r="D497" s="74" t="s">
        <v>962</v>
      </c>
      <c r="E497" s="151" t="s">
        <v>963</v>
      </c>
      <c r="F497" s="151"/>
      <c r="G497" s="75">
        <v>10</v>
      </c>
      <c r="H497" s="33" t="s">
        <v>52</v>
      </c>
    </row>
    <row r="498" spans="1:8" x14ac:dyDescent="0.25">
      <c r="A498" s="2" t="s">
        <v>964</v>
      </c>
      <c r="B498" s="3" t="s">
        <v>66</v>
      </c>
      <c r="C498" s="3" t="s">
        <v>416</v>
      </c>
      <c r="D498" s="107" t="s">
        <v>417</v>
      </c>
      <c r="E498" s="107"/>
      <c r="F498" s="3" t="s">
        <v>276</v>
      </c>
      <c r="G498" s="31">
        <v>3.5000000000000001E-3</v>
      </c>
      <c r="H498" s="73">
        <v>0</v>
      </c>
    </row>
    <row r="499" spans="1:8" x14ac:dyDescent="0.25">
      <c r="A499" s="72" t="s">
        <v>52</v>
      </c>
      <c r="B499" s="27" t="s">
        <v>66</v>
      </c>
      <c r="C499" s="27" t="s">
        <v>603</v>
      </c>
      <c r="D499" s="134" t="s">
        <v>604</v>
      </c>
      <c r="E499" s="134"/>
      <c r="F499" s="27" t="s">
        <v>52</v>
      </c>
      <c r="G499" s="11" t="s">
        <v>52</v>
      </c>
      <c r="H499" s="30" t="s">
        <v>52</v>
      </c>
    </row>
    <row r="500" spans="1:8" x14ac:dyDescent="0.25">
      <c r="A500" s="2" t="s">
        <v>965</v>
      </c>
      <c r="B500" s="3" t="s">
        <v>66</v>
      </c>
      <c r="C500" s="3" t="s">
        <v>606</v>
      </c>
      <c r="D500" s="107" t="s">
        <v>607</v>
      </c>
      <c r="E500" s="107"/>
      <c r="F500" s="3" t="s">
        <v>59</v>
      </c>
      <c r="G500" s="31">
        <v>2.33</v>
      </c>
      <c r="H500" s="73">
        <v>0</v>
      </c>
    </row>
    <row r="501" spans="1:8" x14ac:dyDescent="0.25">
      <c r="A501" s="2" t="s">
        <v>52</v>
      </c>
      <c r="B501" s="3" t="s">
        <v>52</v>
      </c>
      <c r="C501" s="3" t="s">
        <v>52</v>
      </c>
      <c r="D501" s="74" t="s">
        <v>873</v>
      </c>
      <c r="E501" s="151" t="s">
        <v>874</v>
      </c>
      <c r="F501" s="151"/>
      <c r="G501" s="75">
        <v>1.53</v>
      </c>
      <c r="H501" s="33" t="s">
        <v>52</v>
      </c>
    </row>
    <row r="502" spans="1:8" x14ac:dyDescent="0.25">
      <c r="A502" s="2" t="s">
        <v>52</v>
      </c>
      <c r="B502" s="3" t="s">
        <v>52</v>
      </c>
      <c r="C502" s="3" t="s">
        <v>52</v>
      </c>
      <c r="D502" s="74" t="s">
        <v>967</v>
      </c>
      <c r="E502" s="151" t="s">
        <v>968</v>
      </c>
      <c r="F502" s="151"/>
      <c r="G502" s="75">
        <v>0.8</v>
      </c>
      <c r="H502" s="33" t="s">
        <v>52</v>
      </c>
    </row>
    <row r="503" spans="1:8" x14ac:dyDescent="0.25">
      <c r="A503" s="2" t="s">
        <v>969</v>
      </c>
      <c r="B503" s="3" t="s">
        <v>66</v>
      </c>
      <c r="C503" s="3" t="s">
        <v>970</v>
      </c>
      <c r="D503" s="107" t="s">
        <v>971</v>
      </c>
      <c r="E503" s="107"/>
      <c r="F503" s="3" t="s">
        <v>59</v>
      </c>
      <c r="G503" s="31">
        <v>1.53</v>
      </c>
      <c r="H503" s="73">
        <v>0</v>
      </c>
    </row>
    <row r="504" spans="1:8" x14ac:dyDescent="0.25">
      <c r="A504" s="2" t="s">
        <v>52</v>
      </c>
      <c r="B504" s="3" t="s">
        <v>52</v>
      </c>
      <c r="C504" s="3" t="s">
        <v>52</v>
      </c>
      <c r="D504" s="74" t="s">
        <v>873</v>
      </c>
      <c r="E504" s="151" t="s">
        <v>874</v>
      </c>
      <c r="F504" s="151"/>
      <c r="G504" s="75">
        <v>1.53</v>
      </c>
      <c r="H504" s="33" t="s">
        <v>52</v>
      </c>
    </row>
    <row r="505" spans="1:8" x14ac:dyDescent="0.25">
      <c r="A505" s="2" t="s">
        <v>972</v>
      </c>
      <c r="B505" s="3" t="s">
        <v>66</v>
      </c>
      <c r="C505" s="3" t="s">
        <v>973</v>
      </c>
      <c r="D505" s="107" t="s">
        <v>974</v>
      </c>
      <c r="E505" s="107"/>
      <c r="F505" s="3" t="s">
        <v>215</v>
      </c>
      <c r="G505" s="31">
        <v>0.8</v>
      </c>
      <c r="H505" s="73">
        <v>0</v>
      </c>
    </row>
    <row r="506" spans="1:8" x14ac:dyDescent="0.25">
      <c r="A506" s="2" t="s">
        <v>52</v>
      </c>
      <c r="B506" s="3" t="s">
        <v>52</v>
      </c>
      <c r="C506" s="3" t="s">
        <v>52</v>
      </c>
      <c r="D506" s="74" t="s">
        <v>967</v>
      </c>
      <c r="E506" s="151" t="s">
        <v>968</v>
      </c>
      <c r="F506" s="151"/>
      <c r="G506" s="75">
        <v>0.8</v>
      </c>
      <c r="H506" s="33" t="s">
        <v>52</v>
      </c>
    </row>
    <row r="507" spans="1:8" x14ac:dyDescent="0.25">
      <c r="A507" s="72" t="s">
        <v>52</v>
      </c>
      <c r="B507" s="27" t="s">
        <v>66</v>
      </c>
      <c r="C507" s="27" t="s">
        <v>605</v>
      </c>
      <c r="D507" s="134" t="s">
        <v>688</v>
      </c>
      <c r="E507" s="134"/>
      <c r="F507" s="27" t="s">
        <v>52</v>
      </c>
      <c r="G507" s="11" t="s">
        <v>52</v>
      </c>
      <c r="H507" s="30" t="s">
        <v>52</v>
      </c>
    </row>
    <row r="508" spans="1:8" x14ac:dyDescent="0.25">
      <c r="A508" s="2" t="s">
        <v>975</v>
      </c>
      <c r="B508" s="3" t="s">
        <v>66</v>
      </c>
      <c r="C508" s="3" t="s">
        <v>976</v>
      </c>
      <c r="D508" s="107" t="s">
        <v>977</v>
      </c>
      <c r="E508" s="107"/>
      <c r="F508" s="3" t="s">
        <v>59</v>
      </c>
      <c r="G508" s="31">
        <v>4.5</v>
      </c>
      <c r="H508" s="73">
        <v>0</v>
      </c>
    </row>
    <row r="509" spans="1:8" x14ac:dyDescent="0.25">
      <c r="A509" s="2" t="s">
        <v>52</v>
      </c>
      <c r="B509" s="3" t="s">
        <v>52</v>
      </c>
      <c r="C509" s="3" t="s">
        <v>52</v>
      </c>
      <c r="D509" s="74" t="s">
        <v>979</v>
      </c>
      <c r="E509" s="151" t="s">
        <v>52</v>
      </c>
      <c r="F509" s="151"/>
      <c r="G509" s="75">
        <v>4.5</v>
      </c>
      <c r="H509" s="33" t="s">
        <v>52</v>
      </c>
    </row>
    <row r="510" spans="1:8" x14ac:dyDescent="0.25">
      <c r="A510" s="72" t="s">
        <v>52</v>
      </c>
      <c r="B510" s="27" t="s">
        <v>66</v>
      </c>
      <c r="C510" s="27" t="s">
        <v>771</v>
      </c>
      <c r="D510" s="134" t="s">
        <v>772</v>
      </c>
      <c r="E510" s="134"/>
      <c r="F510" s="27" t="s">
        <v>52</v>
      </c>
      <c r="G510" s="11" t="s">
        <v>52</v>
      </c>
      <c r="H510" s="30" t="s">
        <v>52</v>
      </c>
    </row>
    <row r="511" spans="1:8" x14ac:dyDescent="0.25">
      <c r="A511" s="2" t="s">
        <v>980</v>
      </c>
      <c r="B511" s="3" t="s">
        <v>66</v>
      </c>
      <c r="C511" s="3" t="s">
        <v>774</v>
      </c>
      <c r="D511" s="107" t="s">
        <v>775</v>
      </c>
      <c r="E511" s="107"/>
      <c r="F511" s="3" t="s">
        <v>276</v>
      </c>
      <c r="G511" s="31">
        <v>9.7000000000000005E-4</v>
      </c>
      <c r="H511" s="73">
        <v>0</v>
      </c>
    </row>
    <row r="512" spans="1:8" x14ac:dyDescent="0.25">
      <c r="A512" s="72" t="s">
        <v>52</v>
      </c>
      <c r="B512" s="27" t="s">
        <v>66</v>
      </c>
      <c r="C512" s="27" t="s">
        <v>981</v>
      </c>
      <c r="D512" s="134" t="s">
        <v>982</v>
      </c>
      <c r="E512" s="134"/>
      <c r="F512" s="27" t="s">
        <v>52</v>
      </c>
      <c r="G512" s="11" t="s">
        <v>52</v>
      </c>
      <c r="H512" s="30" t="s">
        <v>52</v>
      </c>
    </row>
    <row r="513" spans="1:8" x14ac:dyDescent="0.25">
      <c r="A513" s="2" t="s">
        <v>983</v>
      </c>
      <c r="B513" s="3" t="s">
        <v>66</v>
      </c>
      <c r="C513" s="3" t="s">
        <v>984</v>
      </c>
      <c r="D513" s="107" t="s">
        <v>985</v>
      </c>
      <c r="E513" s="107"/>
      <c r="F513" s="3" t="s">
        <v>81</v>
      </c>
      <c r="G513" s="31">
        <v>2</v>
      </c>
      <c r="H513" s="73">
        <v>0</v>
      </c>
    </row>
    <row r="514" spans="1:8" x14ac:dyDescent="0.25">
      <c r="A514" s="72" t="s">
        <v>52</v>
      </c>
      <c r="B514" s="27" t="s">
        <v>66</v>
      </c>
      <c r="C514" s="27" t="s">
        <v>777</v>
      </c>
      <c r="D514" s="134" t="s">
        <v>778</v>
      </c>
      <c r="E514" s="134"/>
      <c r="F514" s="27" t="s">
        <v>52</v>
      </c>
      <c r="G514" s="11" t="s">
        <v>52</v>
      </c>
      <c r="H514" s="30" t="s">
        <v>52</v>
      </c>
    </row>
    <row r="515" spans="1:8" x14ac:dyDescent="0.25">
      <c r="A515" s="2" t="s">
        <v>987</v>
      </c>
      <c r="B515" s="3" t="s">
        <v>66</v>
      </c>
      <c r="C515" s="3" t="s">
        <v>780</v>
      </c>
      <c r="D515" s="107" t="s">
        <v>781</v>
      </c>
      <c r="E515" s="107"/>
      <c r="F515" s="3" t="s">
        <v>276</v>
      </c>
      <c r="G515" s="31">
        <v>0.12035999999999999</v>
      </c>
      <c r="H515" s="73">
        <v>0</v>
      </c>
    </row>
    <row r="516" spans="1:8" x14ac:dyDescent="0.25">
      <c r="A516" s="2" t="s">
        <v>988</v>
      </c>
      <c r="B516" s="3" t="s">
        <v>66</v>
      </c>
      <c r="C516" s="3" t="s">
        <v>784</v>
      </c>
      <c r="D516" s="107" t="s">
        <v>785</v>
      </c>
      <c r="E516" s="107"/>
      <c r="F516" s="3" t="s">
        <v>276</v>
      </c>
      <c r="G516" s="31">
        <v>1.8053999999999999</v>
      </c>
      <c r="H516" s="73">
        <v>0</v>
      </c>
    </row>
    <row r="517" spans="1:8" x14ac:dyDescent="0.25">
      <c r="A517" s="2" t="s">
        <v>52</v>
      </c>
      <c r="B517" s="3" t="s">
        <v>52</v>
      </c>
      <c r="C517" s="3" t="s">
        <v>52</v>
      </c>
      <c r="D517" s="74" t="s">
        <v>989</v>
      </c>
      <c r="E517" s="151" t="s">
        <v>52</v>
      </c>
      <c r="F517" s="151"/>
      <c r="G517" s="75">
        <v>1.8053999999999999</v>
      </c>
      <c r="H517" s="33" t="s">
        <v>52</v>
      </c>
    </row>
    <row r="518" spans="1:8" x14ac:dyDescent="0.25">
      <c r="A518" s="2" t="s">
        <v>990</v>
      </c>
      <c r="B518" s="3" t="s">
        <v>66</v>
      </c>
      <c r="C518" s="3" t="s">
        <v>788</v>
      </c>
      <c r="D518" s="107" t="s">
        <v>789</v>
      </c>
      <c r="E518" s="107"/>
      <c r="F518" s="3" t="s">
        <v>276</v>
      </c>
      <c r="G518" s="31">
        <v>0.12035999999999999</v>
      </c>
      <c r="H518" s="73">
        <v>0</v>
      </c>
    </row>
    <row r="519" spans="1:8" x14ac:dyDescent="0.25">
      <c r="A519" s="2" t="s">
        <v>991</v>
      </c>
      <c r="B519" s="3" t="s">
        <v>66</v>
      </c>
      <c r="C519" s="3" t="s">
        <v>791</v>
      </c>
      <c r="D519" s="107" t="s">
        <v>792</v>
      </c>
      <c r="E519" s="107"/>
      <c r="F519" s="3" t="s">
        <v>276</v>
      </c>
      <c r="G519" s="31">
        <v>0.12035999999999999</v>
      </c>
      <c r="H519" s="73">
        <v>0</v>
      </c>
    </row>
    <row r="520" spans="1:8" x14ac:dyDescent="0.25">
      <c r="A520" s="2" t="s">
        <v>992</v>
      </c>
      <c r="B520" s="3" t="s">
        <v>66</v>
      </c>
      <c r="C520" s="3" t="s">
        <v>794</v>
      </c>
      <c r="D520" s="107" t="s">
        <v>795</v>
      </c>
      <c r="E520" s="107"/>
      <c r="F520" s="3" t="s">
        <v>276</v>
      </c>
      <c r="G520" s="31">
        <v>0.12035999999999999</v>
      </c>
      <c r="H520" s="73">
        <v>0</v>
      </c>
    </row>
    <row r="521" spans="1:8" x14ac:dyDescent="0.25">
      <c r="A521" s="2" t="s">
        <v>993</v>
      </c>
      <c r="B521" s="3" t="s">
        <v>66</v>
      </c>
      <c r="C521" s="3" t="s">
        <v>797</v>
      </c>
      <c r="D521" s="107" t="s">
        <v>798</v>
      </c>
      <c r="E521" s="107"/>
      <c r="F521" s="3" t="s">
        <v>276</v>
      </c>
      <c r="G521" s="31">
        <v>0.12035999999999999</v>
      </c>
      <c r="H521" s="73">
        <v>0</v>
      </c>
    </row>
    <row r="522" spans="1:8" x14ac:dyDescent="0.25">
      <c r="A522" s="78" t="s">
        <v>52</v>
      </c>
      <c r="B522" s="47" t="s">
        <v>73</v>
      </c>
      <c r="C522" s="47" t="s">
        <v>52</v>
      </c>
      <c r="D522" s="142" t="s">
        <v>994</v>
      </c>
      <c r="E522" s="142"/>
      <c r="F522" s="47" t="s">
        <v>52</v>
      </c>
      <c r="G522" s="79" t="s">
        <v>52</v>
      </c>
      <c r="H522" s="50" t="s">
        <v>52</v>
      </c>
    </row>
    <row r="523" spans="1:8" x14ac:dyDescent="0.25">
      <c r="A523" s="72" t="s">
        <v>52</v>
      </c>
      <c r="B523" s="27" t="s">
        <v>73</v>
      </c>
      <c r="C523" s="27" t="s">
        <v>995</v>
      </c>
      <c r="D523" s="134" t="s">
        <v>996</v>
      </c>
      <c r="E523" s="134"/>
      <c r="F523" s="27" t="s">
        <v>52</v>
      </c>
      <c r="G523" s="11" t="s">
        <v>52</v>
      </c>
      <c r="H523" s="30" t="s">
        <v>52</v>
      </c>
    </row>
    <row r="524" spans="1:8" x14ac:dyDescent="0.25">
      <c r="A524" s="2" t="s">
        <v>997</v>
      </c>
      <c r="B524" s="3" t="s">
        <v>73</v>
      </c>
      <c r="C524" s="3" t="s">
        <v>998</v>
      </c>
      <c r="D524" s="107" t="s">
        <v>999</v>
      </c>
      <c r="E524" s="107"/>
      <c r="F524" s="3" t="s">
        <v>215</v>
      </c>
      <c r="G524" s="31">
        <v>1.1000000000000001</v>
      </c>
      <c r="H524" s="73">
        <v>0</v>
      </c>
    </row>
    <row r="525" spans="1:8" x14ac:dyDescent="0.25">
      <c r="A525" s="2" t="s">
        <v>1003</v>
      </c>
      <c r="B525" s="3" t="s">
        <v>73</v>
      </c>
      <c r="C525" s="3" t="s">
        <v>1004</v>
      </c>
      <c r="D525" s="107" t="s">
        <v>1005</v>
      </c>
      <c r="E525" s="107"/>
      <c r="F525" s="3" t="s">
        <v>215</v>
      </c>
      <c r="G525" s="31">
        <v>1</v>
      </c>
      <c r="H525" s="73">
        <v>0</v>
      </c>
    </row>
    <row r="526" spans="1:8" x14ac:dyDescent="0.25">
      <c r="A526" s="2" t="s">
        <v>52</v>
      </c>
      <c r="B526" s="3" t="s">
        <v>52</v>
      </c>
      <c r="C526" s="3" t="s">
        <v>52</v>
      </c>
      <c r="D526" s="74" t="s">
        <v>1006</v>
      </c>
      <c r="E526" s="151" t="s">
        <v>1007</v>
      </c>
      <c r="F526" s="151"/>
      <c r="G526" s="75">
        <v>1</v>
      </c>
      <c r="H526" s="33" t="s">
        <v>52</v>
      </c>
    </row>
    <row r="527" spans="1:8" x14ac:dyDescent="0.25">
      <c r="A527" s="2" t="s">
        <v>1008</v>
      </c>
      <c r="B527" s="3" t="s">
        <v>73</v>
      </c>
      <c r="C527" s="3" t="s">
        <v>1009</v>
      </c>
      <c r="D527" s="107" t="s">
        <v>1010</v>
      </c>
      <c r="E527" s="107"/>
      <c r="F527" s="3" t="s">
        <v>81</v>
      </c>
      <c r="G527" s="31">
        <v>2</v>
      </c>
      <c r="H527" s="73">
        <v>0</v>
      </c>
    </row>
    <row r="528" spans="1:8" x14ac:dyDescent="0.25">
      <c r="A528" s="2" t="s">
        <v>1011</v>
      </c>
      <c r="B528" s="3" t="s">
        <v>73</v>
      </c>
      <c r="C528" s="3" t="s">
        <v>1012</v>
      </c>
      <c r="D528" s="107" t="s">
        <v>1013</v>
      </c>
      <c r="E528" s="107"/>
      <c r="F528" s="3" t="s">
        <v>81</v>
      </c>
      <c r="G528" s="31">
        <v>1</v>
      </c>
      <c r="H528" s="73">
        <v>0</v>
      </c>
    </row>
    <row r="529" spans="1:8" x14ac:dyDescent="0.25">
      <c r="A529" s="2" t="s">
        <v>1014</v>
      </c>
      <c r="B529" s="3" t="s">
        <v>73</v>
      </c>
      <c r="C529" s="3" t="s">
        <v>1015</v>
      </c>
      <c r="D529" s="107" t="s">
        <v>1016</v>
      </c>
      <c r="E529" s="107"/>
      <c r="F529" s="3" t="s">
        <v>81</v>
      </c>
      <c r="G529" s="31">
        <v>1</v>
      </c>
      <c r="H529" s="73">
        <v>0</v>
      </c>
    </row>
    <row r="530" spans="1:8" x14ac:dyDescent="0.25">
      <c r="A530" s="39" t="s">
        <v>1017</v>
      </c>
      <c r="B530" s="40" t="s">
        <v>73</v>
      </c>
      <c r="C530" s="40" t="s">
        <v>1018</v>
      </c>
      <c r="D530" s="136" t="s">
        <v>1019</v>
      </c>
      <c r="E530" s="136"/>
      <c r="F530" s="40" t="s">
        <v>81</v>
      </c>
      <c r="G530" s="42">
        <v>1</v>
      </c>
      <c r="H530" s="76">
        <v>0</v>
      </c>
    </row>
    <row r="531" spans="1:8" x14ac:dyDescent="0.25">
      <c r="A531" s="2" t="s">
        <v>1020</v>
      </c>
      <c r="B531" s="3" t="s">
        <v>73</v>
      </c>
      <c r="C531" s="3" t="s">
        <v>1021</v>
      </c>
      <c r="D531" s="107" t="s">
        <v>1022</v>
      </c>
      <c r="E531" s="107"/>
      <c r="F531" s="3" t="s">
        <v>215</v>
      </c>
      <c r="G531" s="31">
        <v>1.8</v>
      </c>
      <c r="H531" s="73">
        <v>0</v>
      </c>
    </row>
    <row r="532" spans="1:8" x14ac:dyDescent="0.25">
      <c r="A532" s="2" t="s">
        <v>1023</v>
      </c>
      <c r="B532" s="3" t="s">
        <v>73</v>
      </c>
      <c r="C532" s="3" t="s">
        <v>1024</v>
      </c>
      <c r="D532" s="107" t="s">
        <v>1025</v>
      </c>
      <c r="E532" s="107"/>
      <c r="F532" s="3" t="s">
        <v>215</v>
      </c>
      <c r="G532" s="31">
        <v>0.5</v>
      </c>
      <c r="H532" s="73">
        <v>0</v>
      </c>
    </row>
    <row r="533" spans="1:8" x14ac:dyDescent="0.25">
      <c r="A533" s="2" t="s">
        <v>1026</v>
      </c>
      <c r="B533" s="3" t="s">
        <v>73</v>
      </c>
      <c r="C533" s="3" t="s">
        <v>1027</v>
      </c>
      <c r="D533" s="107" t="s">
        <v>1028</v>
      </c>
      <c r="E533" s="107"/>
      <c r="F533" s="3" t="s">
        <v>215</v>
      </c>
      <c r="G533" s="31">
        <v>7</v>
      </c>
      <c r="H533" s="73">
        <v>0</v>
      </c>
    </row>
    <row r="534" spans="1:8" x14ac:dyDescent="0.25">
      <c r="A534" s="39" t="s">
        <v>1029</v>
      </c>
      <c r="B534" s="40" t="s">
        <v>73</v>
      </c>
      <c r="C534" s="40" t="s">
        <v>1030</v>
      </c>
      <c r="D534" s="136" t="s">
        <v>1031</v>
      </c>
      <c r="E534" s="136"/>
      <c r="F534" s="40" t="s">
        <v>81</v>
      </c>
      <c r="G534" s="42">
        <v>1</v>
      </c>
      <c r="H534" s="76">
        <v>0</v>
      </c>
    </row>
    <row r="535" spans="1:8" x14ac:dyDescent="0.25">
      <c r="A535" s="39" t="s">
        <v>1032</v>
      </c>
      <c r="B535" s="40" t="s">
        <v>73</v>
      </c>
      <c r="C535" s="40" t="s">
        <v>1033</v>
      </c>
      <c r="D535" s="136" t="s">
        <v>1034</v>
      </c>
      <c r="E535" s="136"/>
      <c r="F535" s="40" t="s">
        <v>81</v>
      </c>
      <c r="G535" s="42">
        <v>1</v>
      </c>
      <c r="H535" s="76">
        <v>0</v>
      </c>
    </row>
    <row r="536" spans="1:8" x14ac:dyDescent="0.25">
      <c r="A536" s="2" t="s">
        <v>1035</v>
      </c>
      <c r="B536" s="3" t="s">
        <v>73</v>
      </c>
      <c r="C536" s="3" t="s">
        <v>1036</v>
      </c>
      <c r="D536" s="107" t="s">
        <v>1037</v>
      </c>
      <c r="E536" s="107"/>
      <c r="F536" s="3" t="s">
        <v>215</v>
      </c>
      <c r="G536" s="31">
        <v>1.2</v>
      </c>
      <c r="H536" s="73">
        <v>0</v>
      </c>
    </row>
    <row r="537" spans="1:8" x14ac:dyDescent="0.25">
      <c r="A537" s="2" t="s">
        <v>1038</v>
      </c>
      <c r="B537" s="3" t="s">
        <v>73</v>
      </c>
      <c r="C537" s="3" t="s">
        <v>1039</v>
      </c>
      <c r="D537" s="107" t="s">
        <v>1040</v>
      </c>
      <c r="E537" s="107"/>
      <c r="F537" s="3" t="s">
        <v>215</v>
      </c>
      <c r="G537" s="31">
        <v>0.5</v>
      </c>
      <c r="H537" s="73">
        <v>0</v>
      </c>
    </row>
    <row r="538" spans="1:8" x14ac:dyDescent="0.25">
      <c r="A538" s="39" t="s">
        <v>1041</v>
      </c>
      <c r="B538" s="40" t="s">
        <v>73</v>
      </c>
      <c r="C538" s="40" t="s">
        <v>1042</v>
      </c>
      <c r="D538" s="136" t="s">
        <v>1043</v>
      </c>
      <c r="E538" s="136"/>
      <c r="F538" s="40" t="s">
        <v>81</v>
      </c>
      <c r="G538" s="42">
        <v>1</v>
      </c>
      <c r="H538" s="76">
        <v>0</v>
      </c>
    </row>
    <row r="539" spans="1:8" x14ac:dyDescent="0.25">
      <c r="A539" s="39" t="s">
        <v>1044</v>
      </c>
      <c r="B539" s="40" t="s">
        <v>73</v>
      </c>
      <c r="C539" s="40" t="s">
        <v>1045</v>
      </c>
      <c r="D539" s="136" t="s">
        <v>1046</v>
      </c>
      <c r="E539" s="136"/>
      <c r="F539" s="40" t="s">
        <v>81</v>
      </c>
      <c r="G539" s="42">
        <v>1</v>
      </c>
      <c r="H539" s="76">
        <v>0</v>
      </c>
    </row>
    <row r="540" spans="1:8" x14ac:dyDescent="0.25">
      <c r="A540" s="2" t="s">
        <v>1047</v>
      </c>
      <c r="B540" s="3" t="s">
        <v>73</v>
      </c>
      <c r="C540" s="3" t="s">
        <v>1048</v>
      </c>
      <c r="D540" s="107" t="s">
        <v>1049</v>
      </c>
      <c r="E540" s="107"/>
      <c r="F540" s="3" t="s">
        <v>81</v>
      </c>
      <c r="G540" s="31">
        <v>1</v>
      </c>
      <c r="H540" s="73">
        <v>0</v>
      </c>
    </row>
    <row r="541" spans="1:8" x14ac:dyDescent="0.25">
      <c r="A541" s="2" t="s">
        <v>52</v>
      </c>
      <c r="B541" s="3" t="s">
        <v>52</v>
      </c>
      <c r="C541" s="3" t="s">
        <v>52</v>
      </c>
      <c r="D541" s="74" t="s">
        <v>56</v>
      </c>
      <c r="E541" s="151" t="s">
        <v>1050</v>
      </c>
      <c r="F541" s="151"/>
      <c r="G541" s="75">
        <v>1</v>
      </c>
      <c r="H541" s="33" t="s">
        <v>52</v>
      </c>
    </row>
    <row r="542" spans="1:8" x14ac:dyDescent="0.25">
      <c r="A542" s="2" t="s">
        <v>1051</v>
      </c>
      <c r="B542" s="3" t="s">
        <v>73</v>
      </c>
      <c r="C542" s="3" t="s">
        <v>1052</v>
      </c>
      <c r="D542" s="107" t="s">
        <v>1053</v>
      </c>
      <c r="E542" s="107"/>
      <c r="F542" s="3" t="s">
        <v>81</v>
      </c>
      <c r="G542" s="31">
        <v>2</v>
      </c>
      <c r="H542" s="73">
        <v>0</v>
      </c>
    </row>
    <row r="543" spans="1:8" x14ac:dyDescent="0.25">
      <c r="A543" s="2" t="s">
        <v>52</v>
      </c>
      <c r="B543" s="3" t="s">
        <v>52</v>
      </c>
      <c r="C543" s="3" t="s">
        <v>52</v>
      </c>
      <c r="D543" s="74" t="s">
        <v>1054</v>
      </c>
      <c r="E543" s="151" t="s">
        <v>1055</v>
      </c>
      <c r="F543" s="151"/>
      <c r="G543" s="75">
        <v>2</v>
      </c>
      <c r="H543" s="33" t="s">
        <v>52</v>
      </c>
    </row>
    <row r="544" spans="1:8" x14ac:dyDescent="0.25">
      <c r="A544" s="2" t="s">
        <v>1056</v>
      </c>
      <c r="B544" s="3" t="s">
        <v>73</v>
      </c>
      <c r="C544" s="3" t="s">
        <v>1057</v>
      </c>
      <c r="D544" s="107" t="s">
        <v>1058</v>
      </c>
      <c r="E544" s="107"/>
      <c r="F544" s="3" t="s">
        <v>81</v>
      </c>
      <c r="G544" s="31">
        <v>2</v>
      </c>
      <c r="H544" s="73">
        <v>0</v>
      </c>
    </row>
    <row r="545" spans="1:8" x14ac:dyDescent="0.25">
      <c r="A545" s="2" t="s">
        <v>52</v>
      </c>
      <c r="B545" s="3" t="s">
        <v>52</v>
      </c>
      <c r="C545" s="3" t="s">
        <v>52</v>
      </c>
      <c r="D545" s="74" t="s">
        <v>1054</v>
      </c>
      <c r="E545" s="151" t="s">
        <v>1059</v>
      </c>
      <c r="F545" s="151"/>
      <c r="G545" s="75">
        <v>2</v>
      </c>
      <c r="H545" s="33" t="s">
        <v>52</v>
      </c>
    </row>
    <row r="546" spans="1:8" x14ac:dyDescent="0.25">
      <c r="A546" s="2" t="s">
        <v>1060</v>
      </c>
      <c r="B546" s="3" t="s">
        <v>73</v>
      </c>
      <c r="C546" s="3" t="s">
        <v>1061</v>
      </c>
      <c r="D546" s="107" t="s">
        <v>1062</v>
      </c>
      <c r="E546" s="107"/>
      <c r="F546" s="3" t="s">
        <v>81</v>
      </c>
      <c r="G546" s="31">
        <v>2</v>
      </c>
      <c r="H546" s="73">
        <v>0</v>
      </c>
    </row>
    <row r="547" spans="1:8" x14ac:dyDescent="0.25">
      <c r="A547" s="2" t="s">
        <v>52</v>
      </c>
      <c r="B547" s="3" t="s">
        <v>52</v>
      </c>
      <c r="C547" s="3" t="s">
        <v>52</v>
      </c>
      <c r="D547" s="74" t="s">
        <v>1054</v>
      </c>
      <c r="E547" s="151" t="s">
        <v>1063</v>
      </c>
      <c r="F547" s="151"/>
      <c r="G547" s="75">
        <v>2</v>
      </c>
      <c r="H547" s="33" t="s">
        <v>52</v>
      </c>
    </row>
    <row r="548" spans="1:8" x14ac:dyDescent="0.25">
      <c r="A548" s="2" t="s">
        <v>1064</v>
      </c>
      <c r="B548" s="3" t="s">
        <v>73</v>
      </c>
      <c r="C548" s="3" t="s">
        <v>1065</v>
      </c>
      <c r="D548" s="107" t="s">
        <v>1066</v>
      </c>
      <c r="E548" s="107"/>
      <c r="F548" s="3" t="s">
        <v>215</v>
      </c>
      <c r="G548" s="31">
        <v>11</v>
      </c>
      <c r="H548" s="73">
        <v>0</v>
      </c>
    </row>
    <row r="549" spans="1:8" x14ac:dyDescent="0.25">
      <c r="A549" s="2" t="s">
        <v>52</v>
      </c>
      <c r="B549" s="3" t="s">
        <v>52</v>
      </c>
      <c r="C549" s="3" t="s">
        <v>52</v>
      </c>
      <c r="D549" s="74" t="s">
        <v>1067</v>
      </c>
      <c r="E549" s="151" t="s">
        <v>52</v>
      </c>
      <c r="F549" s="151"/>
      <c r="G549" s="75">
        <v>11</v>
      </c>
      <c r="H549" s="33" t="s">
        <v>52</v>
      </c>
    </row>
    <row r="550" spans="1:8" x14ac:dyDescent="0.25">
      <c r="A550" s="2" t="s">
        <v>1068</v>
      </c>
      <c r="B550" s="3" t="s">
        <v>73</v>
      </c>
      <c r="C550" s="3" t="s">
        <v>1069</v>
      </c>
      <c r="D550" s="107" t="s">
        <v>1070</v>
      </c>
      <c r="E550" s="107"/>
      <c r="F550" s="3" t="s">
        <v>276</v>
      </c>
      <c r="G550" s="31">
        <v>1.891E-2</v>
      </c>
      <c r="H550" s="73">
        <v>0</v>
      </c>
    </row>
    <row r="551" spans="1:8" x14ac:dyDescent="0.25">
      <c r="A551" s="72" t="s">
        <v>52</v>
      </c>
      <c r="B551" s="27" t="s">
        <v>73</v>
      </c>
      <c r="C551" s="27" t="s">
        <v>1071</v>
      </c>
      <c r="D551" s="134" t="s">
        <v>1072</v>
      </c>
      <c r="E551" s="134"/>
      <c r="F551" s="27" t="s">
        <v>52</v>
      </c>
      <c r="G551" s="11" t="s">
        <v>52</v>
      </c>
      <c r="H551" s="30" t="s">
        <v>52</v>
      </c>
    </row>
    <row r="552" spans="1:8" x14ac:dyDescent="0.25">
      <c r="A552" s="2" t="s">
        <v>1073</v>
      </c>
      <c r="B552" s="3" t="s">
        <v>73</v>
      </c>
      <c r="C552" s="3" t="s">
        <v>1074</v>
      </c>
      <c r="D552" s="107" t="s">
        <v>1075</v>
      </c>
      <c r="E552" s="107"/>
      <c r="F552" s="3" t="s">
        <v>215</v>
      </c>
      <c r="G552" s="31">
        <v>9</v>
      </c>
      <c r="H552" s="73">
        <v>0</v>
      </c>
    </row>
    <row r="553" spans="1:8" x14ac:dyDescent="0.25">
      <c r="A553" s="2" t="s">
        <v>52</v>
      </c>
      <c r="B553" s="3" t="s">
        <v>52</v>
      </c>
      <c r="C553" s="3" t="s">
        <v>52</v>
      </c>
      <c r="D553" s="74" t="s">
        <v>1077</v>
      </c>
      <c r="E553" s="151" t="s">
        <v>52</v>
      </c>
      <c r="F553" s="151"/>
      <c r="G553" s="75">
        <v>9</v>
      </c>
      <c r="H553" s="33" t="s">
        <v>52</v>
      </c>
    </row>
    <row r="554" spans="1:8" x14ac:dyDescent="0.25">
      <c r="A554" s="2" t="s">
        <v>1078</v>
      </c>
      <c r="B554" s="3" t="s">
        <v>73</v>
      </c>
      <c r="C554" s="3" t="s">
        <v>1079</v>
      </c>
      <c r="D554" s="107" t="s">
        <v>1080</v>
      </c>
      <c r="E554" s="107"/>
      <c r="F554" s="3" t="s">
        <v>81</v>
      </c>
      <c r="G554" s="31">
        <v>3</v>
      </c>
      <c r="H554" s="73">
        <v>0</v>
      </c>
    </row>
    <row r="555" spans="1:8" x14ac:dyDescent="0.25">
      <c r="A555" s="2" t="s">
        <v>1081</v>
      </c>
      <c r="B555" s="3" t="s">
        <v>73</v>
      </c>
      <c r="C555" s="3" t="s">
        <v>1082</v>
      </c>
      <c r="D555" s="107" t="s">
        <v>1083</v>
      </c>
      <c r="E555" s="107"/>
      <c r="F555" s="3" t="s">
        <v>81</v>
      </c>
      <c r="G555" s="31">
        <v>3</v>
      </c>
      <c r="H555" s="73">
        <v>0</v>
      </c>
    </row>
    <row r="556" spans="1:8" x14ac:dyDescent="0.25">
      <c r="A556" s="2" t="s">
        <v>1084</v>
      </c>
      <c r="B556" s="3" t="s">
        <v>73</v>
      </c>
      <c r="C556" s="3" t="s">
        <v>1085</v>
      </c>
      <c r="D556" s="107" t="s">
        <v>1086</v>
      </c>
      <c r="E556" s="107"/>
      <c r="F556" s="3" t="s">
        <v>81</v>
      </c>
      <c r="G556" s="31">
        <v>1</v>
      </c>
      <c r="H556" s="73">
        <v>0</v>
      </c>
    </row>
    <row r="557" spans="1:8" x14ac:dyDescent="0.25">
      <c r="A557" s="2" t="s">
        <v>1087</v>
      </c>
      <c r="B557" s="3" t="s">
        <v>73</v>
      </c>
      <c r="C557" s="3" t="s">
        <v>1088</v>
      </c>
      <c r="D557" s="107" t="s">
        <v>1089</v>
      </c>
      <c r="E557" s="107"/>
      <c r="F557" s="3" t="s">
        <v>215</v>
      </c>
      <c r="G557" s="31">
        <v>10</v>
      </c>
      <c r="H557" s="73">
        <v>0</v>
      </c>
    </row>
    <row r="558" spans="1:8" x14ac:dyDescent="0.25">
      <c r="A558" s="39" t="s">
        <v>1090</v>
      </c>
      <c r="B558" s="40" t="s">
        <v>73</v>
      </c>
      <c r="C558" s="40" t="s">
        <v>1091</v>
      </c>
      <c r="D558" s="136" t="s">
        <v>1092</v>
      </c>
      <c r="E558" s="136"/>
      <c r="F558" s="40" t="s">
        <v>81</v>
      </c>
      <c r="G558" s="42">
        <v>4</v>
      </c>
      <c r="H558" s="76">
        <v>0</v>
      </c>
    </row>
    <row r="559" spans="1:8" x14ac:dyDescent="0.25">
      <c r="A559" s="39" t="s">
        <v>52</v>
      </c>
      <c r="B559" s="40" t="s">
        <v>52</v>
      </c>
      <c r="C559" s="40" t="s">
        <v>52</v>
      </c>
      <c r="D559" s="74" t="s">
        <v>78</v>
      </c>
      <c r="E559" s="151" t="s">
        <v>1093</v>
      </c>
      <c r="F559" s="151"/>
      <c r="G559" s="77">
        <v>4</v>
      </c>
      <c r="H559" s="44" t="s">
        <v>52</v>
      </c>
    </row>
    <row r="560" spans="1:8" x14ac:dyDescent="0.25">
      <c r="A560" s="2" t="s">
        <v>1094</v>
      </c>
      <c r="B560" s="3" t="s">
        <v>73</v>
      </c>
      <c r="C560" s="3" t="s">
        <v>1095</v>
      </c>
      <c r="D560" s="107" t="s">
        <v>1096</v>
      </c>
      <c r="E560" s="107"/>
      <c r="F560" s="3" t="s">
        <v>215</v>
      </c>
      <c r="G560" s="31">
        <v>7.5</v>
      </c>
      <c r="H560" s="73">
        <v>0</v>
      </c>
    </row>
    <row r="561" spans="1:8" x14ac:dyDescent="0.25">
      <c r="A561" s="2" t="s">
        <v>1097</v>
      </c>
      <c r="B561" s="3" t="s">
        <v>73</v>
      </c>
      <c r="C561" s="3" t="s">
        <v>1098</v>
      </c>
      <c r="D561" s="107" t="s">
        <v>1099</v>
      </c>
      <c r="E561" s="107"/>
      <c r="F561" s="3" t="s">
        <v>215</v>
      </c>
      <c r="G561" s="31">
        <v>11</v>
      </c>
      <c r="H561" s="73">
        <v>0</v>
      </c>
    </row>
    <row r="562" spans="1:8" x14ac:dyDescent="0.25">
      <c r="A562" s="2" t="s">
        <v>1100</v>
      </c>
      <c r="B562" s="3" t="s">
        <v>73</v>
      </c>
      <c r="C562" s="3" t="s">
        <v>1101</v>
      </c>
      <c r="D562" s="107" t="s">
        <v>1102</v>
      </c>
      <c r="E562" s="107"/>
      <c r="F562" s="3" t="s">
        <v>215</v>
      </c>
      <c r="G562" s="31">
        <v>2.5</v>
      </c>
      <c r="H562" s="73">
        <v>0</v>
      </c>
    </row>
    <row r="563" spans="1:8" x14ac:dyDescent="0.25">
      <c r="A563" s="2" t="s">
        <v>1104</v>
      </c>
      <c r="B563" s="3" t="s">
        <v>73</v>
      </c>
      <c r="C563" s="3" t="s">
        <v>1105</v>
      </c>
      <c r="D563" s="107" t="s">
        <v>1102</v>
      </c>
      <c r="E563" s="107"/>
      <c r="F563" s="3" t="s">
        <v>215</v>
      </c>
      <c r="G563" s="31">
        <v>5</v>
      </c>
      <c r="H563" s="73">
        <v>0</v>
      </c>
    </row>
    <row r="564" spans="1:8" x14ac:dyDescent="0.25">
      <c r="A564" s="2" t="s">
        <v>1107</v>
      </c>
      <c r="B564" s="3" t="s">
        <v>73</v>
      </c>
      <c r="C564" s="3" t="s">
        <v>1108</v>
      </c>
      <c r="D564" s="107" t="s">
        <v>1102</v>
      </c>
      <c r="E564" s="107"/>
      <c r="F564" s="3" t="s">
        <v>215</v>
      </c>
      <c r="G564" s="31">
        <v>7.5</v>
      </c>
      <c r="H564" s="73">
        <v>0</v>
      </c>
    </row>
    <row r="565" spans="1:8" x14ac:dyDescent="0.25">
      <c r="A565" s="2" t="s">
        <v>1110</v>
      </c>
      <c r="B565" s="3" t="s">
        <v>73</v>
      </c>
      <c r="C565" s="3" t="s">
        <v>1111</v>
      </c>
      <c r="D565" s="107" t="s">
        <v>1112</v>
      </c>
      <c r="E565" s="107"/>
      <c r="F565" s="3" t="s">
        <v>215</v>
      </c>
      <c r="G565" s="31">
        <v>7.5</v>
      </c>
      <c r="H565" s="73">
        <v>0</v>
      </c>
    </row>
    <row r="566" spans="1:8" x14ac:dyDescent="0.25">
      <c r="A566" s="2" t="s">
        <v>1113</v>
      </c>
      <c r="B566" s="3" t="s">
        <v>73</v>
      </c>
      <c r="C566" s="3" t="s">
        <v>1114</v>
      </c>
      <c r="D566" s="107" t="s">
        <v>1112</v>
      </c>
      <c r="E566" s="107"/>
      <c r="F566" s="3" t="s">
        <v>215</v>
      </c>
      <c r="G566" s="31">
        <v>6</v>
      </c>
      <c r="H566" s="73">
        <v>0</v>
      </c>
    </row>
    <row r="567" spans="1:8" x14ac:dyDescent="0.25">
      <c r="A567" s="2" t="s">
        <v>1115</v>
      </c>
      <c r="B567" s="3" t="s">
        <v>73</v>
      </c>
      <c r="C567" s="3" t="s">
        <v>1116</v>
      </c>
      <c r="D567" s="107" t="s">
        <v>1117</v>
      </c>
      <c r="E567" s="107"/>
      <c r="F567" s="3" t="s">
        <v>1118</v>
      </c>
      <c r="G567" s="31">
        <v>1</v>
      </c>
      <c r="H567" s="73">
        <v>0</v>
      </c>
    </row>
    <row r="568" spans="1:8" x14ac:dyDescent="0.25">
      <c r="A568" s="2" t="s">
        <v>52</v>
      </c>
      <c r="B568" s="3" t="s">
        <v>52</v>
      </c>
      <c r="C568" s="3" t="s">
        <v>52</v>
      </c>
      <c r="D568" s="74" t="s">
        <v>56</v>
      </c>
      <c r="E568" s="151" t="s">
        <v>1119</v>
      </c>
      <c r="F568" s="151"/>
      <c r="G568" s="75">
        <v>1</v>
      </c>
      <c r="H568" s="33" t="s">
        <v>52</v>
      </c>
    </row>
    <row r="569" spans="1:8" x14ac:dyDescent="0.25">
      <c r="A569" s="2" t="s">
        <v>1120</v>
      </c>
      <c r="B569" s="3" t="s">
        <v>73</v>
      </c>
      <c r="C569" s="3" t="s">
        <v>1121</v>
      </c>
      <c r="D569" s="107" t="s">
        <v>1122</v>
      </c>
      <c r="E569" s="107"/>
      <c r="F569" s="3" t="s">
        <v>81</v>
      </c>
      <c r="G569" s="31">
        <v>4</v>
      </c>
      <c r="H569" s="73">
        <v>0</v>
      </c>
    </row>
    <row r="570" spans="1:8" x14ac:dyDescent="0.25">
      <c r="A570" s="2" t="s">
        <v>1123</v>
      </c>
      <c r="B570" s="3" t="s">
        <v>73</v>
      </c>
      <c r="C570" s="3" t="s">
        <v>1124</v>
      </c>
      <c r="D570" s="107" t="s">
        <v>1125</v>
      </c>
      <c r="E570" s="107"/>
      <c r="F570" s="3" t="s">
        <v>81</v>
      </c>
      <c r="G570" s="31">
        <v>2</v>
      </c>
      <c r="H570" s="73">
        <v>0</v>
      </c>
    </row>
    <row r="571" spans="1:8" x14ac:dyDescent="0.25">
      <c r="A571" s="2" t="s">
        <v>1126</v>
      </c>
      <c r="B571" s="3" t="s">
        <v>73</v>
      </c>
      <c r="C571" s="3" t="s">
        <v>1127</v>
      </c>
      <c r="D571" s="107" t="s">
        <v>1128</v>
      </c>
      <c r="E571" s="107"/>
      <c r="F571" s="3" t="s">
        <v>81</v>
      </c>
      <c r="G571" s="31">
        <v>8</v>
      </c>
      <c r="H571" s="73">
        <v>0</v>
      </c>
    </row>
    <row r="572" spans="1:8" x14ac:dyDescent="0.25">
      <c r="A572" s="2" t="s">
        <v>1129</v>
      </c>
      <c r="B572" s="3" t="s">
        <v>73</v>
      </c>
      <c r="C572" s="3" t="s">
        <v>1130</v>
      </c>
      <c r="D572" s="107" t="s">
        <v>1131</v>
      </c>
      <c r="E572" s="107"/>
      <c r="F572" s="3" t="s">
        <v>81</v>
      </c>
      <c r="G572" s="31">
        <v>2</v>
      </c>
      <c r="H572" s="73">
        <v>0</v>
      </c>
    </row>
    <row r="573" spans="1:8" x14ac:dyDescent="0.25">
      <c r="A573" s="2" t="s">
        <v>1132</v>
      </c>
      <c r="B573" s="3" t="s">
        <v>73</v>
      </c>
      <c r="C573" s="3" t="s">
        <v>1133</v>
      </c>
      <c r="D573" s="107" t="s">
        <v>1134</v>
      </c>
      <c r="E573" s="107"/>
      <c r="F573" s="3" t="s">
        <v>81</v>
      </c>
      <c r="G573" s="31">
        <v>3</v>
      </c>
      <c r="H573" s="73">
        <v>0</v>
      </c>
    </row>
    <row r="574" spans="1:8" x14ac:dyDescent="0.25">
      <c r="A574" s="2" t="s">
        <v>1135</v>
      </c>
      <c r="B574" s="3" t="s">
        <v>73</v>
      </c>
      <c r="C574" s="3" t="s">
        <v>1136</v>
      </c>
      <c r="D574" s="107" t="s">
        <v>1137</v>
      </c>
      <c r="E574" s="107"/>
      <c r="F574" s="3" t="s">
        <v>81</v>
      </c>
      <c r="G574" s="31">
        <v>2</v>
      </c>
      <c r="H574" s="73">
        <v>0</v>
      </c>
    </row>
    <row r="575" spans="1:8" x14ac:dyDescent="0.25">
      <c r="A575" s="2" t="s">
        <v>52</v>
      </c>
      <c r="B575" s="3" t="s">
        <v>52</v>
      </c>
      <c r="C575" s="3" t="s">
        <v>52</v>
      </c>
      <c r="D575" s="74" t="s">
        <v>1138</v>
      </c>
      <c r="E575" s="151" t="s">
        <v>52</v>
      </c>
      <c r="F575" s="151"/>
      <c r="G575" s="75">
        <v>2</v>
      </c>
      <c r="H575" s="33" t="s">
        <v>52</v>
      </c>
    </row>
    <row r="576" spans="1:8" x14ac:dyDescent="0.25">
      <c r="A576" s="2" t="s">
        <v>1139</v>
      </c>
      <c r="B576" s="3" t="s">
        <v>73</v>
      </c>
      <c r="C576" s="3" t="s">
        <v>1140</v>
      </c>
      <c r="D576" s="107" t="s">
        <v>1141</v>
      </c>
      <c r="E576" s="107"/>
      <c r="F576" s="3" t="s">
        <v>215</v>
      </c>
      <c r="G576" s="31">
        <v>28.5</v>
      </c>
      <c r="H576" s="73">
        <v>0</v>
      </c>
    </row>
    <row r="577" spans="1:8" x14ac:dyDescent="0.25">
      <c r="A577" s="2" t="s">
        <v>52</v>
      </c>
      <c r="B577" s="3" t="s">
        <v>52</v>
      </c>
      <c r="C577" s="3" t="s">
        <v>52</v>
      </c>
      <c r="D577" s="74" t="s">
        <v>1142</v>
      </c>
      <c r="E577" s="151" t="s">
        <v>52</v>
      </c>
      <c r="F577" s="151"/>
      <c r="G577" s="75">
        <v>28.5</v>
      </c>
      <c r="H577" s="33" t="s">
        <v>52</v>
      </c>
    </row>
    <row r="578" spans="1:8" x14ac:dyDescent="0.25">
      <c r="A578" s="2" t="s">
        <v>1143</v>
      </c>
      <c r="B578" s="3" t="s">
        <v>73</v>
      </c>
      <c r="C578" s="3" t="s">
        <v>1144</v>
      </c>
      <c r="D578" s="107" t="s">
        <v>1145</v>
      </c>
      <c r="E578" s="107"/>
      <c r="F578" s="3" t="s">
        <v>215</v>
      </c>
      <c r="G578" s="31">
        <v>62.5</v>
      </c>
      <c r="H578" s="73">
        <v>0</v>
      </c>
    </row>
    <row r="579" spans="1:8" x14ac:dyDescent="0.25">
      <c r="A579" s="2" t="s">
        <v>52</v>
      </c>
      <c r="B579" s="3" t="s">
        <v>52</v>
      </c>
      <c r="C579" s="3" t="s">
        <v>52</v>
      </c>
      <c r="D579" s="74" t="s">
        <v>1142</v>
      </c>
      <c r="E579" s="151" t="s">
        <v>1146</v>
      </c>
      <c r="F579" s="151"/>
      <c r="G579" s="75">
        <v>28.5</v>
      </c>
      <c r="H579" s="33" t="s">
        <v>52</v>
      </c>
    </row>
    <row r="580" spans="1:8" x14ac:dyDescent="0.25">
      <c r="A580" s="2" t="s">
        <v>52</v>
      </c>
      <c r="B580" s="3" t="s">
        <v>52</v>
      </c>
      <c r="C580" s="3" t="s">
        <v>52</v>
      </c>
      <c r="D580" s="74" t="s">
        <v>1147</v>
      </c>
      <c r="E580" s="151" t="s">
        <v>1148</v>
      </c>
      <c r="F580" s="151"/>
      <c r="G580" s="75">
        <v>34</v>
      </c>
      <c r="H580" s="33" t="s">
        <v>52</v>
      </c>
    </row>
    <row r="581" spans="1:8" x14ac:dyDescent="0.25">
      <c r="A581" s="2" t="s">
        <v>1149</v>
      </c>
      <c r="B581" s="3" t="s">
        <v>73</v>
      </c>
      <c r="C581" s="3" t="s">
        <v>240</v>
      </c>
      <c r="D581" s="107" t="s">
        <v>1150</v>
      </c>
      <c r="E581" s="107"/>
      <c r="F581" s="3" t="s">
        <v>81</v>
      </c>
      <c r="G581" s="31">
        <v>1</v>
      </c>
      <c r="H581" s="73">
        <v>0</v>
      </c>
    </row>
    <row r="582" spans="1:8" x14ac:dyDescent="0.25">
      <c r="A582" s="2" t="s">
        <v>1151</v>
      </c>
      <c r="B582" s="3" t="s">
        <v>73</v>
      </c>
      <c r="C582" s="3" t="s">
        <v>1152</v>
      </c>
      <c r="D582" s="107" t="s">
        <v>1153</v>
      </c>
      <c r="E582" s="107"/>
      <c r="F582" s="3" t="s">
        <v>81</v>
      </c>
      <c r="G582" s="31">
        <v>1</v>
      </c>
      <c r="H582" s="73">
        <v>0</v>
      </c>
    </row>
    <row r="583" spans="1:8" x14ac:dyDescent="0.25">
      <c r="A583" s="39" t="s">
        <v>1154</v>
      </c>
      <c r="B583" s="40" t="s">
        <v>73</v>
      </c>
      <c r="C583" s="40" t="s">
        <v>240</v>
      </c>
      <c r="D583" s="136" t="s">
        <v>1155</v>
      </c>
      <c r="E583" s="136"/>
      <c r="F583" s="40" t="s">
        <v>81</v>
      </c>
      <c r="G583" s="42">
        <v>1</v>
      </c>
      <c r="H583" s="76">
        <v>0</v>
      </c>
    </row>
    <row r="584" spans="1:8" x14ac:dyDescent="0.25">
      <c r="A584" s="2" t="s">
        <v>1156</v>
      </c>
      <c r="B584" s="3" t="s">
        <v>73</v>
      </c>
      <c r="C584" s="3" t="s">
        <v>1157</v>
      </c>
      <c r="D584" s="107" t="s">
        <v>1158</v>
      </c>
      <c r="E584" s="107"/>
      <c r="F584" s="3" t="s">
        <v>81</v>
      </c>
      <c r="G584" s="31">
        <v>1</v>
      </c>
      <c r="H584" s="73">
        <v>0</v>
      </c>
    </row>
    <row r="585" spans="1:8" x14ac:dyDescent="0.25">
      <c r="A585" s="2" t="s">
        <v>1160</v>
      </c>
      <c r="B585" s="3" t="s">
        <v>73</v>
      </c>
      <c r="C585" s="3" t="s">
        <v>1161</v>
      </c>
      <c r="D585" s="107" t="s">
        <v>1162</v>
      </c>
      <c r="E585" s="107"/>
      <c r="F585" s="3" t="s">
        <v>276</v>
      </c>
      <c r="G585" s="31">
        <v>3.9789999999999999E-2</v>
      </c>
      <c r="H585" s="73">
        <v>0</v>
      </c>
    </row>
    <row r="586" spans="1:8" x14ac:dyDescent="0.25">
      <c r="A586" s="72" t="s">
        <v>52</v>
      </c>
      <c r="B586" s="27" t="s">
        <v>73</v>
      </c>
      <c r="C586" s="27" t="s">
        <v>1163</v>
      </c>
      <c r="D586" s="134" t="s">
        <v>1164</v>
      </c>
      <c r="E586" s="134"/>
      <c r="F586" s="27" t="s">
        <v>52</v>
      </c>
      <c r="G586" s="11" t="s">
        <v>52</v>
      </c>
      <c r="H586" s="30" t="s">
        <v>52</v>
      </c>
    </row>
    <row r="587" spans="1:8" x14ac:dyDescent="0.25">
      <c r="A587" s="2" t="s">
        <v>1165</v>
      </c>
      <c r="B587" s="3" t="s">
        <v>73</v>
      </c>
      <c r="C587" s="3" t="s">
        <v>1166</v>
      </c>
      <c r="D587" s="107" t="s">
        <v>1167</v>
      </c>
      <c r="E587" s="107"/>
      <c r="F587" s="3" t="s">
        <v>81</v>
      </c>
      <c r="G587" s="31">
        <v>1</v>
      </c>
      <c r="H587" s="73">
        <v>0</v>
      </c>
    </row>
    <row r="588" spans="1:8" x14ac:dyDescent="0.25">
      <c r="A588" s="2" t="s">
        <v>1169</v>
      </c>
      <c r="B588" s="3" t="s">
        <v>73</v>
      </c>
      <c r="C588" s="3" t="s">
        <v>1170</v>
      </c>
      <c r="D588" s="107" t="s">
        <v>1171</v>
      </c>
      <c r="E588" s="107"/>
      <c r="F588" s="3" t="s">
        <v>81</v>
      </c>
      <c r="G588" s="31">
        <v>2</v>
      </c>
      <c r="H588" s="73">
        <v>0</v>
      </c>
    </row>
    <row r="589" spans="1:8" x14ac:dyDescent="0.25">
      <c r="A589" s="2" t="s">
        <v>1172</v>
      </c>
      <c r="B589" s="3" t="s">
        <v>73</v>
      </c>
      <c r="C589" s="3" t="s">
        <v>1173</v>
      </c>
      <c r="D589" s="107" t="s">
        <v>1174</v>
      </c>
      <c r="E589" s="107"/>
      <c r="F589" s="3" t="s">
        <v>81</v>
      </c>
      <c r="G589" s="31">
        <v>1</v>
      </c>
      <c r="H589" s="73">
        <v>0</v>
      </c>
    </row>
    <row r="590" spans="1:8" x14ac:dyDescent="0.25">
      <c r="A590" s="2" t="s">
        <v>1175</v>
      </c>
      <c r="B590" s="3" t="s">
        <v>73</v>
      </c>
      <c r="C590" s="3" t="s">
        <v>1176</v>
      </c>
      <c r="D590" s="107" t="s">
        <v>1177</v>
      </c>
      <c r="E590" s="107"/>
      <c r="F590" s="3" t="s">
        <v>1118</v>
      </c>
      <c r="G590" s="31">
        <v>2</v>
      </c>
      <c r="H590" s="73">
        <v>0</v>
      </c>
    </row>
    <row r="591" spans="1:8" x14ac:dyDescent="0.25">
      <c r="A591" s="2" t="s">
        <v>52</v>
      </c>
      <c r="B591" s="3" t="s">
        <v>52</v>
      </c>
      <c r="C591" s="3" t="s">
        <v>52</v>
      </c>
      <c r="D591" s="74" t="s">
        <v>56</v>
      </c>
      <c r="E591" s="151" t="s">
        <v>429</v>
      </c>
      <c r="F591" s="151"/>
      <c r="G591" s="75">
        <v>1</v>
      </c>
      <c r="H591" s="33" t="s">
        <v>52</v>
      </c>
    </row>
    <row r="592" spans="1:8" x14ac:dyDescent="0.25">
      <c r="A592" s="2" t="s">
        <v>52</v>
      </c>
      <c r="B592" s="3" t="s">
        <v>52</v>
      </c>
      <c r="C592" s="3" t="s">
        <v>52</v>
      </c>
      <c r="D592" s="74" t="s">
        <v>56</v>
      </c>
      <c r="E592" s="151" t="s">
        <v>1178</v>
      </c>
      <c r="F592" s="151"/>
      <c r="G592" s="75">
        <v>1</v>
      </c>
      <c r="H592" s="33" t="s">
        <v>52</v>
      </c>
    </row>
    <row r="593" spans="1:8" x14ac:dyDescent="0.25">
      <c r="A593" s="2" t="s">
        <v>1179</v>
      </c>
      <c r="B593" s="3" t="s">
        <v>73</v>
      </c>
      <c r="C593" s="3" t="s">
        <v>1180</v>
      </c>
      <c r="D593" s="107" t="s">
        <v>1181</v>
      </c>
      <c r="E593" s="107"/>
      <c r="F593" s="3" t="s">
        <v>81</v>
      </c>
      <c r="G593" s="31">
        <v>1</v>
      </c>
      <c r="H593" s="73">
        <v>0</v>
      </c>
    </row>
    <row r="594" spans="1:8" x14ac:dyDescent="0.25">
      <c r="A594" s="2" t="s">
        <v>52</v>
      </c>
      <c r="B594" s="3" t="s">
        <v>52</v>
      </c>
      <c r="C594" s="3" t="s">
        <v>52</v>
      </c>
      <c r="D594" s="74" t="s">
        <v>56</v>
      </c>
      <c r="E594" s="151" t="s">
        <v>1182</v>
      </c>
      <c r="F594" s="151"/>
      <c r="G594" s="75">
        <v>1</v>
      </c>
      <c r="H594" s="33" t="s">
        <v>52</v>
      </c>
    </row>
    <row r="595" spans="1:8" x14ac:dyDescent="0.25">
      <c r="A595" s="2" t="s">
        <v>1183</v>
      </c>
      <c r="B595" s="3" t="s">
        <v>73</v>
      </c>
      <c r="C595" s="3" t="s">
        <v>1184</v>
      </c>
      <c r="D595" s="107" t="s">
        <v>1185</v>
      </c>
      <c r="E595" s="107"/>
      <c r="F595" s="3" t="s">
        <v>81</v>
      </c>
      <c r="G595" s="31">
        <v>1</v>
      </c>
      <c r="H595" s="73">
        <v>0</v>
      </c>
    </row>
    <row r="596" spans="1:8" x14ac:dyDescent="0.25">
      <c r="A596" s="2" t="s">
        <v>1186</v>
      </c>
      <c r="B596" s="3" t="s">
        <v>73</v>
      </c>
      <c r="C596" s="3" t="s">
        <v>1187</v>
      </c>
      <c r="D596" s="107" t="s">
        <v>1188</v>
      </c>
      <c r="E596" s="107"/>
      <c r="F596" s="3" t="s">
        <v>1118</v>
      </c>
      <c r="G596" s="31">
        <v>1</v>
      </c>
      <c r="H596" s="73">
        <v>0</v>
      </c>
    </row>
    <row r="597" spans="1:8" x14ac:dyDescent="0.25">
      <c r="A597" s="2" t="s">
        <v>1190</v>
      </c>
      <c r="B597" s="3" t="s">
        <v>73</v>
      </c>
      <c r="C597" s="3" t="s">
        <v>1191</v>
      </c>
      <c r="D597" s="107" t="s">
        <v>1192</v>
      </c>
      <c r="E597" s="107"/>
      <c r="F597" s="3" t="s">
        <v>1118</v>
      </c>
      <c r="G597" s="31">
        <v>8</v>
      </c>
      <c r="H597" s="73">
        <v>0</v>
      </c>
    </row>
    <row r="598" spans="1:8" x14ac:dyDescent="0.25">
      <c r="A598" s="2" t="s">
        <v>1193</v>
      </c>
      <c r="B598" s="3" t="s">
        <v>73</v>
      </c>
      <c r="C598" s="3" t="s">
        <v>240</v>
      </c>
      <c r="D598" s="107" t="s">
        <v>1194</v>
      </c>
      <c r="E598" s="107"/>
      <c r="F598" s="3" t="s">
        <v>1118</v>
      </c>
      <c r="G598" s="31">
        <v>2</v>
      </c>
      <c r="H598" s="73">
        <v>0</v>
      </c>
    </row>
    <row r="599" spans="1:8" x14ac:dyDescent="0.25">
      <c r="A599" s="2" t="s">
        <v>1196</v>
      </c>
      <c r="B599" s="3" t="s">
        <v>73</v>
      </c>
      <c r="C599" s="3" t="s">
        <v>1197</v>
      </c>
      <c r="D599" s="107" t="s">
        <v>1198</v>
      </c>
      <c r="E599" s="107"/>
      <c r="F599" s="3" t="s">
        <v>81</v>
      </c>
      <c r="G599" s="31">
        <v>1</v>
      </c>
      <c r="H599" s="73">
        <v>0</v>
      </c>
    </row>
    <row r="600" spans="1:8" x14ac:dyDescent="0.25">
      <c r="A600" s="2" t="s">
        <v>52</v>
      </c>
      <c r="B600" s="3" t="s">
        <v>52</v>
      </c>
      <c r="C600" s="3" t="s">
        <v>52</v>
      </c>
      <c r="D600" s="74" t="s">
        <v>56</v>
      </c>
      <c r="E600" s="151" t="s">
        <v>1200</v>
      </c>
      <c r="F600" s="151"/>
      <c r="G600" s="75">
        <v>1</v>
      </c>
      <c r="H600" s="33" t="s">
        <v>52</v>
      </c>
    </row>
    <row r="601" spans="1:8" x14ac:dyDescent="0.25">
      <c r="A601" s="2" t="s">
        <v>1201</v>
      </c>
      <c r="B601" s="3" t="s">
        <v>73</v>
      </c>
      <c r="C601" s="3" t="s">
        <v>1202</v>
      </c>
      <c r="D601" s="107" t="s">
        <v>1203</v>
      </c>
      <c r="E601" s="107"/>
      <c r="F601" s="3" t="s">
        <v>81</v>
      </c>
      <c r="G601" s="31">
        <v>2</v>
      </c>
      <c r="H601" s="73">
        <v>0</v>
      </c>
    </row>
    <row r="602" spans="1:8" x14ac:dyDescent="0.25">
      <c r="A602" s="2" t="s">
        <v>1204</v>
      </c>
      <c r="B602" s="3" t="s">
        <v>73</v>
      </c>
      <c r="C602" s="3" t="s">
        <v>1205</v>
      </c>
      <c r="D602" s="107" t="s">
        <v>1198</v>
      </c>
      <c r="E602" s="107"/>
      <c r="F602" s="3" t="s">
        <v>81</v>
      </c>
      <c r="G602" s="31">
        <v>1</v>
      </c>
      <c r="H602" s="73">
        <v>0</v>
      </c>
    </row>
    <row r="603" spans="1:8" x14ac:dyDescent="0.25">
      <c r="A603" s="2" t="s">
        <v>52</v>
      </c>
      <c r="B603" s="3" t="s">
        <v>52</v>
      </c>
      <c r="C603" s="3" t="s">
        <v>52</v>
      </c>
      <c r="D603" s="74" t="s">
        <v>56</v>
      </c>
      <c r="E603" s="151" t="s">
        <v>1207</v>
      </c>
      <c r="F603" s="151"/>
      <c r="G603" s="75">
        <v>1</v>
      </c>
      <c r="H603" s="33" t="s">
        <v>52</v>
      </c>
    </row>
    <row r="604" spans="1:8" x14ac:dyDescent="0.25">
      <c r="A604" s="2" t="s">
        <v>1208</v>
      </c>
      <c r="B604" s="3" t="s">
        <v>73</v>
      </c>
      <c r="C604" s="3" t="s">
        <v>1209</v>
      </c>
      <c r="D604" s="107" t="s">
        <v>1210</v>
      </c>
      <c r="E604" s="107"/>
      <c r="F604" s="3" t="s">
        <v>81</v>
      </c>
      <c r="G604" s="31">
        <v>1</v>
      </c>
      <c r="H604" s="73">
        <v>0</v>
      </c>
    </row>
    <row r="605" spans="1:8" x14ac:dyDescent="0.25">
      <c r="A605" s="2" t="s">
        <v>52</v>
      </c>
      <c r="B605" s="3" t="s">
        <v>52</v>
      </c>
      <c r="C605" s="3" t="s">
        <v>52</v>
      </c>
      <c r="D605" s="74" t="s">
        <v>56</v>
      </c>
      <c r="E605" s="151" t="s">
        <v>1200</v>
      </c>
      <c r="F605" s="151"/>
      <c r="G605" s="75">
        <v>1</v>
      </c>
      <c r="H605" s="33" t="s">
        <v>52</v>
      </c>
    </row>
    <row r="606" spans="1:8" x14ac:dyDescent="0.25">
      <c r="A606" s="2" t="s">
        <v>1211</v>
      </c>
      <c r="B606" s="3" t="s">
        <v>73</v>
      </c>
      <c r="C606" s="3" t="s">
        <v>1212</v>
      </c>
      <c r="D606" s="107" t="s">
        <v>1213</v>
      </c>
      <c r="E606" s="107"/>
      <c r="F606" s="3" t="s">
        <v>81</v>
      </c>
      <c r="G606" s="31">
        <v>1</v>
      </c>
      <c r="H606" s="73">
        <v>0</v>
      </c>
    </row>
    <row r="607" spans="1:8" x14ac:dyDescent="0.25">
      <c r="A607" s="2" t="s">
        <v>52</v>
      </c>
      <c r="B607" s="3" t="s">
        <v>52</v>
      </c>
      <c r="C607" s="3" t="s">
        <v>52</v>
      </c>
      <c r="D607" s="74" t="s">
        <v>56</v>
      </c>
      <c r="E607" s="151" t="s">
        <v>1207</v>
      </c>
      <c r="F607" s="151"/>
      <c r="G607" s="75">
        <v>1</v>
      </c>
      <c r="H607" s="33" t="s">
        <v>52</v>
      </c>
    </row>
    <row r="608" spans="1:8" x14ac:dyDescent="0.25">
      <c r="A608" s="2" t="s">
        <v>1214</v>
      </c>
      <c r="B608" s="3" t="s">
        <v>73</v>
      </c>
      <c r="C608" s="3" t="s">
        <v>1215</v>
      </c>
      <c r="D608" s="107" t="s">
        <v>1216</v>
      </c>
      <c r="E608" s="107"/>
      <c r="F608" s="3" t="s">
        <v>81</v>
      </c>
      <c r="G608" s="31">
        <v>5</v>
      </c>
      <c r="H608" s="73">
        <v>0</v>
      </c>
    </row>
    <row r="609" spans="1:8" x14ac:dyDescent="0.25">
      <c r="A609" s="2" t="s">
        <v>52</v>
      </c>
      <c r="B609" s="3" t="s">
        <v>52</v>
      </c>
      <c r="C609" s="3" t="s">
        <v>52</v>
      </c>
      <c r="D609" s="74" t="s">
        <v>66</v>
      </c>
      <c r="E609" s="151" t="s">
        <v>1217</v>
      </c>
      <c r="F609" s="151"/>
      <c r="G609" s="75">
        <v>2</v>
      </c>
      <c r="H609" s="33" t="s">
        <v>52</v>
      </c>
    </row>
    <row r="610" spans="1:8" x14ac:dyDescent="0.25">
      <c r="A610" s="2" t="s">
        <v>52</v>
      </c>
      <c r="B610" s="3" t="s">
        <v>52</v>
      </c>
      <c r="C610" s="3" t="s">
        <v>52</v>
      </c>
      <c r="D610" s="74" t="s">
        <v>73</v>
      </c>
      <c r="E610" s="151" t="s">
        <v>1218</v>
      </c>
      <c r="F610" s="151"/>
      <c r="G610" s="75">
        <v>3</v>
      </c>
      <c r="H610" s="33" t="s">
        <v>52</v>
      </c>
    </row>
    <row r="611" spans="1:8" x14ac:dyDescent="0.25">
      <c r="A611" s="39" t="s">
        <v>1219</v>
      </c>
      <c r="B611" s="40" t="s">
        <v>73</v>
      </c>
      <c r="C611" s="40" t="s">
        <v>1220</v>
      </c>
      <c r="D611" s="136" t="s">
        <v>1221</v>
      </c>
      <c r="E611" s="136"/>
      <c r="F611" s="40" t="s">
        <v>81</v>
      </c>
      <c r="G611" s="42">
        <v>2</v>
      </c>
      <c r="H611" s="76">
        <v>0</v>
      </c>
    </row>
    <row r="612" spans="1:8" x14ac:dyDescent="0.25">
      <c r="A612" s="2" t="s">
        <v>1222</v>
      </c>
      <c r="B612" s="3" t="s">
        <v>73</v>
      </c>
      <c r="C612" s="3" t="s">
        <v>1223</v>
      </c>
      <c r="D612" s="107" t="s">
        <v>1224</v>
      </c>
      <c r="E612" s="107"/>
      <c r="F612" s="3" t="s">
        <v>81</v>
      </c>
      <c r="G612" s="31">
        <v>2</v>
      </c>
      <c r="H612" s="73">
        <v>0</v>
      </c>
    </row>
    <row r="613" spans="1:8" x14ac:dyDescent="0.25">
      <c r="A613" s="2" t="s">
        <v>52</v>
      </c>
      <c r="B613" s="3" t="s">
        <v>52</v>
      </c>
      <c r="C613" s="3" t="s">
        <v>52</v>
      </c>
      <c r="D613" s="74" t="s">
        <v>66</v>
      </c>
      <c r="E613" s="151" t="s">
        <v>1218</v>
      </c>
      <c r="F613" s="151"/>
      <c r="G613" s="75">
        <v>2</v>
      </c>
      <c r="H613" s="33" t="s">
        <v>52</v>
      </c>
    </row>
    <row r="614" spans="1:8" x14ac:dyDescent="0.25">
      <c r="A614" s="2" t="s">
        <v>1225</v>
      </c>
      <c r="B614" s="3" t="s">
        <v>73</v>
      </c>
      <c r="C614" s="3" t="s">
        <v>1226</v>
      </c>
      <c r="D614" s="107" t="s">
        <v>1227</v>
      </c>
      <c r="E614" s="107"/>
      <c r="F614" s="3" t="s">
        <v>1118</v>
      </c>
      <c r="G614" s="31">
        <v>1</v>
      </c>
      <c r="H614" s="73">
        <v>0</v>
      </c>
    </row>
    <row r="615" spans="1:8" x14ac:dyDescent="0.25">
      <c r="A615" s="39" t="s">
        <v>1228</v>
      </c>
      <c r="B615" s="40" t="s">
        <v>73</v>
      </c>
      <c r="C615" s="40" t="s">
        <v>240</v>
      </c>
      <c r="D615" s="136" t="s">
        <v>1229</v>
      </c>
      <c r="E615" s="136"/>
      <c r="F615" s="40" t="s">
        <v>81</v>
      </c>
      <c r="G615" s="42">
        <v>1</v>
      </c>
      <c r="H615" s="76">
        <v>0</v>
      </c>
    </row>
    <row r="616" spans="1:8" x14ac:dyDescent="0.25">
      <c r="A616" s="2" t="s">
        <v>1230</v>
      </c>
      <c r="B616" s="3" t="s">
        <v>73</v>
      </c>
      <c r="C616" s="3" t="s">
        <v>1231</v>
      </c>
      <c r="D616" s="107" t="s">
        <v>1232</v>
      </c>
      <c r="E616" s="107"/>
      <c r="F616" s="3" t="s">
        <v>1118</v>
      </c>
      <c r="G616" s="31">
        <v>1</v>
      </c>
      <c r="H616" s="73">
        <v>0</v>
      </c>
    </row>
    <row r="617" spans="1:8" x14ac:dyDescent="0.25">
      <c r="A617" s="39" t="s">
        <v>1233</v>
      </c>
      <c r="B617" s="40" t="s">
        <v>73</v>
      </c>
      <c r="C617" s="40" t="s">
        <v>240</v>
      </c>
      <c r="D617" s="136" t="s">
        <v>1234</v>
      </c>
      <c r="E617" s="136"/>
      <c r="F617" s="40" t="s">
        <v>81</v>
      </c>
      <c r="G617" s="42">
        <v>1</v>
      </c>
      <c r="H617" s="76">
        <v>0</v>
      </c>
    </row>
    <row r="618" spans="1:8" x14ac:dyDescent="0.25">
      <c r="A618" s="2" t="s">
        <v>1235</v>
      </c>
      <c r="B618" s="3" t="s">
        <v>73</v>
      </c>
      <c r="C618" s="3" t="s">
        <v>1236</v>
      </c>
      <c r="D618" s="107" t="s">
        <v>1237</v>
      </c>
      <c r="E618" s="107"/>
      <c r="F618" s="3" t="s">
        <v>1118</v>
      </c>
      <c r="G618" s="31">
        <v>1</v>
      </c>
      <c r="H618" s="73">
        <v>0</v>
      </c>
    </row>
    <row r="619" spans="1:8" x14ac:dyDescent="0.25">
      <c r="A619" s="39" t="s">
        <v>1238</v>
      </c>
      <c r="B619" s="40" t="s">
        <v>73</v>
      </c>
      <c r="C619" s="40" t="s">
        <v>240</v>
      </c>
      <c r="D619" s="136" t="s">
        <v>1239</v>
      </c>
      <c r="E619" s="136"/>
      <c r="F619" s="40" t="s">
        <v>81</v>
      </c>
      <c r="G619" s="42">
        <v>1</v>
      </c>
      <c r="H619" s="76">
        <v>0</v>
      </c>
    </row>
    <row r="620" spans="1:8" x14ac:dyDescent="0.25">
      <c r="A620" s="39" t="s">
        <v>1240</v>
      </c>
      <c r="B620" s="40" t="s">
        <v>73</v>
      </c>
      <c r="C620" s="40" t="s">
        <v>1241</v>
      </c>
      <c r="D620" s="136" t="s">
        <v>1242</v>
      </c>
      <c r="E620" s="136"/>
      <c r="F620" s="40" t="s">
        <v>81</v>
      </c>
      <c r="G620" s="42">
        <v>1</v>
      </c>
      <c r="H620" s="76">
        <v>0</v>
      </c>
    </row>
    <row r="621" spans="1:8" x14ac:dyDescent="0.25">
      <c r="A621" s="39" t="s">
        <v>1243</v>
      </c>
      <c r="B621" s="40" t="s">
        <v>73</v>
      </c>
      <c r="C621" s="40" t="s">
        <v>240</v>
      </c>
      <c r="D621" s="136" t="s">
        <v>1244</v>
      </c>
      <c r="E621" s="136"/>
      <c r="F621" s="40" t="s">
        <v>81</v>
      </c>
      <c r="G621" s="42">
        <v>1</v>
      </c>
      <c r="H621" s="76">
        <v>0</v>
      </c>
    </row>
    <row r="622" spans="1:8" x14ac:dyDescent="0.25">
      <c r="A622" s="2" t="s">
        <v>1245</v>
      </c>
      <c r="B622" s="3" t="s">
        <v>73</v>
      </c>
      <c r="C622" s="3" t="s">
        <v>1246</v>
      </c>
      <c r="D622" s="107" t="s">
        <v>1247</v>
      </c>
      <c r="E622" s="107"/>
      <c r="F622" s="3" t="s">
        <v>1118</v>
      </c>
      <c r="G622" s="31">
        <v>1</v>
      </c>
      <c r="H622" s="73">
        <v>0</v>
      </c>
    </row>
    <row r="623" spans="1:8" x14ac:dyDescent="0.25">
      <c r="A623" s="39" t="s">
        <v>1248</v>
      </c>
      <c r="B623" s="40" t="s">
        <v>73</v>
      </c>
      <c r="C623" s="40" t="s">
        <v>240</v>
      </c>
      <c r="D623" s="136" t="s">
        <v>1244</v>
      </c>
      <c r="E623" s="136"/>
      <c r="F623" s="40" t="s">
        <v>81</v>
      </c>
      <c r="G623" s="42">
        <v>1</v>
      </c>
      <c r="H623" s="76">
        <v>0</v>
      </c>
    </row>
    <row r="624" spans="1:8" x14ac:dyDescent="0.25">
      <c r="A624" s="2" t="s">
        <v>1249</v>
      </c>
      <c r="B624" s="3" t="s">
        <v>73</v>
      </c>
      <c r="C624" s="3" t="s">
        <v>1250</v>
      </c>
      <c r="D624" s="107" t="s">
        <v>1251</v>
      </c>
      <c r="E624" s="107"/>
      <c r="F624" s="3" t="s">
        <v>81</v>
      </c>
      <c r="G624" s="31">
        <v>1</v>
      </c>
      <c r="H624" s="73">
        <v>0</v>
      </c>
    </row>
    <row r="625" spans="1:8" x14ac:dyDescent="0.25">
      <c r="A625" s="39" t="s">
        <v>1252</v>
      </c>
      <c r="B625" s="40" t="s">
        <v>73</v>
      </c>
      <c r="C625" s="40" t="s">
        <v>1253</v>
      </c>
      <c r="D625" s="136" t="s">
        <v>1254</v>
      </c>
      <c r="E625" s="136"/>
      <c r="F625" s="40" t="s">
        <v>81</v>
      </c>
      <c r="G625" s="42">
        <v>1</v>
      </c>
      <c r="H625" s="76">
        <v>0</v>
      </c>
    </row>
    <row r="626" spans="1:8" x14ac:dyDescent="0.25">
      <c r="A626" s="39" t="s">
        <v>1255</v>
      </c>
      <c r="B626" s="40" t="s">
        <v>73</v>
      </c>
      <c r="C626" s="40" t="s">
        <v>1256</v>
      </c>
      <c r="D626" s="136" t="s">
        <v>1257</v>
      </c>
      <c r="E626" s="136"/>
      <c r="F626" s="40" t="s">
        <v>81</v>
      </c>
      <c r="G626" s="42">
        <v>1</v>
      </c>
      <c r="H626" s="76">
        <v>0</v>
      </c>
    </row>
    <row r="627" spans="1:8" x14ac:dyDescent="0.25">
      <c r="A627" s="2" t="s">
        <v>1258</v>
      </c>
      <c r="B627" s="3" t="s">
        <v>73</v>
      </c>
      <c r="C627" s="3" t="s">
        <v>1259</v>
      </c>
      <c r="D627" s="107" t="s">
        <v>1260</v>
      </c>
      <c r="E627" s="107"/>
      <c r="F627" s="3" t="s">
        <v>81</v>
      </c>
      <c r="G627" s="31">
        <v>1</v>
      </c>
      <c r="H627" s="73">
        <v>0</v>
      </c>
    </row>
    <row r="628" spans="1:8" x14ac:dyDescent="0.25">
      <c r="A628" s="2" t="s">
        <v>52</v>
      </c>
      <c r="B628" s="3" t="s">
        <v>52</v>
      </c>
      <c r="C628" s="3" t="s">
        <v>52</v>
      </c>
      <c r="D628" s="74" t="s">
        <v>56</v>
      </c>
      <c r="E628" s="151" t="s">
        <v>1261</v>
      </c>
      <c r="F628" s="151"/>
      <c r="G628" s="75">
        <v>1</v>
      </c>
      <c r="H628" s="33" t="s">
        <v>52</v>
      </c>
    </row>
    <row r="629" spans="1:8" x14ac:dyDescent="0.25">
      <c r="A629" s="2" t="s">
        <v>1262</v>
      </c>
      <c r="B629" s="3" t="s">
        <v>73</v>
      </c>
      <c r="C629" s="3" t="s">
        <v>1263</v>
      </c>
      <c r="D629" s="107" t="s">
        <v>1264</v>
      </c>
      <c r="E629" s="107"/>
      <c r="F629" s="3" t="s">
        <v>81</v>
      </c>
      <c r="G629" s="31">
        <v>1</v>
      </c>
      <c r="H629" s="73">
        <v>0</v>
      </c>
    </row>
    <row r="630" spans="1:8" x14ac:dyDescent="0.25">
      <c r="A630" s="2" t="s">
        <v>1265</v>
      </c>
      <c r="B630" s="3" t="s">
        <v>73</v>
      </c>
      <c r="C630" s="3" t="s">
        <v>1266</v>
      </c>
      <c r="D630" s="107" t="s">
        <v>1267</v>
      </c>
      <c r="E630" s="107"/>
      <c r="F630" s="3" t="s">
        <v>1118</v>
      </c>
      <c r="G630" s="31">
        <v>1</v>
      </c>
      <c r="H630" s="73">
        <v>0</v>
      </c>
    </row>
    <row r="631" spans="1:8" x14ac:dyDescent="0.25">
      <c r="A631" s="2" t="s">
        <v>1268</v>
      </c>
      <c r="B631" s="3" t="s">
        <v>73</v>
      </c>
      <c r="C631" s="3" t="s">
        <v>240</v>
      </c>
      <c r="D631" s="107" t="s">
        <v>1269</v>
      </c>
      <c r="E631" s="107"/>
      <c r="F631" s="3" t="s">
        <v>1118</v>
      </c>
      <c r="G631" s="31">
        <v>1</v>
      </c>
      <c r="H631" s="73">
        <v>0</v>
      </c>
    </row>
    <row r="632" spans="1:8" x14ac:dyDescent="0.25">
      <c r="A632" s="2" t="s">
        <v>1270</v>
      </c>
      <c r="B632" s="3" t="s">
        <v>73</v>
      </c>
      <c r="C632" s="3" t="s">
        <v>240</v>
      </c>
      <c r="D632" s="107" t="s">
        <v>1271</v>
      </c>
      <c r="E632" s="107"/>
      <c r="F632" s="3" t="s">
        <v>1118</v>
      </c>
      <c r="G632" s="31">
        <v>1</v>
      </c>
      <c r="H632" s="73">
        <v>0</v>
      </c>
    </row>
    <row r="633" spans="1:8" x14ac:dyDescent="0.25">
      <c r="A633" s="2" t="s">
        <v>1272</v>
      </c>
      <c r="B633" s="3" t="s">
        <v>73</v>
      </c>
      <c r="C633" s="3" t="s">
        <v>1273</v>
      </c>
      <c r="D633" s="107" t="s">
        <v>1274</v>
      </c>
      <c r="E633" s="107"/>
      <c r="F633" s="3" t="s">
        <v>81</v>
      </c>
      <c r="G633" s="31">
        <v>4</v>
      </c>
      <c r="H633" s="73">
        <v>0</v>
      </c>
    </row>
    <row r="634" spans="1:8" x14ac:dyDescent="0.25">
      <c r="A634" s="2" t="s">
        <v>52</v>
      </c>
      <c r="B634" s="3" t="s">
        <v>52</v>
      </c>
      <c r="C634" s="3" t="s">
        <v>52</v>
      </c>
      <c r="D634" s="74" t="s">
        <v>1275</v>
      </c>
      <c r="E634" s="151" t="s">
        <v>1276</v>
      </c>
      <c r="F634" s="151"/>
      <c r="G634" s="75">
        <v>4</v>
      </c>
      <c r="H634" s="33" t="s">
        <v>52</v>
      </c>
    </row>
    <row r="635" spans="1:8" x14ac:dyDescent="0.25">
      <c r="A635" s="39" t="s">
        <v>1277</v>
      </c>
      <c r="B635" s="40" t="s">
        <v>73</v>
      </c>
      <c r="C635" s="40" t="s">
        <v>240</v>
      </c>
      <c r="D635" s="136" t="s">
        <v>1278</v>
      </c>
      <c r="E635" s="136"/>
      <c r="F635" s="40" t="s">
        <v>81</v>
      </c>
      <c r="G635" s="42">
        <v>2</v>
      </c>
      <c r="H635" s="76">
        <v>0</v>
      </c>
    </row>
    <row r="636" spans="1:8" x14ac:dyDescent="0.25">
      <c r="A636" s="2" t="s">
        <v>1279</v>
      </c>
      <c r="B636" s="3" t="s">
        <v>73</v>
      </c>
      <c r="C636" s="3" t="s">
        <v>1280</v>
      </c>
      <c r="D636" s="107" t="s">
        <v>1281</v>
      </c>
      <c r="E636" s="107"/>
      <c r="F636" s="3" t="s">
        <v>276</v>
      </c>
      <c r="G636" s="31">
        <v>0.28891</v>
      </c>
      <c r="H636" s="73">
        <v>0</v>
      </c>
    </row>
    <row r="637" spans="1:8" x14ac:dyDescent="0.25">
      <c r="A637" s="72" t="s">
        <v>52</v>
      </c>
      <c r="B637" s="27" t="s">
        <v>73</v>
      </c>
      <c r="C637" s="27" t="s">
        <v>344</v>
      </c>
      <c r="D637" s="134" t="s">
        <v>345</v>
      </c>
      <c r="E637" s="134"/>
      <c r="F637" s="27" t="s">
        <v>52</v>
      </c>
      <c r="G637" s="11" t="s">
        <v>52</v>
      </c>
      <c r="H637" s="30" t="s">
        <v>52</v>
      </c>
    </row>
    <row r="638" spans="1:8" x14ac:dyDescent="0.25">
      <c r="A638" s="2" t="s">
        <v>1282</v>
      </c>
      <c r="B638" s="3" t="s">
        <v>73</v>
      </c>
      <c r="C638" s="3" t="s">
        <v>1283</v>
      </c>
      <c r="D638" s="107" t="s">
        <v>958</v>
      </c>
      <c r="E638" s="107"/>
      <c r="F638" s="3" t="s">
        <v>959</v>
      </c>
      <c r="G638" s="31">
        <v>2</v>
      </c>
      <c r="H638" s="73">
        <v>0</v>
      </c>
    </row>
    <row r="639" spans="1:8" x14ac:dyDescent="0.25">
      <c r="A639" s="2" t="s">
        <v>52</v>
      </c>
      <c r="B639" s="3" t="s">
        <v>52</v>
      </c>
      <c r="C639" s="3" t="s">
        <v>52</v>
      </c>
      <c r="D639" s="74" t="s">
        <v>66</v>
      </c>
      <c r="E639" s="151" t="s">
        <v>1286</v>
      </c>
      <c r="F639" s="151"/>
      <c r="G639" s="75">
        <v>2</v>
      </c>
      <c r="H639" s="33" t="s">
        <v>52</v>
      </c>
    </row>
    <row r="640" spans="1:8" x14ac:dyDescent="0.25">
      <c r="A640" s="72" t="s">
        <v>52</v>
      </c>
      <c r="B640" s="27" t="s">
        <v>73</v>
      </c>
      <c r="C640" s="27" t="s">
        <v>580</v>
      </c>
      <c r="D640" s="134" t="s">
        <v>670</v>
      </c>
      <c r="E640" s="134"/>
      <c r="F640" s="27" t="s">
        <v>52</v>
      </c>
      <c r="G640" s="11" t="s">
        <v>52</v>
      </c>
      <c r="H640" s="30" t="s">
        <v>52</v>
      </c>
    </row>
    <row r="641" spans="1:8" x14ac:dyDescent="0.25">
      <c r="A641" s="2" t="s">
        <v>1287</v>
      </c>
      <c r="B641" s="3" t="s">
        <v>73</v>
      </c>
      <c r="C641" s="3" t="s">
        <v>672</v>
      </c>
      <c r="D641" s="107" t="s">
        <v>1288</v>
      </c>
      <c r="E641" s="107"/>
      <c r="F641" s="3" t="s">
        <v>674</v>
      </c>
      <c r="G641" s="31">
        <v>2</v>
      </c>
      <c r="H641" s="73">
        <v>0</v>
      </c>
    </row>
    <row r="642" spans="1:8" x14ac:dyDescent="0.25">
      <c r="A642" s="2" t="s">
        <v>52</v>
      </c>
      <c r="B642" s="3" t="s">
        <v>52</v>
      </c>
      <c r="C642" s="3" t="s">
        <v>52</v>
      </c>
      <c r="D642" s="74" t="s">
        <v>1290</v>
      </c>
      <c r="E642" s="151" t="s">
        <v>52</v>
      </c>
      <c r="F642" s="151"/>
      <c r="G642" s="75">
        <v>0</v>
      </c>
      <c r="H642" s="33" t="s">
        <v>52</v>
      </c>
    </row>
    <row r="643" spans="1:8" x14ac:dyDescent="0.25">
      <c r="A643" s="2" t="s">
        <v>52</v>
      </c>
      <c r="B643" s="3" t="s">
        <v>52</v>
      </c>
      <c r="C643" s="3" t="s">
        <v>52</v>
      </c>
      <c r="D643" s="74" t="s">
        <v>1291</v>
      </c>
      <c r="E643" s="151" t="s">
        <v>52</v>
      </c>
      <c r="F643" s="151"/>
      <c r="G643" s="75">
        <v>2</v>
      </c>
      <c r="H643" s="33" t="s">
        <v>52</v>
      </c>
    </row>
    <row r="644" spans="1:8" x14ac:dyDescent="0.25">
      <c r="A644" s="2" t="s">
        <v>1292</v>
      </c>
      <c r="B644" s="3" t="s">
        <v>73</v>
      </c>
      <c r="C644" s="3" t="s">
        <v>672</v>
      </c>
      <c r="D644" s="107" t="s">
        <v>1293</v>
      </c>
      <c r="E644" s="107"/>
      <c r="F644" s="3" t="s">
        <v>674</v>
      </c>
      <c r="G644" s="31">
        <v>6</v>
      </c>
      <c r="H644" s="73">
        <v>0</v>
      </c>
    </row>
    <row r="645" spans="1:8" x14ac:dyDescent="0.25">
      <c r="A645" s="2" t="s">
        <v>52</v>
      </c>
      <c r="B645" s="3" t="s">
        <v>52</v>
      </c>
      <c r="C645" s="3" t="s">
        <v>52</v>
      </c>
      <c r="D645" s="74" t="s">
        <v>1294</v>
      </c>
      <c r="E645" s="151" t="s">
        <v>52</v>
      </c>
      <c r="F645" s="151"/>
      <c r="G645" s="75">
        <v>0</v>
      </c>
      <c r="H645" s="33" t="s">
        <v>52</v>
      </c>
    </row>
    <row r="646" spans="1:8" x14ac:dyDescent="0.25">
      <c r="A646" s="2" t="s">
        <v>52</v>
      </c>
      <c r="B646" s="3" t="s">
        <v>52</v>
      </c>
      <c r="C646" s="3" t="s">
        <v>52</v>
      </c>
      <c r="D646" s="74" t="s">
        <v>1295</v>
      </c>
      <c r="E646" s="151" t="s">
        <v>52</v>
      </c>
      <c r="F646" s="151"/>
      <c r="G646" s="75">
        <v>6</v>
      </c>
      <c r="H646" s="33" t="s">
        <v>52</v>
      </c>
    </row>
    <row r="647" spans="1:8" x14ac:dyDescent="0.25">
      <c r="A647" s="39" t="s">
        <v>1296</v>
      </c>
      <c r="B647" s="40" t="s">
        <v>73</v>
      </c>
      <c r="C647" s="40" t="s">
        <v>240</v>
      </c>
      <c r="D647" s="136" t="s">
        <v>1297</v>
      </c>
      <c r="E647" s="136"/>
      <c r="F647" s="40" t="s">
        <v>81</v>
      </c>
      <c r="G647" s="42">
        <v>1</v>
      </c>
      <c r="H647" s="76">
        <v>0</v>
      </c>
    </row>
    <row r="648" spans="1:8" x14ac:dyDescent="0.25">
      <c r="A648" s="39" t="s">
        <v>1298</v>
      </c>
      <c r="B648" s="40" t="s">
        <v>73</v>
      </c>
      <c r="C648" s="40" t="s">
        <v>240</v>
      </c>
      <c r="D648" s="136" t="s">
        <v>1299</v>
      </c>
      <c r="E648" s="136"/>
      <c r="F648" s="40" t="s">
        <v>81</v>
      </c>
      <c r="G648" s="42">
        <v>1</v>
      </c>
      <c r="H648" s="76">
        <v>0</v>
      </c>
    </row>
    <row r="649" spans="1:8" x14ac:dyDescent="0.25">
      <c r="A649" s="72" t="s">
        <v>52</v>
      </c>
      <c r="B649" s="27" t="s">
        <v>73</v>
      </c>
      <c r="C649" s="27" t="s">
        <v>605</v>
      </c>
      <c r="D649" s="134" t="s">
        <v>688</v>
      </c>
      <c r="E649" s="134"/>
      <c r="F649" s="27" t="s">
        <v>52</v>
      </c>
      <c r="G649" s="11" t="s">
        <v>52</v>
      </c>
      <c r="H649" s="30" t="s">
        <v>52</v>
      </c>
    </row>
    <row r="650" spans="1:8" x14ac:dyDescent="0.25">
      <c r="A650" s="2" t="s">
        <v>1300</v>
      </c>
      <c r="B650" s="3" t="s">
        <v>73</v>
      </c>
      <c r="C650" s="3" t="s">
        <v>976</v>
      </c>
      <c r="D650" s="107" t="s">
        <v>977</v>
      </c>
      <c r="E650" s="107"/>
      <c r="F650" s="3" t="s">
        <v>59</v>
      </c>
      <c r="G650" s="31">
        <v>1.2</v>
      </c>
      <c r="H650" s="73">
        <v>0</v>
      </c>
    </row>
    <row r="651" spans="1:8" x14ac:dyDescent="0.25">
      <c r="A651" s="2" t="s">
        <v>52</v>
      </c>
      <c r="B651" s="3" t="s">
        <v>52</v>
      </c>
      <c r="C651" s="3" t="s">
        <v>52</v>
      </c>
      <c r="D651" s="74" t="s">
        <v>1301</v>
      </c>
      <c r="E651" s="151" t="s">
        <v>52</v>
      </c>
      <c r="F651" s="151"/>
      <c r="G651" s="75">
        <v>1.2</v>
      </c>
      <c r="H651" s="33" t="s">
        <v>52</v>
      </c>
    </row>
    <row r="652" spans="1:8" x14ac:dyDescent="0.25">
      <c r="A652" s="72" t="s">
        <v>52</v>
      </c>
      <c r="B652" s="27" t="s">
        <v>73</v>
      </c>
      <c r="C652" s="27" t="s">
        <v>613</v>
      </c>
      <c r="D652" s="134" t="s">
        <v>695</v>
      </c>
      <c r="E652" s="134"/>
      <c r="F652" s="27" t="s">
        <v>52</v>
      </c>
      <c r="G652" s="11" t="s">
        <v>52</v>
      </c>
      <c r="H652" s="30" t="s">
        <v>52</v>
      </c>
    </row>
    <row r="653" spans="1:8" x14ac:dyDescent="0.25">
      <c r="A653" s="2" t="s">
        <v>1302</v>
      </c>
      <c r="B653" s="3" t="s">
        <v>73</v>
      </c>
      <c r="C653" s="3" t="s">
        <v>1303</v>
      </c>
      <c r="D653" s="107" t="s">
        <v>1304</v>
      </c>
      <c r="E653" s="107"/>
      <c r="F653" s="3" t="s">
        <v>81</v>
      </c>
      <c r="G653" s="31">
        <v>2</v>
      </c>
      <c r="H653" s="73">
        <v>0</v>
      </c>
    </row>
    <row r="654" spans="1:8" x14ac:dyDescent="0.25">
      <c r="A654" s="39" t="s">
        <v>1305</v>
      </c>
      <c r="B654" s="40" t="s">
        <v>73</v>
      </c>
      <c r="C654" s="40" t="s">
        <v>240</v>
      </c>
      <c r="D654" s="136" t="s">
        <v>1306</v>
      </c>
      <c r="E654" s="136"/>
      <c r="F654" s="40" t="s">
        <v>81</v>
      </c>
      <c r="G654" s="42">
        <v>2</v>
      </c>
      <c r="H654" s="76">
        <v>0</v>
      </c>
    </row>
    <row r="655" spans="1:8" x14ac:dyDescent="0.25">
      <c r="A655" s="72" t="s">
        <v>52</v>
      </c>
      <c r="B655" s="27" t="s">
        <v>73</v>
      </c>
      <c r="C655" s="27" t="s">
        <v>618</v>
      </c>
      <c r="D655" s="134" t="s">
        <v>700</v>
      </c>
      <c r="E655" s="134"/>
      <c r="F655" s="27" t="s">
        <v>52</v>
      </c>
      <c r="G655" s="11" t="s">
        <v>52</v>
      </c>
      <c r="H655" s="30" t="s">
        <v>52</v>
      </c>
    </row>
    <row r="656" spans="1:8" x14ac:dyDescent="0.25">
      <c r="A656" s="2" t="s">
        <v>1307</v>
      </c>
      <c r="B656" s="3" t="s">
        <v>73</v>
      </c>
      <c r="C656" s="3" t="s">
        <v>1308</v>
      </c>
      <c r="D656" s="107" t="s">
        <v>1309</v>
      </c>
      <c r="E656" s="107"/>
      <c r="F656" s="3" t="s">
        <v>215</v>
      </c>
      <c r="G656" s="31">
        <v>1</v>
      </c>
      <c r="H656" s="73">
        <v>0</v>
      </c>
    </row>
    <row r="657" spans="1:8" x14ac:dyDescent="0.25">
      <c r="A657" s="72" t="s">
        <v>52</v>
      </c>
      <c r="B657" s="27" t="s">
        <v>73</v>
      </c>
      <c r="C657" s="27" t="s">
        <v>771</v>
      </c>
      <c r="D657" s="134" t="s">
        <v>772</v>
      </c>
      <c r="E657" s="134"/>
      <c r="F657" s="27" t="s">
        <v>52</v>
      </c>
      <c r="G657" s="11" t="s">
        <v>52</v>
      </c>
      <c r="H657" s="30" t="s">
        <v>52</v>
      </c>
    </row>
    <row r="658" spans="1:8" x14ac:dyDescent="0.25">
      <c r="A658" s="2" t="s">
        <v>1310</v>
      </c>
      <c r="B658" s="3" t="s">
        <v>73</v>
      </c>
      <c r="C658" s="3" t="s">
        <v>774</v>
      </c>
      <c r="D658" s="107" t="s">
        <v>775</v>
      </c>
      <c r="E658" s="107"/>
      <c r="F658" s="3" t="s">
        <v>276</v>
      </c>
      <c r="G658" s="31">
        <v>9.5519999999999994E-2</v>
      </c>
      <c r="H658" s="73">
        <v>0</v>
      </c>
    </row>
    <row r="659" spans="1:8" x14ac:dyDescent="0.25">
      <c r="A659" s="72" t="s">
        <v>52</v>
      </c>
      <c r="B659" s="27" t="s">
        <v>73</v>
      </c>
      <c r="C659" s="27" t="s">
        <v>777</v>
      </c>
      <c r="D659" s="134" t="s">
        <v>778</v>
      </c>
      <c r="E659" s="134"/>
      <c r="F659" s="27" t="s">
        <v>52</v>
      </c>
      <c r="G659" s="11" t="s">
        <v>52</v>
      </c>
      <c r="H659" s="30" t="s">
        <v>52</v>
      </c>
    </row>
    <row r="660" spans="1:8" x14ac:dyDescent="0.25">
      <c r="A660" s="2" t="s">
        <v>1311</v>
      </c>
      <c r="B660" s="3" t="s">
        <v>73</v>
      </c>
      <c r="C660" s="3" t="s">
        <v>780</v>
      </c>
      <c r="D660" s="107" t="s">
        <v>781</v>
      </c>
      <c r="E660" s="107"/>
      <c r="F660" s="3" t="s">
        <v>276</v>
      </c>
      <c r="G660" s="31">
        <v>0.19464000000000001</v>
      </c>
      <c r="H660" s="73">
        <v>0</v>
      </c>
    </row>
    <row r="661" spans="1:8" x14ac:dyDescent="0.25">
      <c r="A661" s="2" t="s">
        <v>1312</v>
      </c>
      <c r="B661" s="3" t="s">
        <v>73</v>
      </c>
      <c r="C661" s="3" t="s">
        <v>784</v>
      </c>
      <c r="D661" s="107" t="s">
        <v>785</v>
      </c>
      <c r="E661" s="107"/>
      <c r="F661" s="3" t="s">
        <v>276</v>
      </c>
      <c r="G661" s="31">
        <v>2.9196</v>
      </c>
      <c r="H661" s="73">
        <v>0</v>
      </c>
    </row>
    <row r="662" spans="1:8" x14ac:dyDescent="0.25">
      <c r="A662" s="2" t="s">
        <v>52</v>
      </c>
      <c r="B662" s="3" t="s">
        <v>52</v>
      </c>
      <c r="C662" s="3" t="s">
        <v>52</v>
      </c>
      <c r="D662" s="74" t="s">
        <v>1313</v>
      </c>
      <c r="E662" s="151" t="s">
        <v>52</v>
      </c>
      <c r="F662" s="151"/>
      <c r="G662" s="75">
        <v>2.9196</v>
      </c>
      <c r="H662" s="33" t="s">
        <v>52</v>
      </c>
    </row>
    <row r="663" spans="1:8" x14ac:dyDescent="0.25">
      <c r="A663" s="2" t="s">
        <v>1314</v>
      </c>
      <c r="B663" s="3" t="s">
        <v>73</v>
      </c>
      <c r="C663" s="3" t="s">
        <v>788</v>
      </c>
      <c r="D663" s="107" t="s">
        <v>789</v>
      </c>
      <c r="E663" s="107"/>
      <c r="F663" s="3" t="s">
        <v>276</v>
      </c>
      <c r="G663" s="31">
        <v>0.19464000000000001</v>
      </c>
      <c r="H663" s="73">
        <v>0</v>
      </c>
    </row>
    <row r="664" spans="1:8" x14ac:dyDescent="0.25">
      <c r="A664" s="2" t="s">
        <v>1315</v>
      </c>
      <c r="B664" s="3" t="s">
        <v>73</v>
      </c>
      <c r="C664" s="3" t="s">
        <v>791</v>
      </c>
      <c r="D664" s="107" t="s">
        <v>792</v>
      </c>
      <c r="E664" s="107"/>
      <c r="F664" s="3" t="s">
        <v>276</v>
      </c>
      <c r="G664" s="31">
        <v>0.19464000000000001</v>
      </c>
      <c r="H664" s="73">
        <v>0</v>
      </c>
    </row>
    <row r="665" spans="1:8" x14ac:dyDescent="0.25">
      <c r="A665" s="2" t="s">
        <v>1316</v>
      </c>
      <c r="B665" s="3" t="s">
        <v>73</v>
      </c>
      <c r="C665" s="3" t="s">
        <v>794</v>
      </c>
      <c r="D665" s="107" t="s">
        <v>795</v>
      </c>
      <c r="E665" s="107"/>
      <c r="F665" s="3" t="s">
        <v>276</v>
      </c>
      <c r="G665" s="31">
        <v>0.19464000000000001</v>
      </c>
      <c r="H665" s="73">
        <v>0</v>
      </c>
    </row>
    <row r="666" spans="1:8" x14ac:dyDescent="0.25">
      <c r="A666" s="2" t="s">
        <v>1317</v>
      </c>
      <c r="B666" s="3" t="s">
        <v>73</v>
      </c>
      <c r="C666" s="3" t="s">
        <v>797</v>
      </c>
      <c r="D666" s="107" t="s">
        <v>798</v>
      </c>
      <c r="E666" s="107"/>
      <c r="F666" s="3" t="s">
        <v>276</v>
      </c>
      <c r="G666" s="31">
        <v>0.19464000000000001</v>
      </c>
      <c r="H666" s="73">
        <v>0</v>
      </c>
    </row>
    <row r="667" spans="1:8" x14ac:dyDescent="0.25">
      <c r="A667" s="78" t="s">
        <v>52</v>
      </c>
      <c r="B667" s="47" t="s">
        <v>78</v>
      </c>
      <c r="C667" s="47" t="s">
        <v>52</v>
      </c>
      <c r="D667" s="142" t="s">
        <v>1318</v>
      </c>
      <c r="E667" s="142"/>
      <c r="F667" s="47" t="s">
        <v>52</v>
      </c>
      <c r="G667" s="79" t="s">
        <v>52</v>
      </c>
      <c r="H667" s="50" t="s">
        <v>52</v>
      </c>
    </row>
    <row r="668" spans="1:8" x14ac:dyDescent="0.25">
      <c r="A668" s="72" t="s">
        <v>52</v>
      </c>
      <c r="B668" s="27" t="s">
        <v>78</v>
      </c>
      <c r="C668" s="27" t="s">
        <v>288</v>
      </c>
      <c r="D668" s="134" t="s">
        <v>289</v>
      </c>
      <c r="E668" s="134"/>
      <c r="F668" s="27" t="s">
        <v>52</v>
      </c>
      <c r="G668" s="11" t="s">
        <v>52</v>
      </c>
      <c r="H668" s="30" t="s">
        <v>52</v>
      </c>
    </row>
    <row r="669" spans="1:8" x14ac:dyDescent="0.25">
      <c r="A669" s="2" t="s">
        <v>1319</v>
      </c>
      <c r="B669" s="3" t="s">
        <v>78</v>
      </c>
      <c r="C669" s="3" t="s">
        <v>1320</v>
      </c>
      <c r="D669" s="107" t="s">
        <v>1321</v>
      </c>
      <c r="E669" s="107"/>
      <c r="F669" s="3" t="s">
        <v>215</v>
      </c>
      <c r="G669" s="31">
        <v>2.2000000000000002</v>
      </c>
      <c r="H669" s="73">
        <v>0</v>
      </c>
    </row>
    <row r="670" spans="1:8" x14ac:dyDescent="0.25">
      <c r="A670" s="2" t="s">
        <v>1324</v>
      </c>
      <c r="B670" s="3" t="s">
        <v>78</v>
      </c>
      <c r="C670" s="3" t="s">
        <v>1325</v>
      </c>
      <c r="D670" s="107" t="s">
        <v>1326</v>
      </c>
      <c r="E670" s="107"/>
      <c r="F670" s="3" t="s">
        <v>81</v>
      </c>
      <c r="G670" s="31">
        <v>1</v>
      </c>
      <c r="H670" s="73">
        <v>0</v>
      </c>
    </row>
    <row r="671" spans="1:8" x14ac:dyDescent="0.25">
      <c r="A671" s="2" t="s">
        <v>1327</v>
      </c>
      <c r="B671" s="3" t="s">
        <v>78</v>
      </c>
      <c r="C671" s="3" t="s">
        <v>1328</v>
      </c>
      <c r="D671" s="107" t="s">
        <v>1329</v>
      </c>
      <c r="E671" s="107"/>
      <c r="F671" s="3" t="s">
        <v>276</v>
      </c>
      <c r="G671" s="31">
        <v>2.1600000000000001E-2</v>
      </c>
      <c r="H671" s="73">
        <v>0</v>
      </c>
    </row>
    <row r="672" spans="1:8" x14ac:dyDescent="0.25">
      <c r="A672" s="2" t="s">
        <v>52</v>
      </c>
      <c r="B672" s="3" t="s">
        <v>52</v>
      </c>
      <c r="C672" s="3" t="s">
        <v>52</v>
      </c>
      <c r="D672" s="74" t="s">
        <v>1330</v>
      </c>
      <c r="E672" s="151" t="s">
        <v>52</v>
      </c>
      <c r="F672" s="151"/>
      <c r="G672" s="75">
        <v>2.1600000000000001E-2</v>
      </c>
      <c r="H672" s="33" t="s">
        <v>52</v>
      </c>
    </row>
    <row r="673" spans="1:8" x14ac:dyDescent="0.25">
      <c r="A673" s="2" t="s">
        <v>1331</v>
      </c>
      <c r="B673" s="3" t="s">
        <v>78</v>
      </c>
      <c r="C673" s="3" t="s">
        <v>1332</v>
      </c>
      <c r="D673" s="107" t="s">
        <v>1333</v>
      </c>
      <c r="E673" s="107"/>
      <c r="F673" s="3" t="s">
        <v>81</v>
      </c>
      <c r="G673" s="31">
        <v>1</v>
      </c>
      <c r="H673" s="73">
        <v>0</v>
      </c>
    </row>
    <row r="674" spans="1:8" x14ac:dyDescent="0.25">
      <c r="A674" s="2" t="s">
        <v>52</v>
      </c>
      <c r="B674" s="3" t="s">
        <v>52</v>
      </c>
      <c r="C674" s="3" t="s">
        <v>52</v>
      </c>
      <c r="D674" s="74" t="s">
        <v>56</v>
      </c>
      <c r="E674" s="151" t="s">
        <v>1334</v>
      </c>
      <c r="F674" s="151"/>
      <c r="G674" s="75">
        <v>1</v>
      </c>
      <c r="H674" s="33" t="s">
        <v>52</v>
      </c>
    </row>
    <row r="675" spans="1:8" x14ac:dyDescent="0.25">
      <c r="A675" s="2" t="s">
        <v>1335</v>
      </c>
      <c r="B675" s="3" t="s">
        <v>78</v>
      </c>
      <c r="C675" s="3" t="s">
        <v>1336</v>
      </c>
      <c r="D675" s="107" t="s">
        <v>1337</v>
      </c>
      <c r="E675" s="107"/>
      <c r="F675" s="3" t="s">
        <v>81</v>
      </c>
      <c r="G675" s="31">
        <v>1</v>
      </c>
      <c r="H675" s="73">
        <v>0</v>
      </c>
    </row>
    <row r="676" spans="1:8" x14ac:dyDescent="0.25">
      <c r="A676" s="39" t="s">
        <v>1338</v>
      </c>
      <c r="B676" s="40" t="s">
        <v>78</v>
      </c>
      <c r="C676" s="40" t="s">
        <v>240</v>
      </c>
      <c r="D676" s="136" t="s">
        <v>1339</v>
      </c>
      <c r="E676" s="136"/>
      <c r="F676" s="40" t="s">
        <v>81</v>
      </c>
      <c r="G676" s="42">
        <v>1</v>
      </c>
      <c r="H676" s="76">
        <v>0</v>
      </c>
    </row>
    <row r="677" spans="1:8" x14ac:dyDescent="0.25">
      <c r="A677" s="2" t="s">
        <v>1340</v>
      </c>
      <c r="B677" s="3" t="s">
        <v>78</v>
      </c>
      <c r="C677" s="3" t="s">
        <v>1341</v>
      </c>
      <c r="D677" s="107" t="s">
        <v>1342</v>
      </c>
      <c r="E677" s="107"/>
      <c r="F677" s="3" t="s">
        <v>215</v>
      </c>
      <c r="G677" s="31">
        <v>0.5</v>
      </c>
      <c r="H677" s="73">
        <v>0</v>
      </c>
    </row>
    <row r="678" spans="1:8" x14ac:dyDescent="0.25">
      <c r="A678" s="2" t="s">
        <v>1344</v>
      </c>
      <c r="B678" s="3" t="s">
        <v>78</v>
      </c>
      <c r="C678" s="3" t="s">
        <v>1345</v>
      </c>
      <c r="D678" s="107" t="s">
        <v>1346</v>
      </c>
      <c r="E678" s="107"/>
      <c r="F678" s="3" t="s">
        <v>215</v>
      </c>
      <c r="G678" s="31">
        <v>0.6</v>
      </c>
      <c r="H678" s="73">
        <v>0</v>
      </c>
    </row>
    <row r="679" spans="1:8" x14ac:dyDescent="0.25">
      <c r="A679" s="2" t="s">
        <v>1348</v>
      </c>
      <c r="B679" s="3" t="s">
        <v>78</v>
      </c>
      <c r="C679" s="3" t="s">
        <v>1349</v>
      </c>
      <c r="D679" s="107" t="s">
        <v>1350</v>
      </c>
      <c r="E679" s="107"/>
      <c r="F679" s="3" t="s">
        <v>81</v>
      </c>
      <c r="G679" s="31">
        <v>1</v>
      </c>
      <c r="H679" s="73">
        <v>0</v>
      </c>
    </row>
    <row r="680" spans="1:8" x14ac:dyDescent="0.25">
      <c r="A680" s="39" t="s">
        <v>1351</v>
      </c>
      <c r="B680" s="40" t="s">
        <v>78</v>
      </c>
      <c r="C680" s="40" t="s">
        <v>240</v>
      </c>
      <c r="D680" s="136" t="s">
        <v>1352</v>
      </c>
      <c r="E680" s="136"/>
      <c r="F680" s="40" t="s">
        <v>81</v>
      </c>
      <c r="G680" s="42">
        <v>1</v>
      </c>
      <c r="H680" s="76">
        <v>0</v>
      </c>
    </row>
    <row r="681" spans="1:8" x14ac:dyDescent="0.25">
      <c r="A681" s="2" t="s">
        <v>1353</v>
      </c>
      <c r="B681" s="3" t="s">
        <v>78</v>
      </c>
      <c r="C681" s="3" t="s">
        <v>1354</v>
      </c>
      <c r="D681" s="107" t="s">
        <v>1355</v>
      </c>
      <c r="E681" s="107"/>
      <c r="F681" s="3" t="s">
        <v>81</v>
      </c>
      <c r="G681" s="31">
        <v>1</v>
      </c>
      <c r="H681" s="73">
        <v>0</v>
      </c>
    </row>
    <row r="682" spans="1:8" x14ac:dyDescent="0.25">
      <c r="A682" s="39" t="s">
        <v>1356</v>
      </c>
      <c r="B682" s="40" t="s">
        <v>78</v>
      </c>
      <c r="C682" s="40" t="s">
        <v>240</v>
      </c>
      <c r="D682" s="136" t="s">
        <v>1357</v>
      </c>
      <c r="E682" s="136"/>
      <c r="F682" s="40" t="s">
        <v>81</v>
      </c>
      <c r="G682" s="42">
        <v>1</v>
      </c>
      <c r="H682" s="76">
        <v>0</v>
      </c>
    </row>
    <row r="683" spans="1:8" x14ac:dyDescent="0.25">
      <c r="A683" s="2" t="s">
        <v>1358</v>
      </c>
      <c r="B683" s="3" t="s">
        <v>78</v>
      </c>
      <c r="C683" s="3" t="s">
        <v>296</v>
      </c>
      <c r="D683" s="107" t="s">
        <v>297</v>
      </c>
      <c r="E683" s="107"/>
      <c r="F683" s="3" t="s">
        <v>276</v>
      </c>
      <c r="G683" s="31">
        <v>2.4850000000000001E-2</v>
      </c>
      <c r="H683" s="73">
        <v>0</v>
      </c>
    </row>
    <row r="684" spans="1:8" x14ac:dyDescent="0.25">
      <c r="A684" s="72" t="s">
        <v>52</v>
      </c>
      <c r="B684" s="27" t="s">
        <v>78</v>
      </c>
      <c r="C684" s="27" t="s">
        <v>605</v>
      </c>
      <c r="D684" s="134" t="s">
        <v>688</v>
      </c>
      <c r="E684" s="134"/>
      <c r="F684" s="27" t="s">
        <v>52</v>
      </c>
      <c r="G684" s="11" t="s">
        <v>52</v>
      </c>
      <c r="H684" s="30" t="s">
        <v>52</v>
      </c>
    </row>
    <row r="685" spans="1:8" x14ac:dyDescent="0.25">
      <c r="A685" s="2" t="s">
        <v>1359</v>
      </c>
      <c r="B685" s="3" t="s">
        <v>78</v>
      </c>
      <c r="C685" s="3" t="s">
        <v>976</v>
      </c>
      <c r="D685" s="107" t="s">
        <v>977</v>
      </c>
      <c r="E685" s="107"/>
      <c r="F685" s="3" t="s">
        <v>59</v>
      </c>
      <c r="G685" s="31">
        <v>1.8</v>
      </c>
      <c r="H685" s="73">
        <v>0</v>
      </c>
    </row>
    <row r="686" spans="1:8" x14ac:dyDescent="0.25">
      <c r="A686" s="2" t="s">
        <v>52</v>
      </c>
      <c r="B686" s="3" t="s">
        <v>52</v>
      </c>
      <c r="C686" s="3" t="s">
        <v>52</v>
      </c>
      <c r="D686" s="74" t="s">
        <v>1361</v>
      </c>
      <c r="E686" s="151" t="s">
        <v>52</v>
      </c>
      <c r="F686" s="151"/>
      <c r="G686" s="75">
        <v>1.8</v>
      </c>
      <c r="H686" s="33" t="s">
        <v>52</v>
      </c>
    </row>
    <row r="687" spans="1:8" x14ac:dyDescent="0.25">
      <c r="A687" s="72" t="s">
        <v>52</v>
      </c>
      <c r="B687" s="27" t="s">
        <v>78</v>
      </c>
      <c r="C687" s="27" t="s">
        <v>777</v>
      </c>
      <c r="D687" s="134" t="s">
        <v>778</v>
      </c>
      <c r="E687" s="134"/>
      <c r="F687" s="27" t="s">
        <v>52</v>
      </c>
      <c r="G687" s="11" t="s">
        <v>52</v>
      </c>
      <c r="H687" s="30" t="s">
        <v>52</v>
      </c>
    </row>
    <row r="688" spans="1:8" x14ac:dyDescent="0.25">
      <c r="A688" s="2" t="s">
        <v>1362</v>
      </c>
      <c r="B688" s="3" t="s">
        <v>78</v>
      </c>
      <c r="C688" s="3" t="s">
        <v>780</v>
      </c>
      <c r="D688" s="107" t="s">
        <v>781</v>
      </c>
      <c r="E688" s="107"/>
      <c r="F688" s="3" t="s">
        <v>276</v>
      </c>
      <c r="G688" s="31">
        <v>1.7600000000000001E-2</v>
      </c>
      <c r="H688" s="73">
        <v>0</v>
      </c>
    </row>
    <row r="689" spans="1:8" x14ac:dyDescent="0.25">
      <c r="A689" s="2" t="s">
        <v>1363</v>
      </c>
      <c r="B689" s="3" t="s">
        <v>78</v>
      </c>
      <c r="C689" s="3" t="s">
        <v>784</v>
      </c>
      <c r="D689" s="107" t="s">
        <v>785</v>
      </c>
      <c r="E689" s="107"/>
      <c r="F689" s="3" t="s">
        <v>276</v>
      </c>
      <c r="G689" s="31">
        <v>0.26400000000000001</v>
      </c>
      <c r="H689" s="73">
        <v>0</v>
      </c>
    </row>
    <row r="690" spans="1:8" x14ac:dyDescent="0.25">
      <c r="A690" s="2" t="s">
        <v>52</v>
      </c>
      <c r="B690" s="3" t="s">
        <v>52</v>
      </c>
      <c r="C690" s="3" t="s">
        <v>52</v>
      </c>
      <c r="D690" s="74" t="s">
        <v>1364</v>
      </c>
      <c r="E690" s="151" t="s">
        <v>52</v>
      </c>
      <c r="F690" s="151"/>
      <c r="G690" s="75">
        <v>0.26400000000000001</v>
      </c>
      <c r="H690" s="33" t="s">
        <v>52</v>
      </c>
    </row>
    <row r="691" spans="1:8" x14ac:dyDescent="0.25">
      <c r="A691" s="2" t="s">
        <v>1365</v>
      </c>
      <c r="B691" s="3" t="s">
        <v>78</v>
      </c>
      <c r="C691" s="3" t="s">
        <v>788</v>
      </c>
      <c r="D691" s="107" t="s">
        <v>789</v>
      </c>
      <c r="E691" s="107"/>
      <c r="F691" s="3" t="s">
        <v>276</v>
      </c>
      <c r="G691" s="31">
        <v>1.7600000000000001E-2</v>
      </c>
      <c r="H691" s="73">
        <v>0</v>
      </c>
    </row>
    <row r="692" spans="1:8" x14ac:dyDescent="0.25">
      <c r="A692" s="2" t="s">
        <v>1366</v>
      </c>
      <c r="B692" s="3" t="s">
        <v>78</v>
      </c>
      <c r="C692" s="3" t="s">
        <v>791</v>
      </c>
      <c r="D692" s="107" t="s">
        <v>792</v>
      </c>
      <c r="E692" s="107"/>
      <c r="F692" s="3" t="s">
        <v>276</v>
      </c>
      <c r="G692" s="31">
        <v>1.7600000000000001E-2</v>
      </c>
      <c r="H692" s="73">
        <v>0</v>
      </c>
    </row>
    <row r="693" spans="1:8" x14ac:dyDescent="0.25">
      <c r="A693" s="2" t="s">
        <v>1367</v>
      </c>
      <c r="B693" s="3" t="s">
        <v>78</v>
      </c>
      <c r="C693" s="3" t="s">
        <v>794</v>
      </c>
      <c r="D693" s="107" t="s">
        <v>795</v>
      </c>
      <c r="E693" s="107"/>
      <c r="F693" s="3" t="s">
        <v>276</v>
      </c>
      <c r="G693" s="31">
        <v>1.7600000000000001E-2</v>
      </c>
      <c r="H693" s="73">
        <v>0</v>
      </c>
    </row>
    <row r="694" spans="1:8" x14ac:dyDescent="0.25">
      <c r="A694" s="51" t="s">
        <v>1368</v>
      </c>
      <c r="B694" s="52" t="s">
        <v>78</v>
      </c>
      <c r="C694" s="52" t="s">
        <v>797</v>
      </c>
      <c r="D694" s="144" t="s">
        <v>798</v>
      </c>
      <c r="E694" s="144"/>
      <c r="F694" s="52" t="s">
        <v>276</v>
      </c>
      <c r="G694" s="53">
        <v>1.7600000000000001E-2</v>
      </c>
      <c r="H694" s="80">
        <v>0</v>
      </c>
    </row>
    <row r="696" spans="1:8" x14ac:dyDescent="0.25">
      <c r="A696" s="57" t="s">
        <v>1370</v>
      </c>
    </row>
    <row r="697" spans="1:8" ht="12.75" customHeight="1" x14ac:dyDescent="0.25">
      <c r="A697" s="112" t="s">
        <v>52</v>
      </c>
      <c r="B697" s="107"/>
      <c r="C697" s="107"/>
      <c r="D697" s="107"/>
      <c r="E697" s="107"/>
      <c r="F697" s="107"/>
      <c r="G697" s="107"/>
    </row>
  </sheetData>
  <sheetProtection password="C82F" sheet="1"/>
  <mergeCells count="703">
    <mergeCell ref="D694:E694"/>
    <mergeCell ref="A697:G697"/>
    <mergeCell ref="D689:E689"/>
    <mergeCell ref="E690:F690"/>
    <mergeCell ref="D691:E691"/>
    <mergeCell ref="D692:E692"/>
    <mergeCell ref="D693:E693"/>
    <mergeCell ref="D684:E684"/>
    <mergeCell ref="D685:E685"/>
    <mergeCell ref="E686:F686"/>
    <mergeCell ref="D687:E687"/>
    <mergeCell ref="D688:E688"/>
    <mergeCell ref="D679:E679"/>
    <mergeCell ref="D680:E680"/>
    <mergeCell ref="D681:E681"/>
    <mergeCell ref="D682:E682"/>
    <mergeCell ref="D683:E683"/>
    <mergeCell ref="E674:F674"/>
    <mergeCell ref="D675:E675"/>
    <mergeCell ref="D676:E676"/>
    <mergeCell ref="D677:E677"/>
    <mergeCell ref="D678:E678"/>
    <mergeCell ref="D669:E669"/>
    <mergeCell ref="D670:E670"/>
    <mergeCell ref="D671:E671"/>
    <mergeCell ref="E672:F672"/>
    <mergeCell ref="D673:E673"/>
    <mergeCell ref="D664:E664"/>
    <mergeCell ref="D665:E665"/>
    <mergeCell ref="D666:E666"/>
    <mergeCell ref="D667:E667"/>
    <mergeCell ref="D668:E668"/>
    <mergeCell ref="D659:E659"/>
    <mergeCell ref="D660:E660"/>
    <mergeCell ref="D661:E661"/>
    <mergeCell ref="E662:F662"/>
    <mergeCell ref="D663:E663"/>
    <mergeCell ref="D654:E654"/>
    <mergeCell ref="D655:E655"/>
    <mergeCell ref="D656:E656"/>
    <mergeCell ref="D657:E657"/>
    <mergeCell ref="D658:E658"/>
    <mergeCell ref="D649:E649"/>
    <mergeCell ref="D650:E650"/>
    <mergeCell ref="E651:F651"/>
    <mergeCell ref="D652:E652"/>
    <mergeCell ref="D653:E653"/>
    <mergeCell ref="D644:E644"/>
    <mergeCell ref="E645:F645"/>
    <mergeCell ref="E646:F646"/>
    <mergeCell ref="D647:E647"/>
    <mergeCell ref="D648:E648"/>
    <mergeCell ref="E639:F639"/>
    <mergeCell ref="D640:E640"/>
    <mergeCell ref="D641:E641"/>
    <mergeCell ref="E642:F642"/>
    <mergeCell ref="E643:F643"/>
    <mergeCell ref="E634:F634"/>
    <mergeCell ref="D635:E635"/>
    <mergeCell ref="D636:E636"/>
    <mergeCell ref="D637:E637"/>
    <mergeCell ref="D638:E638"/>
    <mergeCell ref="D629:E629"/>
    <mergeCell ref="D630:E630"/>
    <mergeCell ref="D631:E631"/>
    <mergeCell ref="D632:E632"/>
    <mergeCell ref="D633:E633"/>
    <mergeCell ref="D624:E624"/>
    <mergeCell ref="D625:E625"/>
    <mergeCell ref="D626:E626"/>
    <mergeCell ref="D627:E627"/>
    <mergeCell ref="E628:F628"/>
    <mergeCell ref="D619:E619"/>
    <mergeCell ref="D620:E620"/>
    <mergeCell ref="D621:E621"/>
    <mergeCell ref="D622:E622"/>
    <mergeCell ref="D623:E623"/>
    <mergeCell ref="D614:E614"/>
    <mergeCell ref="D615:E615"/>
    <mergeCell ref="D616:E616"/>
    <mergeCell ref="D617:E617"/>
    <mergeCell ref="D618:E618"/>
    <mergeCell ref="E609:F609"/>
    <mergeCell ref="E610:F610"/>
    <mergeCell ref="D611:E611"/>
    <mergeCell ref="D612:E612"/>
    <mergeCell ref="E613:F613"/>
    <mergeCell ref="D604:E604"/>
    <mergeCell ref="E605:F605"/>
    <mergeCell ref="D606:E606"/>
    <mergeCell ref="E607:F607"/>
    <mergeCell ref="D608:E608"/>
    <mergeCell ref="D599:E599"/>
    <mergeCell ref="E600:F600"/>
    <mergeCell ref="D601:E601"/>
    <mergeCell ref="D602:E602"/>
    <mergeCell ref="E603:F603"/>
    <mergeCell ref="E594:F594"/>
    <mergeCell ref="D595:E595"/>
    <mergeCell ref="D596:E596"/>
    <mergeCell ref="D597:E597"/>
    <mergeCell ref="D598:E598"/>
    <mergeCell ref="D589:E589"/>
    <mergeCell ref="D590:E590"/>
    <mergeCell ref="E591:F591"/>
    <mergeCell ref="E592:F592"/>
    <mergeCell ref="D593:E593"/>
    <mergeCell ref="D584:E584"/>
    <mergeCell ref="D585:E585"/>
    <mergeCell ref="D586:E586"/>
    <mergeCell ref="D587:E587"/>
    <mergeCell ref="D588:E588"/>
    <mergeCell ref="E579:F579"/>
    <mergeCell ref="E580:F580"/>
    <mergeCell ref="D581:E581"/>
    <mergeCell ref="D582:E582"/>
    <mergeCell ref="D583:E583"/>
    <mergeCell ref="D574:E574"/>
    <mergeCell ref="E575:F575"/>
    <mergeCell ref="D576:E576"/>
    <mergeCell ref="E577:F577"/>
    <mergeCell ref="D578:E578"/>
    <mergeCell ref="D569:E569"/>
    <mergeCell ref="D570:E570"/>
    <mergeCell ref="D571:E571"/>
    <mergeCell ref="D572:E572"/>
    <mergeCell ref="D573:E573"/>
    <mergeCell ref="D564:E564"/>
    <mergeCell ref="D565:E565"/>
    <mergeCell ref="D566:E566"/>
    <mergeCell ref="D567:E567"/>
    <mergeCell ref="E568:F568"/>
    <mergeCell ref="E559:F559"/>
    <mergeCell ref="D560:E560"/>
    <mergeCell ref="D561:E561"/>
    <mergeCell ref="D562:E562"/>
    <mergeCell ref="D563:E563"/>
    <mergeCell ref="D554:E554"/>
    <mergeCell ref="D555:E555"/>
    <mergeCell ref="D556:E556"/>
    <mergeCell ref="D557:E557"/>
    <mergeCell ref="D558:E558"/>
    <mergeCell ref="E549:F549"/>
    <mergeCell ref="D550:E550"/>
    <mergeCell ref="D551:E551"/>
    <mergeCell ref="D552:E552"/>
    <mergeCell ref="E553:F553"/>
    <mergeCell ref="D544:E544"/>
    <mergeCell ref="E545:F545"/>
    <mergeCell ref="D546:E546"/>
    <mergeCell ref="E547:F547"/>
    <mergeCell ref="D548:E548"/>
    <mergeCell ref="D539:E539"/>
    <mergeCell ref="D540:E540"/>
    <mergeCell ref="E541:F541"/>
    <mergeCell ref="D542:E542"/>
    <mergeCell ref="E543:F543"/>
    <mergeCell ref="D534:E534"/>
    <mergeCell ref="D535:E535"/>
    <mergeCell ref="D536:E536"/>
    <mergeCell ref="D537:E537"/>
    <mergeCell ref="D538:E538"/>
    <mergeCell ref="D529:E529"/>
    <mergeCell ref="D530:E530"/>
    <mergeCell ref="D531:E531"/>
    <mergeCell ref="D532:E532"/>
    <mergeCell ref="D533:E533"/>
    <mergeCell ref="D524:E524"/>
    <mergeCell ref="D525:E525"/>
    <mergeCell ref="E526:F526"/>
    <mergeCell ref="D527:E527"/>
    <mergeCell ref="D528:E528"/>
    <mergeCell ref="D519:E519"/>
    <mergeCell ref="D520:E520"/>
    <mergeCell ref="D521:E521"/>
    <mergeCell ref="D522:E522"/>
    <mergeCell ref="D523:E523"/>
    <mergeCell ref="D514:E514"/>
    <mergeCell ref="D515:E515"/>
    <mergeCell ref="D516:E516"/>
    <mergeCell ref="E517:F517"/>
    <mergeCell ref="D518:E518"/>
    <mergeCell ref="E509:F509"/>
    <mergeCell ref="D510:E510"/>
    <mergeCell ref="D511:E511"/>
    <mergeCell ref="D512:E512"/>
    <mergeCell ref="D513:E513"/>
    <mergeCell ref="E504:F504"/>
    <mergeCell ref="D505:E505"/>
    <mergeCell ref="E506:F506"/>
    <mergeCell ref="D507:E507"/>
    <mergeCell ref="D508:E508"/>
    <mergeCell ref="D499:E499"/>
    <mergeCell ref="D500:E500"/>
    <mergeCell ref="E501:F501"/>
    <mergeCell ref="E502:F502"/>
    <mergeCell ref="D503:E503"/>
    <mergeCell ref="D494:E494"/>
    <mergeCell ref="D495:E495"/>
    <mergeCell ref="D496:E496"/>
    <mergeCell ref="E497:F497"/>
    <mergeCell ref="D498:E498"/>
    <mergeCell ref="D489:E489"/>
    <mergeCell ref="E490:F490"/>
    <mergeCell ref="D491:E491"/>
    <mergeCell ref="E492:F492"/>
    <mergeCell ref="E493:F493"/>
    <mergeCell ref="D484:E484"/>
    <mergeCell ref="E485:F485"/>
    <mergeCell ref="D486:E486"/>
    <mergeCell ref="E487:F487"/>
    <mergeCell ref="E488:F488"/>
    <mergeCell ref="E479:F479"/>
    <mergeCell ref="E480:F480"/>
    <mergeCell ref="D481:E481"/>
    <mergeCell ref="E482:F482"/>
    <mergeCell ref="E483:F483"/>
    <mergeCell ref="D474:E474"/>
    <mergeCell ref="E475:F475"/>
    <mergeCell ref="D476:E476"/>
    <mergeCell ref="E477:F477"/>
    <mergeCell ref="D478:E478"/>
    <mergeCell ref="D469:E469"/>
    <mergeCell ref="D470:E470"/>
    <mergeCell ref="D471:E471"/>
    <mergeCell ref="D472:E472"/>
    <mergeCell ref="E473:F473"/>
    <mergeCell ref="E464:F464"/>
    <mergeCell ref="E465:F465"/>
    <mergeCell ref="D466:E466"/>
    <mergeCell ref="E467:F467"/>
    <mergeCell ref="D468:E468"/>
    <mergeCell ref="E459:F459"/>
    <mergeCell ref="E460:F460"/>
    <mergeCell ref="E461:F461"/>
    <mergeCell ref="D462:E462"/>
    <mergeCell ref="E463:F463"/>
    <mergeCell ref="E454:F454"/>
    <mergeCell ref="D455:E455"/>
    <mergeCell ref="E456:F456"/>
    <mergeCell ref="D457:E457"/>
    <mergeCell ref="E458:F458"/>
    <mergeCell ref="E449:F449"/>
    <mergeCell ref="D450:E450"/>
    <mergeCell ref="D451:E451"/>
    <mergeCell ref="E452:F452"/>
    <mergeCell ref="D453:E453"/>
    <mergeCell ref="D444:E444"/>
    <mergeCell ref="E445:F445"/>
    <mergeCell ref="E446:F446"/>
    <mergeCell ref="D447:E447"/>
    <mergeCell ref="E448:F448"/>
    <mergeCell ref="D439:E439"/>
    <mergeCell ref="E440:F440"/>
    <mergeCell ref="D441:E441"/>
    <mergeCell ref="D442:E442"/>
    <mergeCell ref="D443:E443"/>
    <mergeCell ref="E434:F434"/>
    <mergeCell ref="E435:F435"/>
    <mergeCell ref="D436:E436"/>
    <mergeCell ref="D437:E437"/>
    <mergeCell ref="D438:E438"/>
    <mergeCell ref="D429:E429"/>
    <mergeCell ref="D430:E430"/>
    <mergeCell ref="D431:E431"/>
    <mergeCell ref="E432:F432"/>
    <mergeCell ref="D433:E433"/>
    <mergeCell ref="E424:F424"/>
    <mergeCell ref="D425:E425"/>
    <mergeCell ref="D426:E426"/>
    <mergeCell ref="E427:F427"/>
    <mergeCell ref="E428:F428"/>
    <mergeCell ref="D419:E419"/>
    <mergeCell ref="E420:F420"/>
    <mergeCell ref="E421:F421"/>
    <mergeCell ref="D422:E422"/>
    <mergeCell ref="D423:E423"/>
    <mergeCell ref="D414:E414"/>
    <mergeCell ref="D415:E415"/>
    <mergeCell ref="D416:E416"/>
    <mergeCell ref="E417:F417"/>
    <mergeCell ref="D418:E418"/>
    <mergeCell ref="D409:E409"/>
    <mergeCell ref="D410:E410"/>
    <mergeCell ref="D411:E411"/>
    <mergeCell ref="D412:E412"/>
    <mergeCell ref="D413:E413"/>
    <mergeCell ref="D404:E404"/>
    <mergeCell ref="D405:E405"/>
    <mergeCell ref="D406:E406"/>
    <mergeCell ref="D407:E407"/>
    <mergeCell ref="E408:F408"/>
    <mergeCell ref="E399:F399"/>
    <mergeCell ref="E400:F400"/>
    <mergeCell ref="D401:E401"/>
    <mergeCell ref="E402:F402"/>
    <mergeCell ref="D403:E403"/>
    <mergeCell ref="E394:F394"/>
    <mergeCell ref="D395:E395"/>
    <mergeCell ref="E396:F396"/>
    <mergeCell ref="D397:E397"/>
    <mergeCell ref="E398:F398"/>
    <mergeCell ref="E389:F389"/>
    <mergeCell ref="D390:E390"/>
    <mergeCell ref="D391:E391"/>
    <mergeCell ref="E392:F392"/>
    <mergeCell ref="E393:F393"/>
    <mergeCell ref="E384:F384"/>
    <mergeCell ref="E385:F385"/>
    <mergeCell ref="E386:F386"/>
    <mergeCell ref="D387:E387"/>
    <mergeCell ref="E388:F388"/>
    <mergeCell ref="D379:E379"/>
    <mergeCell ref="E380:F380"/>
    <mergeCell ref="D381:E381"/>
    <mergeCell ref="E382:F382"/>
    <mergeCell ref="D383:E383"/>
    <mergeCell ref="E374:F374"/>
    <mergeCell ref="E375:F375"/>
    <mergeCell ref="D376:E376"/>
    <mergeCell ref="E377:F377"/>
    <mergeCell ref="E378:F378"/>
    <mergeCell ref="E369:F369"/>
    <mergeCell ref="D370:E370"/>
    <mergeCell ref="E371:F371"/>
    <mergeCell ref="E372:F372"/>
    <mergeCell ref="D373:E373"/>
    <mergeCell ref="E364:F364"/>
    <mergeCell ref="D365:E365"/>
    <mergeCell ref="D366:E366"/>
    <mergeCell ref="E367:F367"/>
    <mergeCell ref="E368:F368"/>
    <mergeCell ref="D359:E359"/>
    <mergeCell ref="D360:E360"/>
    <mergeCell ref="E361:F361"/>
    <mergeCell ref="D362:E362"/>
    <mergeCell ref="D363:E363"/>
    <mergeCell ref="E354:F354"/>
    <mergeCell ref="E355:F355"/>
    <mergeCell ref="D356:E356"/>
    <mergeCell ref="E357:F357"/>
    <mergeCell ref="E358:F358"/>
    <mergeCell ref="D349:E349"/>
    <mergeCell ref="D350:E350"/>
    <mergeCell ref="E351:F351"/>
    <mergeCell ref="E352:F352"/>
    <mergeCell ref="D353:E353"/>
    <mergeCell ref="E344:F344"/>
    <mergeCell ref="E345:F345"/>
    <mergeCell ref="D346:E346"/>
    <mergeCell ref="D347:E347"/>
    <mergeCell ref="E348:F348"/>
    <mergeCell ref="E339:F339"/>
    <mergeCell ref="D340:E340"/>
    <mergeCell ref="E341:F341"/>
    <mergeCell ref="D342:E342"/>
    <mergeCell ref="E343:F343"/>
    <mergeCell ref="E334:F334"/>
    <mergeCell ref="E335:F335"/>
    <mergeCell ref="E336:F336"/>
    <mergeCell ref="E337:F337"/>
    <mergeCell ref="E338:F338"/>
    <mergeCell ref="E329:F329"/>
    <mergeCell ref="E330:F330"/>
    <mergeCell ref="E331:F331"/>
    <mergeCell ref="E332:F332"/>
    <mergeCell ref="E333:F333"/>
    <mergeCell ref="E324:F324"/>
    <mergeCell ref="E325:F325"/>
    <mergeCell ref="E326:F326"/>
    <mergeCell ref="E327:F327"/>
    <mergeCell ref="E328:F328"/>
    <mergeCell ref="E319:F319"/>
    <mergeCell ref="E320:F320"/>
    <mergeCell ref="D321:E321"/>
    <mergeCell ref="D322:E322"/>
    <mergeCell ref="E323:F323"/>
    <mergeCell ref="D314:E314"/>
    <mergeCell ref="D315:E315"/>
    <mergeCell ref="E316:F316"/>
    <mergeCell ref="E317:F317"/>
    <mergeCell ref="D318:E318"/>
    <mergeCell ref="E309:F309"/>
    <mergeCell ref="E310:F310"/>
    <mergeCell ref="E311:F311"/>
    <mergeCell ref="E312:F312"/>
    <mergeCell ref="D313:E313"/>
    <mergeCell ref="E304:F304"/>
    <mergeCell ref="E305:F305"/>
    <mergeCell ref="D306:E306"/>
    <mergeCell ref="E307:F307"/>
    <mergeCell ref="E308:F308"/>
    <mergeCell ref="D299:E299"/>
    <mergeCell ref="E300:F300"/>
    <mergeCell ref="D301:E301"/>
    <mergeCell ref="E302:F302"/>
    <mergeCell ref="E303:F303"/>
    <mergeCell ref="E294:F294"/>
    <mergeCell ref="E295:F295"/>
    <mergeCell ref="E296:F296"/>
    <mergeCell ref="E297:F297"/>
    <mergeCell ref="E298:F298"/>
    <mergeCell ref="E289:F289"/>
    <mergeCell ref="E290:F290"/>
    <mergeCell ref="E291:F291"/>
    <mergeCell ref="E292:F292"/>
    <mergeCell ref="D293:E293"/>
    <mergeCell ref="E284:F284"/>
    <mergeCell ref="E285:F285"/>
    <mergeCell ref="E286:F286"/>
    <mergeCell ref="E287:F287"/>
    <mergeCell ref="D288:E288"/>
    <mergeCell ref="D279:E279"/>
    <mergeCell ref="E280:F280"/>
    <mergeCell ref="E281:F281"/>
    <mergeCell ref="E282:F282"/>
    <mergeCell ref="E283:F283"/>
    <mergeCell ref="E274:F274"/>
    <mergeCell ref="E275:F275"/>
    <mergeCell ref="E276:F276"/>
    <mergeCell ref="E277:F277"/>
    <mergeCell ref="E278:F278"/>
    <mergeCell ref="E269:F269"/>
    <mergeCell ref="E270:F270"/>
    <mergeCell ref="E271:F271"/>
    <mergeCell ref="E272:F272"/>
    <mergeCell ref="D273:E273"/>
    <mergeCell ref="D264:E264"/>
    <mergeCell ref="E265:F265"/>
    <mergeCell ref="E266:F266"/>
    <mergeCell ref="E267:F267"/>
    <mergeCell ref="D268:E268"/>
    <mergeCell ref="D259:E259"/>
    <mergeCell ref="E260:F260"/>
    <mergeCell ref="E261:F261"/>
    <mergeCell ref="E262:F262"/>
    <mergeCell ref="E263:F263"/>
    <mergeCell ref="E254:F254"/>
    <mergeCell ref="E255:F255"/>
    <mergeCell ref="E256:F256"/>
    <mergeCell ref="D257:E257"/>
    <mergeCell ref="D258:E258"/>
    <mergeCell ref="E249:F249"/>
    <mergeCell ref="E250:F250"/>
    <mergeCell ref="E251:F251"/>
    <mergeCell ref="D252:E252"/>
    <mergeCell ref="E253:F253"/>
    <mergeCell ref="E244:F244"/>
    <mergeCell ref="E245:F245"/>
    <mergeCell ref="E246:F246"/>
    <mergeCell ref="E247:F247"/>
    <mergeCell ref="D248:E248"/>
    <mergeCell ref="D239:E239"/>
    <mergeCell ref="E240:F240"/>
    <mergeCell ref="E241:F241"/>
    <mergeCell ref="E242:F242"/>
    <mergeCell ref="D243:E243"/>
    <mergeCell ref="D234:E234"/>
    <mergeCell ref="E235:F235"/>
    <mergeCell ref="E236:F236"/>
    <mergeCell ref="D237:E237"/>
    <mergeCell ref="E238:F238"/>
    <mergeCell ref="D229:E229"/>
    <mergeCell ref="D230:E230"/>
    <mergeCell ref="E231:F231"/>
    <mergeCell ref="E232:F232"/>
    <mergeCell ref="E233:F233"/>
    <mergeCell ref="D224:E224"/>
    <mergeCell ref="E225:F225"/>
    <mergeCell ref="E226:F226"/>
    <mergeCell ref="E227:F227"/>
    <mergeCell ref="D228:E228"/>
    <mergeCell ref="D219:E219"/>
    <mergeCell ref="E220:F220"/>
    <mergeCell ref="E221:F221"/>
    <mergeCell ref="E222:F222"/>
    <mergeCell ref="E223:F223"/>
    <mergeCell ref="E214:F214"/>
    <mergeCell ref="E215:F215"/>
    <mergeCell ref="E216:F216"/>
    <mergeCell ref="E217:F217"/>
    <mergeCell ref="E218:F218"/>
    <mergeCell ref="E209:F209"/>
    <mergeCell ref="E210:F210"/>
    <mergeCell ref="E211:F211"/>
    <mergeCell ref="E212:F212"/>
    <mergeCell ref="D213:E213"/>
    <mergeCell ref="E204:F204"/>
    <mergeCell ref="E205:F205"/>
    <mergeCell ref="D206:E206"/>
    <mergeCell ref="E207:F207"/>
    <mergeCell ref="D208:E208"/>
    <mergeCell ref="E199:F199"/>
    <mergeCell ref="E200:F200"/>
    <mergeCell ref="E201:F201"/>
    <mergeCell ref="D202:E202"/>
    <mergeCell ref="E203:F203"/>
    <mergeCell ref="E194:F194"/>
    <mergeCell ref="E195:F195"/>
    <mergeCell ref="E196:F196"/>
    <mergeCell ref="E197:F197"/>
    <mergeCell ref="D198:E198"/>
    <mergeCell ref="D189:E189"/>
    <mergeCell ref="E190:F190"/>
    <mergeCell ref="E191:F191"/>
    <mergeCell ref="E192:F192"/>
    <mergeCell ref="D193:E193"/>
    <mergeCell ref="E184:F184"/>
    <mergeCell ref="E185:F185"/>
    <mergeCell ref="E186:F186"/>
    <mergeCell ref="E187:F187"/>
    <mergeCell ref="E188:F188"/>
    <mergeCell ref="D179:E179"/>
    <mergeCell ref="D180:E180"/>
    <mergeCell ref="D181:E181"/>
    <mergeCell ref="D182:E182"/>
    <mergeCell ref="E183:F183"/>
    <mergeCell ref="E174:F174"/>
    <mergeCell ref="D175:E175"/>
    <mergeCell ref="E176:F176"/>
    <mergeCell ref="D177:E177"/>
    <mergeCell ref="E178:F178"/>
    <mergeCell ref="E169:F169"/>
    <mergeCell ref="E170:F170"/>
    <mergeCell ref="D171:E171"/>
    <mergeCell ref="D172:E172"/>
    <mergeCell ref="E173:F173"/>
    <mergeCell ref="D164:E164"/>
    <mergeCell ref="E165:F165"/>
    <mergeCell ref="E166:F166"/>
    <mergeCell ref="D167:E167"/>
    <mergeCell ref="E168:F168"/>
    <mergeCell ref="E159:F159"/>
    <mergeCell ref="E160:F160"/>
    <mergeCell ref="E161:F161"/>
    <mergeCell ref="E162:F162"/>
    <mergeCell ref="E163:F163"/>
    <mergeCell ref="E154:F154"/>
    <mergeCell ref="E155:F155"/>
    <mergeCell ref="E156:F156"/>
    <mergeCell ref="E157:F157"/>
    <mergeCell ref="D158:E158"/>
    <mergeCell ref="E149:F149"/>
    <mergeCell ref="E150:F150"/>
    <mergeCell ref="D151:E151"/>
    <mergeCell ref="E152:F152"/>
    <mergeCell ref="D153:E153"/>
    <mergeCell ref="E144:F144"/>
    <mergeCell ref="E145:F145"/>
    <mergeCell ref="E146:F146"/>
    <mergeCell ref="D147:E147"/>
    <mergeCell ref="E148:F148"/>
    <mergeCell ref="D139:E139"/>
    <mergeCell ref="D140:E140"/>
    <mergeCell ref="D141:E141"/>
    <mergeCell ref="E142:F142"/>
    <mergeCell ref="D143:E143"/>
    <mergeCell ref="D134:E134"/>
    <mergeCell ref="E135:F135"/>
    <mergeCell ref="D136:E136"/>
    <mergeCell ref="E137:F137"/>
    <mergeCell ref="D138:E138"/>
    <mergeCell ref="D129:E129"/>
    <mergeCell ref="D130:E130"/>
    <mergeCell ref="D131:E131"/>
    <mergeCell ref="D132:E132"/>
    <mergeCell ref="D133:E133"/>
    <mergeCell ref="D124:E124"/>
    <mergeCell ref="D125:E125"/>
    <mergeCell ref="D126:E126"/>
    <mergeCell ref="E127:F127"/>
    <mergeCell ref="D128:E128"/>
    <mergeCell ref="D119:E119"/>
    <mergeCell ref="D120:E120"/>
    <mergeCell ref="D121:E121"/>
    <mergeCell ref="E122:F122"/>
    <mergeCell ref="D123:E123"/>
    <mergeCell ref="E114:F114"/>
    <mergeCell ref="D115:E115"/>
    <mergeCell ref="D116:E116"/>
    <mergeCell ref="D117:E117"/>
    <mergeCell ref="E118:F118"/>
    <mergeCell ref="E109:F109"/>
    <mergeCell ref="E110:F110"/>
    <mergeCell ref="D111:E111"/>
    <mergeCell ref="D112:E112"/>
    <mergeCell ref="D113:E113"/>
    <mergeCell ref="D104:E104"/>
    <mergeCell ref="D105:E105"/>
    <mergeCell ref="D106:E106"/>
    <mergeCell ref="E107:F107"/>
    <mergeCell ref="E108:F108"/>
    <mergeCell ref="D99:E99"/>
    <mergeCell ref="D100:E100"/>
    <mergeCell ref="E101:F101"/>
    <mergeCell ref="D102:E102"/>
    <mergeCell ref="D103:E103"/>
    <mergeCell ref="E94:F94"/>
    <mergeCell ref="E95:F95"/>
    <mergeCell ref="E96:F96"/>
    <mergeCell ref="D97:E97"/>
    <mergeCell ref="D98:E98"/>
    <mergeCell ref="E89:F89"/>
    <mergeCell ref="E90:F90"/>
    <mergeCell ref="D91:E91"/>
    <mergeCell ref="D92:E92"/>
    <mergeCell ref="E93:F93"/>
    <mergeCell ref="E84:F84"/>
    <mergeCell ref="E85:F85"/>
    <mergeCell ref="D86:E86"/>
    <mergeCell ref="E87:F87"/>
    <mergeCell ref="D88:E88"/>
    <mergeCell ref="E79:F79"/>
    <mergeCell ref="E80:F80"/>
    <mergeCell ref="E81:F81"/>
    <mergeCell ref="E82:F82"/>
    <mergeCell ref="E83:F83"/>
    <mergeCell ref="E74:F74"/>
    <mergeCell ref="E75:F75"/>
    <mergeCell ref="E76:F76"/>
    <mergeCell ref="E77:F77"/>
    <mergeCell ref="E78:F78"/>
    <mergeCell ref="E69:F69"/>
    <mergeCell ref="D70:E70"/>
    <mergeCell ref="E71:F71"/>
    <mergeCell ref="D72:E72"/>
    <mergeCell ref="E73:F73"/>
    <mergeCell ref="E64:F64"/>
    <mergeCell ref="E65:F65"/>
    <mergeCell ref="E66:F66"/>
    <mergeCell ref="E67:F67"/>
    <mergeCell ref="E68:F68"/>
    <mergeCell ref="E59:F59"/>
    <mergeCell ref="D60:E60"/>
    <mergeCell ref="E61:F61"/>
    <mergeCell ref="E62:F62"/>
    <mergeCell ref="D63:E63"/>
    <mergeCell ref="E54:F54"/>
    <mergeCell ref="D55:E55"/>
    <mergeCell ref="D56:E56"/>
    <mergeCell ref="E57:F57"/>
    <mergeCell ref="E58:F58"/>
    <mergeCell ref="E49:F49"/>
    <mergeCell ref="D50:E50"/>
    <mergeCell ref="E51:F51"/>
    <mergeCell ref="D52:E52"/>
    <mergeCell ref="E53:F53"/>
    <mergeCell ref="E44:F44"/>
    <mergeCell ref="E45:F45"/>
    <mergeCell ref="D46:E46"/>
    <mergeCell ref="E47:F47"/>
    <mergeCell ref="D48:E48"/>
    <mergeCell ref="E39:F39"/>
    <mergeCell ref="D40:E40"/>
    <mergeCell ref="E41:F41"/>
    <mergeCell ref="E42:F42"/>
    <mergeCell ref="D43:E43"/>
    <mergeCell ref="D34:E34"/>
    <mergeCell ref="E35:F35"/>
    <mergeCell ref="D36:E36"/>
    <mergeCell ref="E37:F37"/>
    <mergeCell ref="E38:F38"/>
    <mergeCell ref="E29:F29"/>
    <mergeCell ref="E30:F30"/>
    <mergeCell ref="E31:F31"/>
    <mergeCell ref="E32:F32"/>
    <mergeCell ref="E33:F33"/>
    <mergeCell ref="D24:E24"/>
    <mergeCell ref="E25:F25"/>
    <mergeCell ref="E26:F26"/>
    <mergeCell ref="E27:F27"/>
    <mergeCell ref="D28:E28"/>
    <mergeCell ref="E19:F19"/>
    <mergeCell ref="D20:E20"/>
    <mergeCell ref="D21:E21"/>
    <mergeCell ref="D22:E22"/>
    <mergeCell ref="D23:E23"/>
    <mergeCell ref="E14:F14"/>
    <mergeCell ref="D15:E15"/>
    <mergeCell ref="E16:F16"/>
    <mergeCell ref="E17:F17"/>
    <mergeCell ref="D18:E18"/>
    <mergeCell ref="F8:H9"/>
    <mergeCell ref="D10:E10"/>
    <mergeCell ref="D11:E11"/>
    <mergeCell ref="D12:E12"/>
    <mergeCell ref="D13:E13"/>
    <mergeCell ref="A1:H1"/>
    <mergeCell ref="A2:B3"/>
    <mergeCell ref="A4:B5"/>
    <mergeCell ref="A6:B7"/>
    <mergeCell ref="A8:B9"/>
    <mergeCell ref="E2:E3"/>
    <mergeCell ref="E4:E5"/>
    <mergeCell ref="E6:E7"/>
    <mergeCell ref="E8:E9"/>
    <mergeCell ref="C2:D3"/>
    <mergeCell ref="C4:D5"/>
    <mergeCell ref="C6:D7"/>
    <mergeCell ref="C8:D9"/>
    <mergeCell ref="F2:H3"/>
    <mergeCell ref="F4:H5"/>
    <mergeCell ref="F6:H7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Krycí list rozpočtu</vt:lpstr>
      <vt:lpstr>VORN</vt:lpstr>
      <vt:lpstr>Stavební rozpočet - součet</vt:lpstr>
      <vt:lpstr>Stavební rozpočet</vt:lpstr>
      <vt:lpstr>Výkaz výměr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Izabela Slowiková</cp:lastModifiedBy>
  <dcterms:created xsi:type="dcterms:W3CDTF">2021-06-10T20:06:38Z</dcterms:created>
  <dcterms:modified xsi:type="dcterms:W3CDTF">2025-05-13T05:26:56Z</dcterms:modified>
</cp:coreProperties>
</file>