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1 AUTOCAD\01 Partyzánská 302\01 Export VYTÁPĚNÍ + ZTI\"/>
    </mc:Choice>
  </mc:AlternateContent>
  <bookViews>
    <workbookView xWindow="0" yWindow="0" windowWidth="23040" windowHeight="10812"/>
  </bookViews>
  <sheets>
    <sheet name="Krycí list rozpočtu" sheetId="3" r:id="rId1"/>
    <sheet name="Stavební rozpočet" sheetId="1" r:id="rId2"/>
    <sheet name="Výkaz výměr" sheetId="2" r:id="rId3"/>
    <sheet name="VORN" sheetId="4" r:id="rId4"/>
  </sheets>
  <definedNames>
    <definedName name="vorn_sum">VORN!$I$36</definedName>
  </definedNames>
  <calcPr calcId="152511"/>
</workbook>
</file>

<file path=xl/calcChain.xml><?xml version="1.0" encoding="utf-8"?>
<calcChain xmlns="http://schemas.openxmlformats.org/spreadsheetml/2006/main">
  <c r="I35" i="4" l="1"/>
  <c r="I36" i="4" s="1"/>
  <c r="I24" i="3" s="1"/>
  <c r="I26" i="4"/>
  <c r="I25" i="4"/>
  <c r="I24" i="4"/>
  <c r="I23" i="4"/>
  <c r="I16" i="3" s="1"/>
  <c r="I22" i="4"/>
  <c r="I21" i="4"/>
  <c r="I17" i="4"/>
  <c r="F16" i="3" s="1"/>
  <c r="I16" i="4"/>
  <c r="I15" i="4"/>
  <c r="I18" i="4" s="1"/>
  <c r="I10" i="4"/>
  <c r="F10" i="4"/>
  <c r="C10" i="4"/>
  <c r="F8" i="4"/>
  <c r="C8" i="4"/>
  <c r="F6" i="4"/>
  <c r="C6" i="4"/>
  <c r="F4" i="4"/>
  <c r="C4" i="4"/>
  <c r="F2" i="4"/>
  <c r="C2" i="4"/>
  <c r="I19" i="3"/>
  <c r="I18" i="3"/>
  <c r="I17" i="3"/>
  <c r="I15" i="3"/>
  <c r="F15" i="3"/>
  <c r="I14" i="3"/>
  <c r="F14" i="3"/>
  <c r="I10" i="3"/>
  <c r="F10" i="3"/>
  <c r="C10" i="3"/>
  <c r="F8" i="3"/>
  <c r="C8" i="3"/>
  <c r="F6" i="3"/>
  <c r="C6" i="3"/>
  <c r="F4" i="3"/>
  <c r="C4" i="3"/>
  <c r="F2" i="3"/>
  <c r="C2" i="3"/>
  <c r="F8" i="2"/>
  <c r="C8" i="2"/>
  <c r="F6" i="2"/>
  <c r="C6" i="2"/>
  <c r="F4" i="2"/>
  <c r="C4" i="2"/>
  <c r="F2" i="2"/>
  <c r="C2" i="2"/>
  <c r="BJ158" i="1"/>
  <c r="BD158" i="1"/>
  <c r="AX158" i="1"/>
  <c r="AP158" i="1"/>
  <c r="BI158" i="1" s="1"/>
  <c r="AO158" i="1"/>
  <c r="AL158" i="1"/>
  <c r="AJ158" i="1"/>
  <c r="AH158" i="1"/>
  <c r="AG158" i="1"/>
  <c r="AF158" i="1"/>
  <c r="AE158" i="1"/>
  <c r="AD158" i="1"/>
  <c r="AC158" i="1"/>
  <c r="AB158" i="1"/>
  <c r="Z158" i="1"/>
  <c r="L158" i="1"/>
  <c r="J158" i="1"/>
  <c r="AK158" i="1" s="1"/>
  <c r="I158" i="1"/>
  <c r="BJ157" i="1"/>
  <c r="Z157" i="1" s="1"/>
  <c r="BD157" i="1"/>
  <c r="AW157" i="1"/>
  <c r="AP157" i="1"/>
  <c r="BI157" i="1" s="1"/>
  <c r="AO157" i="1"/>
  <c r="BH157" i="1" s="1"/>
  <c r="AL157" i="1"/>
  <c r="AK157" i="1"/>
  <c r="AJ157" i="1"/>
  <c r="AH157" i="1"/>
  <c r="AG157" i="1"/>
  <c r="AF157" i="1"/>
  <c r="AE157" i="1"/>
  <c r="AD157" i="1"/>
  <c r="AC157" i="1"/>
  <c r="AB157" i="1"/>
  <c r="L157" i="1"/>
  <c r="BF157" i="1" s="1"/>
  <c r="J157" i="1"/>
  <c r="J156" i="1" s="1"/>
  <c r="I157" i="1"/>
  <c r="I156" i="1" s="1"/>
  <c r="H157" i="1"/>
  <c r="AU156" i="1"/>
  <c r="AS156" i="1"/>
  <c r="BJ155" i="1"/>
  <c r="BF155" i="1"/>
  <c r="BD155" i="1"/>
  <c r="AX155" i="1"/>
  <c r="AW155" i="1"/>
  <c r="AP155" i="1"/>
  <c r="BI155" i="1" s="1"/>
  <c r="AO155" i="1"/>
  <c r="BH155" i="1" s="1"/>
  <c r="AL155" i="1"/>
  <c r="AJ155" i="1"/>
  <c r="AH155" i="1"/>
  <c r="AG155" i="1"/>
  <c r="AF155" i="1"/>
  <c r="AE155" i="1"/>
  <c r="AD155" i="1"/>
  <c r="AC155" i="1"/>
  <c r="AB155" i="1"/>
  <c r="Z155" i="1"/>
  <c r="L155" i="1"/>
  <c r="J155" i="1"/>
  <c r="AK155" i="1" s="1"/>
  <c r="I155" i="1"/>
  <c r="H155" i="1"/>
  <c r="BJ154" i="1"/>
  <c r="BD154" i="1"/>
  <c r="AP154" i="1"/>
  <c r="BI154" i="1" s="1"/>
  <c r="AO154" i="1"/>
  <c r="BH154" i="1" s="1"/>
  <c r="AL154" i="1"/>
  <c r="AJ154" i="1"/>
  <c r="AS152" i="1" s="1"/>
  <c r="AH154" i="1"/>
  <c r="AG154" i="1"/>
  <c r="AF154" i="1"/>
  <c r="AE154" i="1"/>
  <c r="AD154" i="1"/>
  <c r="AC154" i="1"/>
  <c r="AB154" i="1"/>
  <c r="Z154" i="1"/>
  <c r="L154" i="1"/>
  <c r="BF154" i="1" s="1"/>
  <c r="J154" i="1"/>
  <c r="AK154" i="1" s="1"/>
  <c r="H154" i="1"/>
  <c r="H152" i="1" s="1"/>
  <c r="BJ153" i="1"/>
  <c r="BF153" i="1"/>
  <c r="BD153" i="1"/>
  <c r="AX153" i="1"/>
  <c r="AW153" i="1"/>
  <c r="AP153" i="1"/>
  <c r="BI153" i="1" s="1"/>
  <c r="AO153" i="1"/>
  <c r="BH153" i="1" s="1"/>
  <c r="AL153" i="1"/>
  <c r="AJ153" i="1"/>
  <c r="AH153" i="1"/>
  <c r="AG153" i="1"/>
  <c r="AF153" i="1"/>
  <c r="AE153" i="1"/>
  <c r="AD153" i="1"/>
  <c r="AC153" i="1"/>
  <c r="AB153" i="1"/>
  <c r="Z153" i="1"/>
  <c r="L153" i="1"/>
  <c r="J153" i="1"/>
  <c r="I153" i="1"/>
  <c r="H153" i="1"/>
  <c r="L152" i="1"/>
  <c r="BJ151" i="1"/>
  <c r="BD151" i="1"/>
  <c r="AX151" i="1"/>
  <c r="AP151" i="1"/>
  <c r="BI151" i="1" s="1"/>
  <c r="AO151" i="1"/>
  <c r="AL151" i="1"/>
  <c r="AJ151" i="1"/>
  <c r="AH151" i="1"/>
  <c r="AG151" i="1"/>
  <c r="AF151" i="1"/>
  <c r="AE151" i="1"/>
  <c r="AD151" i="1"/>
  <c r="AC151" i="1"/>
  <c r="AB151" i="1"/>
  <c r="Z151" i="1"/>
  <c r="L151" i="1"/>
  <c r="J151" i="1"/>
  <c r="AK151" i="1" s="1"/>
  <c r="I151" i="1"/>
  <c r="BJ150" i="1"/>
  <c r="Z150" i="1" s="1"/>
  <c r="BF150" i="1"/>
  <c r="BD150" i="1"/>
  <c r="AW150" i="1"/>
  <c r="AP150" i="1"/>
  <c r="BI150" i="1" s="1"/>
  <c r="AO150" i="1"/>
  <c r="BH150" i="1" s="1"/>
  <c r="AL150" i="1"/>
  <c r="AU149" i="1" s="1"/>
  <c r="AK150" i="1"/>
  <c r="AT149" i="1" s="1"/>
  <c r="AJ150" i="1"/>
  <c r="AH150" i="1"/>
  <c r="AG150" i="1"/>
  <c r="AF150" i="1"/>
  <c r="AE150" i="1"/>
  <c r="AD150" i="1"/>
  <c r="AC150" i="1"/>
  <c r="AB150" i="1"/>
  <c r="L150" i="1"/>
  <c r="J150" i="1"/>
  <c r="J149" i="1" s="1"/>
  <c r="I150" i="1"/>
  <c r="I149" i="1" s="1"/>
  <c r="H150" i="1"/>
  <c r="AS149" i="1"/>
  <c r="BJ148" i="1"/>
  <c r="BF148" i="1"/>
  <c r="BD148" i="1"/>
  <c r="AX148" i="1"/>
  <c r="AW148" i="1"/>
  <c r="AP148" i="1"/>
  <c r="BI148" i="1" s="1"/>
  <c r="AO148" i="1"/>
  <c r="H148" i="1" s="1"/>
  <c r="AL148" i="1"/>
  <c r="AJ148" i="1"/>
  <c r="AH148" i="1"/>
  <c r="AG148" i="1"/>
  <c r="AF148" i="1"/>
  <c r="AE148" i="1"/>
  <c r="AD148" i="1"/>
  <c r="AC148" i="1"/>
  <c r="AB148" i="1"/>
  <c r="Z148" i="1"/>
  <c r="L148" i="1"/>
  <c r="J148" i="1"/>
  <c r="AK148" i="1" s="1"/>
  <c r="I148" i="1"/>
  <c r="BJ147" i="1"/>
  <c r="BI147" i="1"/>
  <c r="BD147" i="1"/>
  <c r="AP147" i="1"/>
  <c r="AO147" i="1"/>
  <c r="BH147" i="1" s="1"/>
  <c r="AL147" i="1"/>
  <c r="AK147" i="1"/>
  <c r="AJ147" i="1"/>
  <c r="AS145" i="1" s="1"/>
  <c r="AH147" i="1"/>
  <c r="AG147" i="1"/>
  <c r="AF147" i="1"/>
  <c r="AE147" i="1"/>
  <c r="AD147" i="1"/>
  <c r="AC147" i="1"/>
  <c r="AB147" i="1"/>
  <c r="Z147" i="1"/>
  <c r="L147" i="1"/>
  <c r="BF147" i="1" s="1"/>
  <c r="J147" i="1"/>
  <c r="H147" i="1"/>
  <c r="BJ146" i="1"/>
  <c r="BF146" i="1"/>
  <c r="BD146" i="1"/>
  <c r="AX146" i="1"/>
  <c r="AW146" i="1"/>
  <c r="AP146" i="1"/>
  <c r="BI146" i="1" s="1"/>
  <c r="AO146" i="1"/>
  <c r="H146" i="1" s="1"/>
  <c r="H145" i="1" s="1"/>
  <c r="AL146" i="1"/>
  <c r="AU145" i="1" s="1"/>
  <c r="AJ146" i="1"/>
  <c r="AH146" i="1"/>
  <c r="AG146" i="1"/>
  <c r="AF146" i="1"/>
  <c r="AE146" i="1"/>
  <c r="AD146" i="1"/>
  <c r="AC146" i="1"/>
  <c r="AB146" i="1"/>
  <c r="Z146" i="1"/>
  <c r="L146" i="1"/>
  <c r="L145" i="1" s="1"/>
  <c r="J146" i="1"/>
  <c r="I146" i="1"/>
  <c r="BJ144" i="1"/>
  <c r="BD144" i="1"/>
  <c r="AX144" i="1"/>
  <c r="AP144" i="1"/>
  <c r="I144" i="1" s="1"/>
  <c r="AO144" i="1"/>
  <c r="AL144" i="1"/>
  <c r="AK144" i="1"/>
  <c r="AJ144" i="1"/>
  <c r="AH144" i="1"/>
  <c r="AG144" i="1"/>
  <c r="AF144" i="1"/>
  <c r="AE144" i="1"/>
  <c r="AD144" i="1"/>
  <c r="AC144" i="1"/>
  <c r="AB144" i="1"/>
  <c r="Z144" i="1"/>
  <c r="L144" i="1"/>
  <c r="BF144" i="1" s="1"/>
  <c r="J144" i="1"/>
  <c r="BJ143" i="1"/>
  <c r="Z143" i="1" s="1"/>
  <c r="BF143" i="1"/>
  <c r="BD143" i="1"/>
  <c r="AX143" i="1"/>
  <c r="AW143" i="1"/>
  <c r="BC143" i="1" s="1"/>
  <c r="AV143" i="1"/>
  <c r="AP143" i="1"/>
  <c r="BI143" i="1" s="1"/>
  <c r="AO143" i="1"/>
  <c r="H143" i="1" s="1"/>
  <c r="AL143" i="1"/>
  <c r="AK143" i="1"/>
  <c r="AJ143" i="1"/>
  <c r="AH143" i="1"/>
  <c r="AG143" i="1"/>
  <c r="AF143" i="1"/>
  <c r="AE143" i="1"/>
  <c r="AD143" i="1"/>
  <c r="AC143" i="1"/>
  <c r="AB143" i="1"/>
  <c r="L143" i="1"/>
  <c r="J143" i="1"/>
  <c r="I143" i="1"/>
  <c r="BJ142" i="1"/>
  <c r="BD142" i="1"/>
  <c r="AX142" i="1"/>
  <c r="AP142" i="1"/>
  <c r="I142" i="1" s="1"/>
  <c r="I141" i="1" s="1"/>
  <c r="AO142" i="1"/>
  <c r="AL142" i="1"/>
  <c r="AK142" i="1"/>
  <c r="AT141" i="1" s="1"/>
  <c r="AJ142" i="1"/>
  <c r="AS141" i="1" s="1"/>
  <c r="AH142" i="1"/>
  <c r="AG142" i="1"/>
  <c r="AF142" i="1"/>
  <c r="AE142" i="1"/>
  <c r="AD142" i="1"/>
  <c r="AC142" i="1"/>
  <c r="AB142" i="1"/>
  <c r="Z142" i="1"/>
  <c r="L142" i="1"/>
  <c r="J142" i="1"/>
  <c r="AU141" i="1"/>
  <c r="J141" i="1"/>
  <c r="BJ140" i="1"/>
  <c r="BF140" i="1"/>
  <c r="BD140" i="1"/>
  <c r="AW140" i="1"/>
  <c r="AP140" i="1"/>
  <c r="AO140" i="1"/>
  <c r="BH140" i="1" s="1"/>
  <c r="AL140" i="1"/>
  <c r="AU139" i="1" s="1"/>
  <c r="AK140" i="1"/>
  <c r="AT139" i="1" s="1"/>
  <c r="AJ140" i="1"/>
  <c r="AS139" i="1" s="1"/>
  <c r="AH140" i="1"/>
  <c r="AG140" i="1"/>
  <c r="AF140" i="1"/>
  <c r="AE140" i="1"/>
  <c r="AD140" i="1"/>
  <c r="AC140" i="1"/>
  <c r="AB140" i="1"/>
  <c r="Z140" i="1"/>
  <c r="L140" i="1"/>
  <c r="J140" i="1"/>
  <c r="J139" i="1" s="1"/>
  <c r="H140" i="1"/>
  <c r="H139" i="1" s="1"/>
  <c r="L139" i="1"/>
  <c r="BJ138" i="1"/>
  <c r="BF138" i="1"/>
  <c r="BD138" i="1"/>
  <c r="AX138" i="1"/>
  <c r="AW138" i="1"/>
  <c r="BC138" i="1" s="1"/>
  <c r="AV138" i="1"/>
  <c r="AP138" i="1"/>
  <c r="BI138" i="1" s="1"/>
  <c r="AC138" i="1" s="1"/>
  <c r="AO138" i="1"/>
  <c r="H138" i="1" s="1"/>
  <c r="AL138" i="1"/>
  <c r="AK138" i="1"/>
  <c r="AJ138" i="1"/>
  <c r="AH138" i="1"/>
  <c r="AG138" i="1"/>
  <c r="AF138" i="1"/>
  <c r="AE138" i="1"/>
  <c r="AD138" i="1"/>
  <c r="Z138" i="1"/>
  <c r="L138" i="1"/>
  <c r="J138" i="1"/>
  <c r="I138" i="1"/>
  <c r="BJ137" i="1"/>
  <c r="BD137" i="1"/>
  <c r="AX137" i="1"/>
  <c r="AP137" i="1"/>
  <c r="I137" i="1" s="1"/>
  <c r="AO137" i="1"/>
  <c r="AL137" i="1"/>
  <c r="AK137" i="1"/>
  <c r="AJ137" i="1"/>
  <c r="AH137" i="1"/>
  <c r="AG137" i="1"/>
  <c r="AF137" i="1"/>
  <c r="AE137" i="1"/>
  <c r="AD137" i="1"/>
  <c r="Z137" i="1"/>
  <c r="L137" i="1"/>
  <c r="BF137" i="1" s="1"/>
  <c r="J137" i="1"/>
  <c r="BJ136" i="1"/>
  <c r="BF136" i="1"/>
  <c r="BD136" i="1"/>
  <c r="AX136" i="1"/>
  <c r="AW136" i="1"/>
  <c r="BC136" i="1" s="1"/>
  <c r="AV136" i="1"/>
  <c r="AP136" i="1"/>
  <c r="BI136" i="1" s="1"/>
  <c r="AC136" i="1" s="1"/>
  <c r="AO136" i="1"/>
  <c r="H136" i="1" s="1"/>
  <c r="AL136" i="1"/>
  <c r="AK136" i="1"/>
  <c r="AJ136" i="1"/>
  <c r="AH136" i="1"/>
  <c r="AG136" i="1"/>
  <c r="AF136" i="1"/>
  <c r="AE136" i="1"/>
  <c r="AD136" i="1"/>
  <c r="Z136" i="1"/>
  <c r="L136" i="1"/>
  <c r="J136" i="1"/>
  <c r="I136" i="1"/>
  <c r="BJ135" i="1"/>
  <c r="BD135" i="1"/>
  <c r="AX135" i="1"/>
  <c r="AP135" i="1"/>
  <c r="I135" i="1" s="1"/>
  <c r="AO135" i="1"/>
  <c r="AL135" i="1"/>
  <c r="AK135" i="1"/>
  <c r="AJ135" i="1"/>
  <c r="AH135" i="1"/>
  <c r="AG135" i="1"/>
  <c r="AF135" i="1"/>
  <c r="AE135" i="1"/>
  <c r="AD135" i="1"/>
  <c r="Z135" i="1"/>
  <c r="L135" i="1"/>
  <c r="BF135" i="1" s="1"/>
  <c r="J135" i="1"/>
  <c r="BJ134" i="1"/>
  <c r="BF134" i="1"/>
  <c r="BD134" i="1"/>
  <c r="AX134" i="1"/>
  <c r="AW134" i="1"/>
  <c r="BC134" i="1" s="1"/>
  <c r="AV134" i="1"/>
  <c r="AP134" i="1"/>
  <c r="BI134" i="1" s="1"/>
  <c r="AC134" i="1" s="1"/>
  <c r="AO134" i="1"/>
  <c r="H134" i="1" s="1"/>
  <c r="AL134" i="1"/>
  <c r="AU133" i="1" s="1"/>
  <c r="AK134" i="1"/>
  <c r="AJ134" i="1"/>
  <c r="AH134" i="1"/>
  <c r="AG134" i="1"/>
  <c r="AF134" i="1"/>
  <c r="AE134" i="1"/>
  <c r="AD134" i="1"/>
  <c r="Z134" i="1"/>
  <c r="L134" i="1"/>
  <c r="J134" i="1"/>
  <c r="J133" i="1" s="1"/>
  <c r="I134" i="1"/>
  <c r="AS133" i="1"/>
  <c r="BJ132" i="1"/>
  <c r="BF132" i="1"/>
  <c r="BD132" i="1"/>
  <c r="AX132" i="1"/>
  <c r="AW132" i="1"/>
  <c r="AP132" i="1"/>
  <c r="I132" i="1" s="1"/>
  <c r="I131" i="1" s="1"/>
  <c r="AO132" i="1"/>
  <c r="H132" i="1" s="1"/>
  <c r="H131" i="1" s="1"/>
  <c r="AL132" i="1"/>
  <c r="AU131" i="1" s="1"/>
  <c r="AJ132" i="1"/>
  <c r="AS131" i="1" s="1"/>
  <c r="AH132" i="1"/>
  <c r="AG132" i="1"/>
  <c r="AF132" i="1"/>
  <c r="AE132" i="1"/>
  <c r="AD132" i="1"/>
  <c r="Z132" i="1"/>
  <c r="L132" i="1"/>
  <c r="L131" i="1" s="1"/>
  <c r="J132" i="1"/>
  <c r="BJ130" i="1"/>
  <c r="BD130" i="1"/>
  <c r="AX130" i="1"/>
  <c r="AP130" i="1"/>
  <c r="I130" i="1" s="1"/>
  <c r="AO130" i="1"/>
  <c r="AW130" i="1" s="1"/>
  <c r="AL130" i="1"/>
  <c r="AK130" i="1"/>
  <c r="AJ130" i="1"/>
  <c r="AH130" i="1"/>
  <c r="AG130" i="1"/>
  <c r="AF130" i="1"/>
  <c r="AE130" i="1"/>
  <c r="AD130" i="1"/>
  <c r="Z130" i="1"/>
  <c r="L130" i="1"/>
  <c r="BF130" i="1" s="1"/>
  <c r="J130" i="1"/>
  <c r="H130" i="1"/>
  <c r="BJ129" i="1"/>
  <c r="BF129" i="1"/>
  <c r="BD129" i="1"/>
  <c r="AX129" i="1"/>
  <c r="AW129" i="1"/>
  <c r="BC129" i="1" s="1"/>
  <c r="AP129" i="1"/>
  <c r="BI129" i="1" s="1"/>
  <c r="AC129" i="1" s="1"/>
  <c r="AO129" i="1"/>
  <c r="H129" i="1" s="1"/>
  <c r="AL129" i="1"/>
  <c r="AJ129" i="1"/>
  <c r="AH129" i="1"/>
  <c r="AG129" i="1"/>
  <c r="AF129" i="1"/>
  <c r="AE129" i="1"/>
  <c r="AD129" i="1"/>
  <c r="Z129" i="1"/>
  <c r="L129" i="1"/>
  <c r="J129" i="1"/>
  <c r="AK129" i="1" s="1"/>
  <c r="I129" i="1"/>
  <c r="BJ128" i="1"/>
  <c r="BI128" i="1"/>
  <c r="AC128" i="1" s="1"/>
  <c r="BD128" i="1"/>
  <c r="AX128" i="1"/>
  <c r="AP128" i="1"/>
  <c r="AO128" i="1"/>
  <c r="AL128" i="1"/>
  <c r="AK128" i="1"/>
  <c r="AJ128" i="1"/>
  <c r="AH128" i="1"/>
  <c r="AG128" i="1"/>
  <c r="AF128" i="1"/>
  <c r="AE128" i="1"/>
  <c r="AD128" i="1"/>
  <c r="Z128" i="1"/>
  <c r="L128" i="1"/>
  <c r="BF128" i="1" s="1"/>
  <c r="J128" i="1"/>
  <c r="I128" i="1"/>
  <c r="BJ127" i="1"/>
  <c r="BH127" i="1"/>
  <c r="BF127" i="1"/>
  <c r="BD127" i="1"/>
  <c r="AX127" i="1"/>
  <c r="AW127" i="1"/>
  <c r="BC127" i="1" s="1"/>
  <c r="AP127" i="1"/>
  <c r="BI127" i="1" s="1"/>
  <c r="AO127" i="1"/>
  <c r="H127" i="1" s="1"/>
  <c r="AL127" i="1"/>
  <c r="AJ127" i="1"/>
  <c r="AH127" i="1"/>
  <c r="AG127" i="1"/>
  <c r="AF127" i="1"/>
  <c r="AE127" i="1"/>
  <c r="AD127" i="1"/>
  <c r="AC127" i="1"/>
  <c r="AB127" i="1"/>
  <c r="Z127" i="1"/>
  <c r="L127" i="1"/>
  <c r="J127" i="1"/>
  <c r="AK127" i="1" s="1"/>
  <c r="I127" i="1"/>
  <c r="BJ126" i="1"/>
  <c r="BH126" i="1"/>
  <c r="AB126" i="1" s="1"/>
  <c r="BD126" i="1"/>
  <c r="AP126" i="1"/>
  <c r="AO126" i="1"/>
  <c r="AW126" i="1" s="1"/>
  <c r="AL126" i="1"/>
  <c r="AK126" i="1"/>
  <c r="AJ126" i="1"/>
  <c r="AH126" i="1"/>
  <c r="AG126" i="1"/>
  <c r="AF126" i="1"/>
  <c r="AE126" i="1"/>
  <c r="AD126" i="1"/>
  <c r="Z126" i="1"/>
  <c r="L126" i="1"/>
  <c r="BF126" i="1" s="1"/>
  <c r="J126" i="1"/>
  <c r="I126" i="1"/>
  <c r="H126" i="1"/>
  <c r="BJ125" i="1"/>
  <c r="BH125" i="1"/>
  <c r="AB125" i="1" s="1"/>
  <c r="BD125" i="1"/>
  <c r="AX125" i="1"/>
  <c r="AW125" i="1"/>
  <c r="AP125" i="1"/>
  <c r="BI125" i="1" s="1"/>
  <c r="AO125" i="1"/>
  <c r="H125" i="1" s="1"/>
  <c r="AL125" i="1"/>
  <c r="AJ125" i="1"/>
  <c r="AH125" i="1"/>
  <c r="AG125" i="1"/>
  <c r="AF125" i="1"/>
  <c r="AE125" i="1"/>
  <c r="AD125" i="1"/>
  <c r="AC125" i="1"/>
  <c r="Z125" i="1"/>
  <c r="L125" i="1"/>
  <c r="J125" i="1"/>
  <c r="I125" i="1"/>
  <c r="BJ124" i="1"/>
  <c r="BI124" i="1"/>
  <c r="AC124" i="1" s="1"/>
  <c r="BD124" i="1"/>
  <c r="AP124" i="1"/>
  <c r="AO124" i="1"/>
  <c r="BH124" i="1" s="1"/>
  <c r="AB124" i="1" s="1"/>
  <c r="AL124" i="1"/>
  <c r="AK124" i="1"/>
  <c r="AJ124" i="1"/>
  <c r="AH124" i="1"/>
  <c r="AG124" i="1"/>
  <c r="AF124" i="1"/>
  <c r="AE124" i="1"/>
  <c r="AD124" i="1"/>
  <c r="Z124" i="1"/>
  <c r="L124" i="1"/>
  <c r="BF124" i="1" s="1"/>
  <c r="J124" i="1"/>
  <c r="H124" i="1"/>
  <c r="AS123" i="1"/>
  <c r="BJ122" i="1"/>
  <c r="BF122" i="1"/>
  <c r="BD122" i="1"/>
  <c r="AW122" i="1"/>
  <c r="AP122" i="1"/>
  <c r="BI122" i="1" s="1"/>
  <c r="AE122" i="1" s="1"/>
  <c r="AO122" i="1"/>
  <c r="BH122" i="1" s="1"/>
  <c r="AD122" i="1" s="1"/>
  <c r="AL122" i="1"/>
  <c r="AJ122" i="1"/>
  <c r="AH122" i="1"/>
  <c r="AG122" i="1"/>
  <c r="AF122" i="1"/>
  <c r="AC122" i="1"/>
  <c r="AB122" i="1"/>
  <c r="Z122" i="1"/>
  <c r="L122" i="1"/>
  <c r="J122" i="1"/>
  <c r="AK122" i="1" s="1"/>
  <c r="I122" i="1"/>
  <c r="H122" i="1"/>
  <c r="BJ121" i="1"/>
  <c r="BI121" i="1"/>
  <c r="BH121" i="1"/>
  <c r="BD121" i="1"/>
  <c r="AX121" i="1"/>
  <c r="AP121" i="1"/>
  <c r="I121" i="1" s="1"/>
  <c r="AO121" i="1"/>
  <c r="AW121" i="1" s="1"/>
  <c r="AL121" i="1"/>
  <c r="AJ121" i="1"/>
  <c r="AH121" i="1"/>
  <c r="AG121" i="1"/>
  <c r="AF121" i="1"/>
  <c r="AE121" i="1"/>
  <c r="AD121" i="1"/>
  <c r="AC121" i="1"/>
  <c r="AB121" i="1"/>
  <c r="Z121" i="1"/>
  <c r="L121" i="1"/>
  <c r="BF121" i="1" s="1"/>
  <c r="J121" i="1"/>
  <c r="AK121" i="1" s="1"/>
  <c r="BJ120" i="1"/>
  <c r="BF120" i="1"/>
  <c r="BD120" i="1"/>
  <c r="AW120" i="1"/>
  <c r="AP120" i="1"/>
  <c r="BI120" i="1" s="1"/>
  <c r="AE120" i="1" s="1"/>
  <c r="AO120" i="1"/>
  <c r="BH120" i="1" s="1"/>
  <c r="AD120" i="1" s="1"/>
  <c r="AL120" i="1"/>
  <c r="AK120" i="1"/>
  <c r="AJ120" i="1"/>
  <c r="AH120" i="1"/>
  <c r="AG120" i="1"/>
  <c r="AF120" i="1"/>
  <c r="AC120" i="1"/>
  <c r="AB120" i="1"/>
  <c r="Z120" i="1"/>
  <c r="L120" i="1"/>
  <c r="J120" i="1"/>
  <c r="I120" i="1"/>
  <c r="H120" i="1"/>
  <c r="BJ119" i="1"/>
  <c r="BI119" i="1"/>
  <c r="BH119" i="1"/>
  <c r="BD119" i="1"/>
  <c r="BC119" i="1"/>
  <c r="AX119" i="1"/>
  <c r="AP119" i="1"/>
  <c r="I119" i="1" s="1"/>
  <c r="AO119" i="1"/>
  <c r="AW119" i="1" s="1"/>
  <c r="AL119" i="1"/>
  <c r="AJ119" i="1"/>
  <c r="AH119" i="1"/>
  <c r="AG119" i="1"/>
  <c r="AF119" i="1"/>
  <c r="AE119" i="1"/>
  <c r="AD119" i="1"/>
  <c r="AC119" i="1"/>
  <c r="AB119" i="1"/>
  <c r="Z119" i="1"/>
  <c r="L119" i="1"/>
  <c r="BF119" i="1" s="1"/>
  <c r="J119" i="1"/>
  <c r="AK119" i="1" s="1"/>
  <c r="H119" i="1"/>
  <c r="BJ118" i="1"/>
  <c r="BF118" i="1"/>
  <c r="BD118" i="1"/>
  <c r="AW118" i="1"/>
  <c r="AP118" i="1"/>
  <c r="BI118" i="1" s="1"/>
  <c r="AE118" i="1" s="1"/>
  <c r="AO118" i="1"/>
  <c r="BH118" i="1" s="1"/>
  <c r="AD118" i="1" s="1"/>
  <c r="AL118" i="1"/>
  <c r="AK118" i="1"/>
  <c r="AJ118" i="1"/>
  <c r="AH118" i="1"/>
  <c r="AG118" i="1"/>
  <c r="AF118" i="1"/>
  <c r="AC118" i="1"/>
  <c r="AB118" i="1"/>
  <c r="Z118" i="1"/>
  <c r="L118" i="1"/>
  <c r="J118" i="1"/>
  <c r="I118" i="1"/>
  <c r="H118" i="1"/>
  <c r="BJ117" i="1"/>
  <c r="BI117" i="1"/>
  <c r="BD117" i="1"/>
  <c r="AX117" i="1"/>
  <c r="AP117" i="1"/>
  <c r="I117" i="1" s="1"/>
  <c r="AO117" i="1"/>
  <c r="AL117" i="1"/>
  <c r="AJ117" i="1"/>
  <c r="AH117" i="1"/>
  <c r="AG117" i="1"/>
  <c r="AF117" i="1"/>
  <c r="AE117" i="1"/>
  <c r="AC117" i="1"/>
  <c r="AB117" i="1"/>
  <c r="Z117" i="1"/>
  <c r="L117" i="1"/>
  <c r="BF117" i="1" s="1"/>
  <c r="J117" i="1"/>
  <c r="AK117" i="1" s="1"/>
  <c r="BJ116" i="1"/>
  <c r="BF116" i="1"/>
  <c r="BD116" i="1"/>
  <c r="AW116" i="1"/>
  <c r="AP116" i="1"/>
  <c r="BI116" i="1" s="1"/>
  <c r="AE116" i="1" s="1"/>
  <c r="AO116" i="1"/>
  <c r="BH116" i="1" s="1"/>
  <c r="AD116" i="1" s="1"/>
  <c r="AL116" i="1"/>
  <c r="AK116" i="1"/>
  <c r="AJ116" i="1"/>
  <c r="AH116" i="1"/>
  <c r="AG116" i="1"/>
  <c r="AF116" i="1"/>
  <c r="AC116" i="1"/>
  <c r="AB116" i="1"/>
  <c r="Z116" i="1"/>
  <c r="L116" i="1"/>
  <c r="J116" i="1"/>
  <c r="I116" i="1"/>
  <c r="H116" i="1"/>
  <c r="BJ115" i="1"/>
  <c r="BH115" i="1"/>
  <c r="AD115" i="1" s="1"/>
  <c r="BD115" i="1"/>
  <c r="AP115" i="1"/>
  <c r="AO115" i="1"/>
  <c r="AW115" i="1" s="1"/>
  <c r="AL115" i="1"/>
  <c r="AJ115" i="1"/>
  <c r="AH115" i="1"/>
  <c r="AG115" i="1"/>
  <c r="AF115" i="1"/>
  <c r="AC115" i="1"/>
  <c r="AB115" i="1"/>
  <c r="Z115" i="1"/>
  <c r="L115" i="1"/>
  <c r="BF115" i="1" s="1"/>
  <c r="J115" i="1"/>
  <c r="AK115" i="1" s="1"/>
  <c r="H115" i="1"/>
  <c r="BJ114" i="1"/>
  <c r="BF114" i="1"/>
  <c r="BD114" i="1"/>
  <c r="AW114" i="1"/>
  <c r="AP114" i="1"/>
  <c r="BI114" i="1" s="1"/>
  <c r="AE114" i="1" s="1"/>
  <c r="AO114" i="1"/>
  <c r="BH114" i="1" s="1"/>
  <c r="AD114" i="1" s="1"/>
  <c r="AL114" i="1"/>
  <c r="AJ114" i="1"/>
  <c r="AH114" i="1"/>
  <c r="AG114" i="1"/>
  <c r="AF114" i="1"/>
  <c r="AC114" i="1"/>
  <c r="AB114" i="1"/>
  <c r="Z114" i="1"/>
  <c r="L114" i="1"/>
  <c r="J114" i="1"/>
  <c r="AK114" i="1" s="1"/>
  <c r="I114" i="1"/>
  <c r="H114" i="1"/>
  <c r="BJ113" i="1"/>
  <c r="BI113" i="1"/>
  <c r="AE113" i="1" s="1"/>
  <c r="BH113" i="1"/>
  <c r="BD113" i="1"/>
  <c r="AX113" i="1"/>
  <c r="AP113" i="1"/>
  <c r="I113" i="1" s="1"/>
  <c r="AO113" i="1"/>
  <c r="AW113" i="1" s="1"/>
  <c r="BC113" i="1" s="1"/>
  <c r="AL113" i="1"/>
  <c r="AJ113" i="1"/>
  <c r="AH113" i="1"/>
  <c r="AG113" i="1"/>
  <c r="AF113" i="1"/>
  <c r="AD113" i="1"/>
  <c r="AC113" i="1"/>
  <c r="AB113" i="1"/>
  <c r="Z113" i="1"/>
  <c r="L113" i="1"/>
  <c r="BF113" i="1" s="1"/>
  <c r="J113" i="1"/>
  <c r="AK113" i="1" s="1"/>
  <c r="BJ112" i="1"/>
  <c r="BF112" i="1"/>
  <c r="BD112" i="1"/>
  <c r="AW112" i="1"/>
  <c r="AP112" i="1"/>
  <c r="BI112" i="1" s="1"/>
  <c r="AE112" i="1" s="1"/>
  <c r="AO112" i="1"/>
  <c r="BH112" i="1" s="1"/>
  <c r="AD112" i="1" s="1"/>
  <c r="AL112" i="1"/>
  <c r="AK112" i="1"/>
  <c r="AJ112" i="1"/>
  <c r="AH112" i="1"/>
  <c r="AG112" i="1"/>
  <c r="AF112" i="1"/>
  <c r="AC112" i="1"/>
  <c r="AB112" i="1"/>
  <c r="Z112" i="1"/>
  <c r="L112" i="1"/>
  <c r="J112" i="1"/>
  <c r="I112" i="1"/>
  <c r="H112" i="1"/>
  <c r="BJ111" i="1"/>
  <c r="BI111" i="1"/>
  <c r="BH111" i="1"/>
  <c r="BD111" i="1"/>
  <c r="BC111" i="1"/>
  <c r="AX111" i="1"/>
  <c r="AP111" i="1"/>
  <c r="I111" i="1" s="1"/>
  <c r="AO111" i="1"/>
  <c r="AW111" i="1" s="1"/>
  <c r="AL111" i="1"/>
  <c r="AJ111" i="1"/>
  <c r="AH111" i="1"/>
  <c r="AG111" i="1"/>
  <c r="AF111" i="1"/>
  <c r="AE111" i="1"/>
  <c r="AD111" i="1"/>
  <c r="AC111" i="1"/>
  <c r="AB111" i="1"/>
  <c r="Z111" i="1"/>
  <c r="L111" i="1"/>
  <c r="BF111" i="1" s="1"/>
  <c r="J111" i="1"/>
  <c r="AK111" i="1" s="1"/>
  <c r="H111" i="1"/>
  <c r="BJ110" i="1"/>
  <c r="BF110" i="1"/>
  <c r="BD110" i="1"/>
  <c r="AW110" i="1"/>
  <c r="AP110" i="1"/>
  <c r="BI110" i="1" s="1"/>
  <c r="AE110" i="1" s="1"/>
  <c r="AO110" i="1"/>
  <c r="BH110" i="1" s="1"/>
  <c r="AD110" i="1" s="1"/>
  <c r="AL110" i="1"/>
  <c r="AK110" i="1"/>
  <c r="AJ110" i="1"/>
  <c r="AH110" i="1"/>
  <c r="AG110" i="1"/>
  <c r="AF110" i="1"/>
  <c r="AC110" i="1"/>
  <c r="AB110" i="1"/>
  <c r="Z110" i="1"/>
  <c r="L110" i="1"/>
  <c r="J110" i="1"/>
  <c r="I110" i="1"/>
  <c r="H110" i="1"/>
  <c r="BJ109" i="1"/>
  <c r="BI109" i="1"/>
  <c r="BD109" i="1"/>
  <c r="AX109" i="1"/>
  <c r="AP109" i="1"/>
  <c r="I109" i="1" s="1"/>
  <c r="AO109" i="1"/>
  <c r="AL109" i="1"/>
  <c r="AJ109" i="1"/>
  <c r="AH109" i="1"/>
  <c r="AG109" i="1"/>
  <c r="AF109" i="1"/>
  <c r="AE109" i="1"/>
  <c r="AC109" i="1"/>
  <c r="AB109" i="1"/>
  <c r="Z109" i="1"/>
  <c r="L109" i="1"/>
  <c r="BF109" i="1" s="1"/>
  <c r="J109" i="1"/>
  <c r="AK109" i="1" s="1"/>
  <c r="BJ108" i="1"/>
  <c r="BF108" i="1"/>
  <c r="BD108" i="1"/>
  <c r="AW108" i="1"/>
  <c r="AV108" i="1"/>
  <c r="AP108" i="1"/>
  <c r="AX108" i="1" s="1"/>
  <c r="BC108" i="1" s="1"/>
  <c r="AO108" i="1"/>
  <c r="BH108" i="1" s="1"/>
  <c r="AD108" i="1" s="1"/>
  <c r="AL108" i="1"/>
  <c r="AK108" i="1"/>
  <c r="AJ108" i="1"/>
  <c r="AH108" i="1"/>
  <c r="AG108" i="1"/>
  <c r="AF108" i="1"/>
  <c r="AC108" i="1"/>
  <c r="AB108" i="1"/>
  <c r="Z108" i="1"/>
  <c r="L108" i="1"/>
  <c r="J108" i="1"/>
  <c r="H108" i="1"/>
  <c r="BJ107" i="1"/>
  <c r="BI107" i="1"/>
  <c r="BF107" i="1"/>
  <c r="BD107" i="1"/>
  <c r="AW107" i="1"/>
  <c r="AP107" i="1"/>
  <c r="I107" i="1" s="1"/>
  <c r="AO107" i="1"/>
  <c r="BH107" i="1" s="1"/>
  <c r="AD107" i="1" s="1"/>
  <c r="AL107" i="1"/>
  <c r="AJ107" i="1"/>
  <c r="AH107" i="1"/>
  <c r="AG107" i="1"/>
  <c r="AF107" i="1"/>
  <c r="AE107" i="1"/>
  <c r="AC107" i="1"/>
  <c r="AB107" i="1"/>
  <c r="Z107" i="1"/>
  <c r="L107" i="1"/>
  <c r="J107" i="1"/>
  <c r="AK107" i="1" s="1"/>
  <c r="BJ106" i="1"/>
  <c r="BI106" i="1"/>
  <c r="AE106" i="1" s="1"/>
  <c r="BF106" i="1"/>
  <c r="BD106" i="1"/>
  <c r="BC106" i="1"/>
  <c r="AW106" i="1"/>
  <c r="AV106" i="1"/>
  <c r="AP106" i="1"/>
  <c r="AX106" i="1" s="1"/>
  <c r="AO106" i="1"/>
  <c r="BH106" i="1" s="1"/>
  <c r="AD106" i="1" s="1"/>
  <c r="AL106" i="1"/>
  <c r="AJ106" i="1"/>
  <c r="AH106" i="1"/>
  <c r="AG106" i="1"/>
  <c r="AF106" i="1"/>
  <c r="AC106" i="1"/>
  <c r="AB106" i="1"/>
  <c r="Z106" i="1"/>
  <c r="L106" i="1"/>
  <c r="J106" i="1"/>
  <c r="AK106" i="1" s="1"/>
  <c r="I106" i="1"/>
  <c r="H106" i="1"/>
  <c r="BJ105" i="1"/>
  <c r="BI105" i="1"/>
  <c r="AE105" i="1" s="1"/>
  <c r="BF105" i="1"/>
  <c r="BD105" i="1"/>
  <c r="AX105" i="1"/>
  <c r="AP105" i="1"/>
  <c r="I105" i="1" s="1"/>
  <c r="AO105" i="1"/>
  <c r="AL105" i="1"/>
  <c r="AJ105" i="1"/>
  <c r="AH105" i="1"/>
  <c r="AG105" i="1"/>
  <c r="AF105" i="1"/>
  <c r="AC105" i="1"/>
  <c r="AB105" i="1"/>
  <c r="Z105" i="1"/>
  <c r="L105" i="1"/>
  <c r="J105" i="1"/>
  <c r="AK105" i="1" s="1"/>
  <c r="BJ104" i="1"/>
  <c r="BF104" i="1"/>
  <c r="BD104" i="1"/>
  <c r="BC104" i="1"/>
  <c r="AW104" i="1"/>
  <c r="AV104" i="1"/>
  <c r="AP104" i="1"/>
  <c r="AX104" i="1" s="1"/>
  <c r="AO104" i="1"/>
  <c r="BH104" i="1" s="1"/>
  <c r="AD104" i="1" s="1"/>
  <c r="AL104" i="1"/>
  <c r="AK104" i="1"/>
  <c r="AJ104" i="1"/>
  <c r="AH104" i="1"/>
  <c r="AG104" i="1"/>
  <c r="AF104" i="1"/>
  <c r="AC104" i="1"/>
  <c r="AB104" i="1"/>
  <c r="Z104" i="1"/>
  <c r="L104" i="1"/>
  <c r="J104" i="1"/>
  <c r="H104" i="1"/>
  <c r="BJ103" i="1"/>
  <c r="BF103" i="1"/>
  <c r="BD103" i="1"/>
  <c r="AW103" i="1"/>
  <c r="AP103" i="1"/>
  <c r="I103" i="1" s="1"/>
  <c r="AO103" i="1"/>
  <c r="BH103" i="1" s="1"/>
  <c r="AD103" i="1" s="1"/>
  <c r="AL103" i="1"/>
  <c r="AJ103" i="1"/>
  <c r="AH103" i="1"/>
  <c r="AG103" i="1"/>
  <c r="AF103" i="1"/>
  <c r="AC103" i="1"/>
  <c r="AB103" i="1"/>
  <c r="Z103" i="1"/>
  <c r="L103" i="1"/>
  <c r="J103" i="1"/>
  <c r="AK103" i="1" s="1"/>
  <c r="H103" i="1"/>
  <c r="BJ102" i="1"/>
  <c r="BI102" i="1"/>
  <c r="BF102" i="1"/>
  <c r="BD102" i="1"/>
  <c r="AW102" i="1"/>
  <c r="AP102" i="1"/>
  <c r="AO102" i="1"/>
  <c r="BH102" i="1" s="1"/>
  <c r="AD102" i="1" s="1"/>
  <c r="AL102" i="1"/>
  <c r="AJ102" i="1"/>
  <c r="AH102" i="1"/>
  <c r="AG102" i="1"/>
  <c r="AF102" i="1"/>
  <c r="AE102" i="1"/>
  <c r="AC102" i="1"/>
  <c r="AB102" i="1"/>
  <c r="Z102" i="1"/>
  <c r="L102" i="1"/>
  <c r="J102" i="1"/>
  <c r="AK102" i="1" s="1"/>
  <c r="H102" i="1"/>
  <c r="BJ101" i="1"/>
  <c r="BF101" i="1"/>
  <c r="BD101" i="1"/>
  <c r="AW101" i="1"/>
  <c r="AP101" i="1"/>
  <c r="I101" i="1" s="1"/>
  <c r="AO101" i="1"/>
  <c r="BH101" i="1" s="1"/>
  <c r="AD101" i="1" s="1"/>
  <c r="AL101" i="1"/>
  <c r="AJ101" i="1"/>
  <c r="AH101" i="1"/>
  <c r="AG101" i="1"/>
  <c r="AF101" i="1"/>
  <c r="AC101" i="1"/>
  <c r="AB101" i="1"/>
  <c r="Z101" i="1"/>
  <c r="L101" i="1"/>
  <c r="J101" i="1"/>
  <c r="AK101" i="1" s="1"/>
  <c r="H101" i="1"/>
  <c r="BJ100" i="1"/>
  <c r="BI100" i="1"/>
  <c r="BF100" i="1"/>
  <c r="BD100" i="1"/>
  <c r="AW100" i="1"/>
  <c r="AP100" i="1"/>
  <c r="AO100" i="1"/>
  <c r="BH100" i="1" s="1"/>
  <c r="AD100" i="1" s="1"/>
  <c r="AL100" i="1"/>
  <c r="AJ100" i="1"/>
  <c r="AH100" i="1"/>
  <c r="AG100" i="1"/>
  <c r="AF100" i="1"/>
  <c r="AE100" i="1"/>
  <c r="AC100" i="1"/>
  <c r="AB100" i="1"/>
  <c r="Z100" i="1"/>
  <c r="L100" i="1"/>
  <c r="J100" i="1"/>
  <c r="AK100" i="1" s="1"/>
  <c r="H100" i="1"/>
  <c r="BJ99" i="1"/>
  <c r="BF99" i="1"/>
  <c r="BD99" i="1"/>
  <c r="AW99" i="1"/>
  <c r="AP99" i="1"/>
  <c r="I99" i="1" s="1"/>
  <c r="AO99" i="1"/>
  <c r="BH99" i="1" s="1"/>
  <c r="AD99" i="1" s="1"/>
  <c r="AL99" i="1"/>
  <c r="AJ99" i="1"/>
  <c r="AH99" i="1"/>
  <c r="AG99" i="1"/>
  <c r="AF99" i="1"/>
  <c r="AC99" i="1"/>
  <c r="AB99" i="1"/>
  <c r="Z99" i="1"/>
  <c r="L99" i="1"/>
  <c r="J99" i="1"/>
  <c r="AK99" i="1" s="1"/>
  <c r="H99" i="1"/>
  <c r="BJ98" i="1"/>
  <c r="BF98" i="1"/>
  <c r="BD98" i="1"/>
  <c r="AW98" i="1"/>
  <c r="AP98" i="1"/>
  <c r="AO98" i="1"/>
  <c r="BH98" i="1" s="1"/>
  <c r="AD98" i="1" s="1"/>
  <c r="AL98" i="1"/>
  <c r="AJ98" i="1"/>
  <c r="AH98" i="1"/>
  <c r="AG98" i="1"/>
  <c r="AF98" i="1"/>
  <c r="AC98" i="1"/>
  <c r="AB98" i="1"/>
  <c r="Z98" i="1"/>
  <c r="L98" i="1"/>
  <c r="J98" i="1"/>
  <c r="AK98" i="1" s="1"/>
  <c r="H98" i="1"/>
  <c r="BJ97" i="1"/>
  <c r="BF97" i="1"/>
  <c r="BD97" i="1"/>
  <c r="AW97" i="1"/>
  <c r="AP97" i="1"/>
  <c r="AX97" i="1" s="1"/>
  <c r="BC97" i="1" s="1"/>
  <c r="AO97" i="1"/>
  <c r="BH97" i="1" s="1"/>
  <c r="AD97" i="1" s="1"/>
  <c r="AL97" i="1"/>
  <c r="AJ97" i="1"/>
  <c r="AH97" i="1"/>
  <c r="AG97" i="1"/>
  <c r="AF97" i="1"/>
  <c r="AC97" i="1"/>
  <c r="AB97" i="1"/>
  <c r="Z97" i="1"/>
  <c r="L97" i="1"/>
  <c r="J97" i="1"/>
  <c r="AK97" i="1" s="1"/>
  <c r="H97" i="1"/>
  <c r="BJ96" i="1"/>
  <c r="BD96" i="1"/>
  <c r="AP96" i="1"/>
  <c r="I96" i="1" s="1"/>
  <c r="AO96" i="1"/>
  <c r="BH96" i="1" s="1"/>
  <c r="AD96" i="1" s="1"/>
  <c r="AL96" i="1"/>
  <c r="AJ96" i="1"/>
  <c r="AH96" i="1"/>
  <c r="AG96" i="1"/>
  <c r="AF96" i="1"/>
  <c r="AC96" i="1"/>
  <c r="AB96" i="1"/>
  <c r="Z96" i="1"/>
  <c r="L96" i="1"/>
  <c r="BF96" i="1" s="1"/>
  <c r="J96" i="1"/>
  <c r="AK96" i="1" s="1"/>
  <c r="BJ95" i="1"/>
  <c r="BI95" i="1"/>
  <c r="AE95" i="1" s="1"/>
  <c r="BF95" i="1"/>
  <c r="BD95" i="1"/>
  <c r="AW95" i="1"/>
  <c r="AV95" i="1" s="1"/>
  <c r="AP95" i="1"/>
  <c r="AX95" i="1" s="1"/>
  <c r="AO95" i="1"/>
  <c r="BH95" i="1" s="1"/>
  <c r="AD95" i="1" s="1"/>
  <c r="AL95" i="1"/>
  <c r="AK95" i="1"/>
  <c r="AJ95" i="1"/>
  <c r="AH95" i="1"/>
  <c r="AG95" i="1"/>
  <c r="AF95" i="1"/>
  <c r="AC95" i="1"/>
  <c r="AB95" i="1"/>
  <c r="Z95" i="1"/>
  <c r="L95" i="1"/>
  <c r="J95" i="1"/>
  <c r="I95" i="1"/>
  <c r="H95" i="1"/>
  <c r="BJ94" i="1"/>
  <c r="BI94" i="1"/>
  <c r="BH94" i="1"/>
  <c r="AD94" i="1" s="1"/>
  <c r="BF94" i="1"/>
  <c r="BD94" i="1"/>
  <c r="AX94" i="1"/>
  <c r="AW94" i="1"/>
  <c r="BC94" i="1" s="1"/>
  <c r="AP94" i="1"/>
  <c r="I94" i="1" s="1"/>
  <c r="AO94" i="1"/>
  <c r="AL94" i="1"/>
  <c r="AU93" i="1" s="1"/>
  <c r="AJ94" i="1"/>
  <c r="AH94" i="1"/>
  <c r="AG94" i="1"/>
  <c r="AF94" i="1"/>
  <c r="AE94" i="1"/>
  <c r="AC94" i="1"/>
  <c r="AB94" i="1"/>
  <c r="Z94" i="1"/>
  <c r="L94" i="1"/>
  <c r="J94" i="1"/>
  <c r="AK94" i="1" s="1"/>
  <c r="AT93" i="1" s="1"/>
  <c r="H94" i="1"/>
  <c r="J93" i="1"/>
  <c r="BJ92" i="1"/>
  <c r="BH92" i="1"/>
  <c r="AD92" i="1" s="1"/>
  <c r="BD92" i="1"/>
  <c r="AP92" i="1"/>
  <c r="BI92" i="1" s="1"/>
  <c r="AE92" i="1" s="1"/>
  <c r="AO92" i="1"/>
  <c r="AW92" i="1" s="1"/>
  <c r="AL92" i="1"/>
  <c r="AK92" i="1"/>
  <c r="AJ92" i="1"/>
  <c r="AH92" i="1"/>
  <c r="AG92" i="1"/>
  <c r="AF92" i="1"/>
  <c r="AC92" i="1"/>
  <c r="AB92" i="1"/>
  <c r="Z92" i="1"/>
  <c r="L92" i="1"/>
  <c r="BF92" i="1" s="1"/>
  <c r="J92" i="1"/>
  <c r="I92" i="1"/>
  <c r="H92" i="1"/>
  <c r="BJ91" i="1"/>
  <c r="BH91" i="1"/>
  <c r="BF91" i="1"/>
  <c r="BD91" i="1"/>
  <c r="AX91" i="1"/>
  <c r="AW91" i="1"/>
  <c r="BC91" i="1" s="1"/>
  <c r="AV91" i="1"/>
  <c r="AP91" i="1"/>
  <c r="BI91" i="1" s="1"/>
  <c r="AE91" i="1" s="1"/>
  <c r="AO91" i="1"/>
  <c r="H91" i="1" s="1"/>
  <c r="AL91" i="1"/>
  <c r="AK91" i="1"/>
  <c r="AJ91" i="1"/>
  <c r="AH91" i="1"/>
  <c r="AG91" i="1"/>
  <c r="AF91" i="1"/>
  <c r="AD91" i="1"/>
  <c r="AC91" i="1"/>
  <c r="AB91" i="1"/>
  <c r="Z91" i="1"/>
  <c r="L91" i="1"/>
  <c r="J91" i="1"/>
  <c r="I91" i="1"/>
  <c r="BJ90" i="1"/>
  <c r="BI90" i="1"/>
  <c r="AE90" i="1" s="1"/>
  <c r="BD90" i="1"/>
  <c r="AX90" i="1"/>
  <c r="AP90" i="1"/>
  <c r="I90" i="1" s="1"/>
  <c r="AO90" i="1"/>
  <c r="AW90" i="1" s="1"/>
  <c r="BC90" i="1" s="1"/>
  <c r="AL90" i="1"/>
  <c r="AK90" i="1"/>
  <c r="AJ90" i="1"/>
  <c r="AH90" i="1"/>
  <c r="AG90" i="1"/>
  <c r="AF90" i="1"/>
  <c r="AC90" i="1"/>
  <c r="AB90" i="1"/>
  <c r="Z90" i="1"/>
  <c r="L90" i="1"/>
  <c r="BF90" i="1" s="1"/>
  <c r="J90" i="1"/>
  <c r="BJ89" i="1"/>
  <c r="BD89" i="1"/>
  <c r="AX89" i="1"/>
  <c r="AP89" i="1"/>
  <c r="BI89" i="1" s="1"/>
  <c r="AE89" i="1" s="1"/>
  <c r="AO89" i="1"/>
  <c r="H89" i="1" s="1"/>
  <c r="AL89" i="1"/>
  <c r="AJ89" i="1"/>
  <c r="AH89" i="1"/>
  <c r="AG89" i="1"/>
  <c r="AF89" i="1"/>
  <c r="AC89" i="1"/>
  <c r="AB89" i="1"/>
  <c r="Z89" i="1"/>
  <c r="L89" i="1"/>
  <c r="BF89" i="1" s="1"/>
  <c r="J89" i="1"/>
  <c r="AK89" i="1" s="1"/>
  <c r="I89" i="1"/>
  <c r="BJ88" i="1"/>
  <c r="BH88" i="1"/>
  <c r="AD88" i="1" s="1"/>
  <c r="BD88" i="1"/>
  <c r="AP88" i="1"/>
  <c r="BI88" i="1" s="1"/>
  <c r="AE88" i="1" s="1"/>
  <c r="AO88" i="1"/>
  <c r="AW88" i="1" s="1"/>
  <c r="AL88" i="1"/>
  <c r="AK88" i="1"/>
  <c r="AJ88" i="1"/>
  <c r="AH88" i="1"/>
  <c r="AG88" i="1"/>
  <c r="AF88" i="1"/>
  <c r="AC88" i="1"/>
  <c r="AB88" i="1"/>
  <c r="Z88" i="1"/>
  <c r="L88" i="1"/>
  <c r="BF88" i="1" s="1"/>
  <c r="J88" i="1"/>
  <c r="I88" i="1"/>
  <c r="H88" i="1"/>
  <c r="BJ87" i="1"/>
  <c r="BH87" i="1"/>
  <c r="AD87" i="1" s="1"/>
  <c r="BF87" i="1"/>
  <c r="BD87" i="1"/>
  <c r="AW87" i="1"/>
  <c r="AP87" i="1"/>
  <c r="BI87" i="1" s="1"/>
  <c r="AO87" i="1"/>
  <c r="AL87" i="1"/>
  <c r="AK87" i="1"/>
  <c r="AJ87" i="1"/>
  <c r="AH87" i="1"/>
  <c r="AG87" i="1"/>
  <c r="AF87" i="1"/>
  <c r="AE87" i="1"/>
  <c r="AC87" i="1"/>
  <c r="AB87" i="1"/>
  <c r="Z87" i="1"/>
  <c r="L87" i="1"/>
  <c r="J87" i="1"/>
  <c r="I87" i="1"/>
  <c r="H87" i="1"/>
  <c r="BJ86" i="1"/>
  <c r="BD86" i="1"/>
  <c r="AX86" i="1"/>
  <c r="AP86" i="1"/>
  <c r="I86" i="1" s="1"/>
  <c r="AO86" i="1"/>
  <c r="BH86" i="1" s="1"/>
  <c r="AD86" i="1" s="1"/>
  <c r="AL86" i="1"/>
  <c r="AJ86" i="1"/>
  <c r="AH86" i="1"/>
  <c r="AG86" i="1"/>
  <c r="AF86" i="1"/>
  <c r="AC86" i="1"/>
  <c r="AB86" i="1"/>
  <c r="Z86" i="1"/>
  <c r="L86" i="1"/>
  <c r="BF86" i="1" s="1"/>
  <c r="J86" i="1"/>
  <c r="AK86" i="1" s="1"/>
  <c r="BJ85" i="1"/>
  <c r="BF85" i="1"/>
  <c r="BD85" i="1"/>
  <c r="AW85" i="1"/>
  <c r="AP85" i="1"/>
  <c r="BI85" i="1" s="1"/>
  <c r="AE85" i="1" s="1"/>
  <c r="AO85" i="1"/>
  <c r="BH85" i="1" s="1"/>
  <c r="AD85" i="1" s="1"/>
  <c r="AL85" i="1"/>
  <c r="AU84" i="1" s="1"/>
  <c r="AK85" i="1"/>
  <c r="AJ85" i="1"/>
  <c r="AH85" i="1"/>
  <c r="AG85" i="1"/>
  <c r="AF85" i="1"/>
  <c r="AC85" i="1"/>
  <c r="AB85" i="1"/>
  <c r="Z85" i="1"/>
  <c r="L85" i="1"/>
  <c r="J85" i="1"/>
  <c r="J84" i="1" s="1"/>
  <c r="I85" i="1"/>
  <c r="H85" i="1"/>
  <c r="AS84" i="1"/>
  <c r="BJ83" i="1"/>
  <c r="BF83" i="1"/>
  <c r="BD83" i="1"/>
  <c r="AX83" i="1"/>
  <c r="AW83" i="1"/>
  <c r="AV83" i="1" s="1"/>
  <c r="AP83" i="1"/>
  <c r="BI83" i="1" s="1"/>
  <c r="AE83" i="1" s="1"/>
  <c r="AO83" i="1"/>
  <c r="H83" i="1" s="1"/>
  <c r="AL83" i="1"/>
  <c r="AJ83" i="1"/>
  <c r="AH83" i="1"/>
  <c r="AG83" i="1"/>
  <c r="AF83" i="1"/>
  <c r="AC83" i="1"/>
  <c r="AB83" i="1"/>
  <c r="Z83" i="1"/>
  <c r="L83" i="1"/>
  <c r="J83" i="1"/>
  <c r="AK83" i="1" s="1"/>
  <c r="I83" i="1"/>
  <c r="BJ82" i="1"/>
  <c r="BD82" i="1"/>
  <c r="AP82" i="1"/>
  <c r="BI82" i="1" s="1"/>
  <c r="AE82" i="1" s="1"/>
  <c r="AO82" i="1"/>
  <c r="BH82" i="1" s="1"/>
  <c r="AD82" i="1" s="1"/>
  <c r="AL82" i="1"/>
  <c r="AK82" i="1"/>
  <c r="AJ82" i="1"/>
  <c r="AH82" i="1"/>
  <c r="AG82" i="1"/>
  <c r="AF82" i="1"/>
  <c r="AC82" i="1"/>
  <c r="AB82" i="1"/>
  <c r="Z82" i="1"/>
  <c r="L82" i="1"/>
  <c r="BF82" i="1" s="1"/>
  <c r="J82" i="1"/>
  <c r="H82" i="1"/>
  <c r="BJ81" i="1"/>
  <c r="BF81" i="1"/>
  <c r="BD81" i="1"/>
  <c r="AX81" i="1"/>
  <c r="AW81" i="1"/>
  <c r="AV81" i="1" s="1"/>
  <c r="AP81" i="1"/>
  <c r="BI81" i="1" s="1"/>
  <c r="AE81" i="1" s="1"/>
  <c r="AO81" i="1"/>
  <c r="H81" i="1" s="1"/>
  <c r="AL81" i="1"/>
  <c r="AJ81" i="1"/>
  <c r="AH81" i="1"/>
  <c r="AG81" i="1"/>
  <c r="AF81" i="1"/>
  <c r="AC81" i="1"/>
  <c r="AB81" i="1"/>
  <c r="Z81" i="1"/>
  <c r="L81" i="1"/>
  <c r="J81" i="1"/>
  <c r="AK81" i="1" s="1"/>
  <c r="I81" i="1"/>
  <c r="BJ80" i="1"/>
  <c r="BD80" i="1"/>
  <c r="AP80" i="1"/>
  <c r="BI80" i="1" s="1"/>
  <c r="AE80" i="1" s="1"/>
  <c r="AO80" i="1"/>
  <c r="BH80" i="1" s="1"/>
  <c r="AD80" i="1" s="1"/>
  <c r="AL80" i="1"/>
  <c r="AK80" i="1"/>
  <c r="AJ80" i="1"/>
  <c r="AH80" i="1"/>
  <c r="AG80" i="1"/>
  <c r="AF80" i="1"/>
  <c r="AC80" i="1"/>
  <c r="AB80" i="1"/>
  <c r="Z80" i="1"/>
  <c r="L80" i="1"/>
  <c r="BF80" i="1" s="1"/>
  <c r="J80" i="1"/>
  <c r="H80" i="1"/>
  <c r="BJ79" i="1"/>
  <c r="BF79" i="1"/>
  <c r="BD79" i="1"/>
  <c r="AX79" i="1"/>
  <c r="AW79" i="1"/>
  <c r="AV79" i="1" s="1"/>
  <c r="AP79" i="1"/>
  <c r="BI79" i="1" s="1"/>
  <c r="AE79" i="1" s="1"/>
  <c r="AO79" i="1"/>
  <c r="H79" i="1" s="1"/>
  <c r="AL79" i="1"/>
  <c r="AJ79" i="1"/>
  <c r="AH79" i="1"/>
  <c r="AG79" i="1"/>
  <c r="AF79" i="1"/>
  <c r="AC79" i="1"/>
  <c r="AB79" i="1"/>
  <c r="Z79" i="1"/>
  <c r="L79" i="1"/>
  <c r="J79" i="1"/>
  <c r="AK79" i="1" s="1"/>
  <c r="I79" i="1"/>
  <c r="BJ78" i="1"/>
  <c r="BD78" i="1"/>
  <c r="AP78" i="1"/>
  <c r="BI78" i="1" s="1"/>
  <c r="AE78" i="1" s="1"/>
  <c r="AO78" i="1"/>
  <c r="BH78" i="1" s="1"/>
  <c r="AD78" i="1" s="1"/>
  <c r="AL78" i="1"/>
  <c r="AK78" i="1"/>
  <c r="AJ78" i="1"/>
  <c r="AH78" i="1"/>
  <c r="AG78" i="1"/>
  <c r="AF78" i="1"/>
  <c r="AC78" i="1"/>
  <c r="AB78" i="1"/>
  <c r="Z78" i="1"/>
  <c r="L78" i="1"/>
  <c r="BF78" i="1" s="1"/>
  <c r="J78" i="1"/>
  <c r="H78" i="1"/>
  <c r="BJ77" i="1"/>
  <c r="BF77" i="1"/>
  <c r="BD77" i="1"/>
  <c r="AX77" i="1"/>
  <c r="AW77" i="1"/>
  <c r="AV77" i="1" s="1"/>
  <c r="AP77" i="1"/>
  <c r="BI77" i="1" s="1"/>
  <c r="AE77" i="1" s="1"/>
  <c r="AO77" i="1"/>
  <c r="H77" i="1" s="1"/>
  <c r="AL77" i="1"/>
  <c r="AJ77" i="1"/>
  <c r="AH77" i="1"/>
  <c r="AG77" i="1"/>
  <c r="AF77" i="1"/>
  <c r="AC77" i="1"/>
  <c r="AB77" i="1"/>
  <c r="Z77" i="1"/>
  <c r="L77" i="1"/>
  <c r="J77" i="1"/>
  <c r="AK77" i="1" s="1"/>
  <c r="I77" i="1"/>
  <c r="BJ76" i="1"/>
  <c r="BD76" i="1"/>
  <c r="AP76" i="1"/>
  <c r="BI76" i="1" s="1"/>
  <c r="AE76" i="1" s="1"/>
  <c r="AO76" i="1"/>
  <c r="BH76" i="1" s="1"/>
  <c r="AD76" i="1" s="1"/>
  <c r="AL76" i="1"/>
  <c r="AK76" i="1"/>
  <c r="AJ76" i="1"/>
  <c r="AH76" i="1"/>
  <c r="AG76" i="1"/>
  <c r="AF76" i="1"/>
  <c r="AC76" i="1"/>
  <c r="AB76" i="1"/>
  <c r="Z76" i="1"/>
  <c r="L76" i="1"/>
  <c r="BF76" i="1" s="1"/>
  <c r="J76" i="1"/>
  <c r="H76" i="1"/>
  <c r="BJ75" i="1"/>
  <c r="BF75" i="1"/>
  <c r="BD75" i="1"/>
  <c r="AX75" i="1"/>
  <c r="AW75" i="1"/>
  <c r="AV75" i="1" s="1"/>
  <c r="AP75" i="1"/>
  <c r="BI75" i="1" s="1"/>
  <c r="AE75" i="1" s="1"/>
  <c r="AO75" i="1"/>
  <c r="H75" i="1" s="1"/>
  <c r="AL75" i="1"/>
  <c r="AJ75" i="1"/>
  <c r="AH75" i="1"/>
  <c r="AG75" i="1"/>
  <c r="AF75" i="1"/>
  <c r="AC75" i="1"/>
  <c r="AB75" i="1"/>
  <c r="Z75" i="1"/>
  <c r="L75" i="1"/>
  <c r="J75" i="1"/>
  <c r="AK75" i="1" s="1"/>
  <c r="I75" i="1"/>
  <c r="BJ74" i="1"/>
  <c r="BD74" i="1"/>
  <c r="AP74" i="1"/>
  <c r="BI74" i="1" s="1"/>
  <c r="AE74" i="1" s="1"/>
  <c r="AO74" i="1"/>
  <c r="BH74" i="1" s="1"/>
  <c r="AD74" i="1" s="1"/>
  <c r="AL74" i="1"/>
  <c r="AK74" i="1"/>
  <c r="AJ74" i="1"/>
  <c r="AH74" i="1"/>
  <c r="AG74" i="1"/>
  <c r="AF74" i="1"/>
  <c r="AC74" i="1"/>
  <c r="AB74" i="1"/>
  <c r="Z74" i="1"/>
  <c r="L74" i="1"/>
  <c r="BF74" i="1" s="1"/>
  <c r="J74" i="1"/>
  <c r="H74" i="1"/>
  <c r="BJ73" i="1"/>
  <c r="BF73" i="1"/>
  <c r="BD73" i="1"/>
  <c r="AX73" i="1"/>
  <c r="AW73" i="1"/>
  <c r="AV73" i="1" s="1"/>
  <c r="AP73" i="1"/>
  <c r="BI73" i="1" s="1"/>
  <c r="AE73" i="1" s="1"/>
  <c r="AO73" i="1"/>
  <c r="H73" i="1" s="1"/>
  <c r="AL73" i="1"/>
  <c r="AJ73" i="1"/>
  <c r="AH73" i="1"/>
  <c r="AG73" i="1"/>
  <c r="AF73" i="1"/>
  <c r="AC73" i="1"/>
  <c r="AB73" i="1"/>
  <c r="Z73" i="1"/>
  <c r="L73" i="1"/>
  <c r="J73" i="1"/>
  <c r="AK73" i="1" s="1"/>
  <c r="I73" i="1"/>
  <c r="BJ72" i="1"/>
  <c r="BD72" i="1"/>
  <c r="AP72" i="1"/>
  <c r="BI72" i="1" s="1"/>
  <c r="AE72" i="1" s="1"/>
  <c r="AO72" i="1"/>
  <c r="BH72" i="1" s="1"/>
  <c r="AD72" i="1" s="1"/>
  <c r="AL72" i="1"/>
  <c r="AK72" i="1"/>
  <c r="AJ72" i="1"/>
  <c r="AH72" i="1"/>
  <c r="AG72" i="1"/>
  <c r="AF72" i="1"/>
  <c r="AC72" i="1"/>
  <c r="AB72" i="1"/>
  <c r="Z72" i="1"/>
  <c r="L72" i="1"/>
  <c r="BF72" i="1" s="1"/>
  <c r="J72" i="1"/>
  <c r="H72" i="1"/>
  <c r="BJ71" i="1"/>
  <c r="BF71" i="1"/>
  <c r="BD71" i="1"/>
  <c r="AX71" i="1"/>
  <c r="AW71" i="1"/>
  <c r="AV71" i="1" s="1"/>
  <c r="AP71" i="1"/>
  <c r="BI71" i="1" s="1"/>
  <c r="AE71" i="1" s="1"/>
  <c r="AO71" i="1"/>
  <c r="H71" i="1" s="1"/>
  <c r="AL71" i="1"/>
  <c r="AJ71" i="1"/>
  <c r="AH71" i="1"/>
  <c r="AG71" i="1"/>
  <c r="AF71" i="1"/>
  <c r="AC71" i="1"/>
  <c r="AB71" i="1"/>
  <c r="Z71" i="1"/>
  <c r="L71" i="1"/>
  <c r="J71" i="1"/>
  <c r="AK71" i="1" s="1"/>
  <c r="I71" i="1"/>
  <c r="BJ70" i="1"/>
  <c r="BD70" i="1"/>
  <c r="AP70" i="1"/>
  <c r="BI70" i="1" s="1"/>
  <c r="AE70" i="1" s="1"/>
  <c r="AO70" i="1"/>
  <c r="BH70" i="1" s="1"/>
  <c r="AD70" i="1" s="1"/>
  <c r="AL70" i="1"/>
  <c r="AK70" i="1"/>
  <c r="AJ70" i="1"/>
  <c r="AH70" i="1"/>
  <c r="AG70" i="1"/>
  <c r="AF70" i="1"/>
  <c r="AC70" i="1"/>
  <c r="AB70" i="1"/>
  <c r="Z70" i="1"/>
  <c r="L70" i="1"/>
  <c r="BF70" i="1" s="1"/>
  <c r="J70" i="1"/>
  <c r="H70" i="1"/>
  <c r="BJ69" i="1"/>
  <c r="BF69" i="1"/>
  <c r="BD69" i="1"/>
  <c r="AX69" i="1"/>
  <c r="AW69" i="1"/>
  <c r="AV69" i="1" s="1"/>
  <c r="AP69" i="1"/>
  <c r="BI69" i="1" s="1"/>
  <c r="AE69" i="1" s="1"/>
  <c r="AO69" i="1"/>
  <c r="H69" i="1" s="1"/>
  <c r="AL69" i="1"/>
  <c r="AJ69" i="1"/>
  <c r="AH69" i="1"/>
  <c r="AG69" i="1"/>
  <c r="AF69" i="1"/>
  <c r="AC69" i="1"/>
  <c r="AB69" i="1"/>
  <c r="Z69" i="1"/>
  <c r="L69" i="1"/>
  <c r="J69" i="1"/>
  <c r="AK69" i="1" s="1"/>
  <c r="I69" i="1"/>
  <c r="BJ68" i="1"/>
  <c r="BD68" i="1"/>
  <c r="AP68" i="1"/>
  <c r="BI68" i="1" s="1"/>
  <c r="AE68" i="1" s="1"/>
  <c r="AO68" i="1"/>
  <c r="BH68" i="1" s="1"/>
  <c r="AD68" i="1" s="1"/>
  <c r="AL68" i="1"/>
  <c r="AK68" i="1"/>
  <c r="AJ68" i="1"/>
  <c r="AH68" i="1"/>
  <c r="AG68" i="1"/>
  <c r="AF68" i="1"/>
  <c r="AC68" i="1"/>
  <c r="AB68" i="1"/>
  <c r="Z68" i="1"/>
  <c r="L68" i="1"/>
  <c r="BF68" i="1" s="1"/>
  <c r="J68" i="1"/>
  <c r="H68" i="1"/>
  <c r="BJ67" i="1"/>
  <c r="BF67" i="1"/>
  <c r="BD67" i="1"/>
  <c r="AX67" i="1"/>
  <c r="AW67" i="1"/>
  <c r="AV67" i="1" s="1"/>
  <c r="AP67" i="1"/>
  <c r="BI67" i="1" s="1"/>
  <c r="AE67" i="1" s="1"/>
  <c r="AO67" i="1"/>
  <c r="H67" i="1" s="1"/>
  <c r="AL67" i="1"/>
  <c r="AJ67" i="1"/>
  <c r="AH67" i="1"/>
  <c r="AG67" i="1"/>
  <c r="AF67" i="1"/>
  <c r="AC67" i="1"/>
  <c r="AB67" i="1"/>
  <c r="Z67" i="1"/>
  <c r="L67" i="1"/>
  <c r="J67" i="1"/>
  <c r="AK67" i="1" s="1"/>
  <c r="I67" i="1"/>
  <c r="BJ66" i="1"/>
  <c r="BD66" i="1"/>
  <c r="AP66" i="1"/>
  <c r="BI66" i="1" s="1"/>
  <c r="AE66" i="1" s="1"/>
  <c r="AO66" i="1"/>
  <c r="BH66" i="1" s="1"/>
  <c r="AD66" i="1" s="1"/>
  <c r="AL66" i="1"/>
  <c r="AK66" i="1"/>
  <c r="AJ66" i="1"/>
  <c r="AH66" i="1"/>
  <c r="AG66" i="1"/>
  <c r="AF66" i="1"/>
  <c r="AC66" i="1"/>
  <c r="AB66" i="1"/>
  <c r="Z66" i="1"/>
  <c r="L66" i="1"/>
  <c r="BF66" i="1" s="1"/>
  <c r="J66" i="1"/>
  <c r="H66" i="1"/>
  <c r="BJ65" i="1"/>
  <c r="BF65" i="1"/>
  <c r="BD65" i="1"/>
  <c r="AX65" i="1"/>
  <c r="AW65" i="1"/>
  <c r="AP65" i="1"/>
  <c r="BI65" i="1" s="1"/>
  <c r="AE65" i="1" s="1"/>
  <c r="AO65" i="1"/>
  <c r="H65" i="1" s="1"/>
  <c r="AL65" i="1"/>
  <c r="AJ65" i="1"/>
  <c r="AH65" i="1"/>
  <c r="AG65" i="1"/>
  <c r="AF65" i="1"/>
  <c r="AC65" i="1"/>
  <c r="AB65" i="1"/>
  <c r="Z65" i="1"/>
  <c r="L65" i="1"/>
  <c r="J65" i="1"/>
  <c r="AK65" i="1" s="1"/>
  <c r="I65" i="1"/>
  <c r="BJ64" i="1"/>
  <c r="BD64" i="1"/>
  <c r="AP64" i="1"/>
  <c r="BI64" i="1" s="1"/>
  <c r="AE64" i="1" s="1"/>
  <c r="AO64" i="1"/>
  <c r="BH64" i="1" s="1"/>
  <c r="AD64" i="1" s="1"/>
  <c r="AL64" i="1"/>
  <c r="AK64" i="1"/>
  <c r="AJ64" i="1"/>
  <c r="AH64" i="1"/>
  <c r="AG64" i="1"/>
  <c r="AF64" i="1"/>
  <c r="AC64" i="1"/>
  <c r="AB64" i="1"/>
  <c r="Z64" i="1"/>
  <c r="L64" i="1"/>
  <c r="BF64" i="1" s="1"/>
  <c r="J64" i="1"/>
  <c r="H64" i="1"/>
  <c r="BJ63" i="1"/>
  <c r="BF63" i="1"/>
  <c r="BD63" i="1"/>
  <c r="AX63" i="1"/>
  <c r="AW63" i="1"/>
  <c r="AP63" i="1"/>
  <c r="BI63" i="1" s="1"/>
  <c r="AE63" i="1" s="1"/>
  <c r="AO63" i="1"/>
  <c r="H63" i="1" s="1"/>
  <c r="AL63" i="1"/>
  <c r="AJ63" i="1"/>
  <c r="AH63" i="1"/>
  <c r="AG63" i="1"/>
  <c r="AF63" i="1"/>
  <c r="AC63" i="1"/>
  <c r="AB63" i="1"/>
  <c r="Z63" i="1"/>
  <c r="L63" i="1"/>
  <c r="J63" i="1"/>
  <c r="AK63" i="1" s="1"/>
  <c r="I63" i="1"/>
  <c r="BJ62" i="1"/>
  <c r="BD62" i="1"/>
  <c r="AP62" i="1"/>
  <c r="BI62" i="1" s="1"/>
  <c r="AE62" i="1" s="1"/>
  <c r="AO62" i="1"/>
  <c r="BH62" i="1" s="1"/>
  <c r="AD62" i="1" s="1"/>
  <c r="AL62" i="1"/>
  <c r="AK62" i="1"/>
  <c r="AJ62" i="1"/>
  <c r="AH62" i="1"/>
  <c r="AG62" i="1"/>
  <c r="AF62" i="1"/>
  <c r="AC62" i="1"/>
  <c r="AB62" i="1"/>
  <c r="Z62" i="1"/>
  <c r="L62" i="1"/>
  <c r="BF62" i="1" s="1"/>
  <c r="J62" i="1"/>
  <c r="H62" i="1"/>
  <c r="BJ61" i="1"/>
  <c r="BF61" i="1"/>
  <c r="BD61" i="1"/>
  <c r="AX61" i="1"/>
  <c r="AW61" i="1"/>
  <c r="AP61" i="1"/>
  <c r="BI61" i="1" s="1"/>
  <c r="AE61" i="1" s="1"/>
  <c r="AO61" i="1"/>
  <c r="H61" i="1" s="1"/>
  <c r="AL61" i="1"/>
  <c r="AJ61" i="1"/>
  <c r="AH61" i="1"/>
  <c r="AG61" i="1"/>
  <c r="AF61" i="1"/>
  <c r="AC61" i="1"/>
  <c r="AB61" i="1"/>
  <c r="Z61" i="1"/>
  <c r="L61" i="1"/>
  <c r="J61" i="1"/>
  <c r="AK61" i="1" s="1"/>
  <c r="I61" i="1"/>
  <c r="BJ60" i="1"/>
  <c r="BH60" i="1"/>
  <c r="AD60" i="1" s="1"/>
  <c r="BD60" i="1"/>
  <c r="AP60" i="1"/>
  <c r="I60" i="1" s="1"/>
  <c r="AO60" i="1"/>
  <c r="AW60" i="1" s="1"/>
  <c r="AL60" i="1"/>
  <c r="AK60" i="1"/>
  <c r="AJ60" i="1"/>
  <c r="AH60" i="1"/>
  <c r="AG60" i="1"/>
  <c r="AF60" i="1"/>
  <c r="AC60" i="1"/>
  <c r="AB60" i="1"/>
  <c r="Z60" i="1"/>
  <c r="L60" i="1"/>
  <c r="BF60" i="1" s="1"/>
  <c r="J60" i="1"/>
  <c r="BJ59" i="1"/>
  <c r="BF59" i="1"/>
  <c r="BD59" i="1"/>
  <c r="AX59" i="1"/>
  <c r="AW59" i="1"/>
  <c r="BC59" i="1" s="1"/>
  <c r="AP59" i="1"/>
  <c r="BI59" i="1" s="1"/>
  <c r="AE59" i="1" s="1"/>
  <c r="AO59" i="1"/>
  <c r="H59" i="1" s="1"/>
  <c r="AL59" i="1"/>
  <c r="AK59" i="1"/>
  <c r="AJ59" i="1"/>
  <c r="AH59" i="1"/>
  <c r="AG59" i="1"/>
  <c r="AF59" i="1"/>
  <c r="AC59" i="1"/>
  <c r="AB59" i="1"/>
  <c r="Z59" i="1"/>
  <c r="L59" i="1"/>
  <c r="J59" i="1"/>
  <c r="I59" i="1"/>
  <c r="BJ58" i="1"/>
  <c r="BI58" i="1"/>
  <c r="AE58" i="1" s="1"/>
  <c r="BH58" i="1"/>
  <c r="AD58" i="1" s="1"/>
  <c r="BD58" i="1"/>
  <c r="BC58" i="1"/>
  <c r="AX58" i="1"/>
  <c r="AP58" i="1"/>
  <c r="I58" i="1" s="1"/>
  <c r="AO58" i="1"/>
  <c r="AW58" i="1" s="1"/>
  <c r="AL58" i="1"/>
  <c r="AK58" i="1"/>
  <c r="AJ58" i="1"/>
  <c r="AH58" i="1"/>
  <c r="AG58" i="1"/>
  <c r="AF58" i="1"/>
  <c r="AC58" i="1"/>
  <c r="AB58" i="1"/>
  <c r="Z58" i="1"/>
  <c r="L58" i="1"/>
  <c r="BF58" i="1" s="1"/>
  <c r="J58" i="1"/>
  <c r="H58" i="1"/>
  <c r="BJ57" i="1"/>
  <c r="BD57" i="1"/>
  <c r="AX57" i="1"/>
  <c r="AW57" i="1"/>
  <c r="BC57" i="1" s="1"/>
  <c r="AP57" i="1"/>
  <c r="BI57" i="1" s="1"/>
  <c r="AE57" i="1" s="1"/>
  <c r="AO57" i="1"/>
  <c r="H57" i="1" s="1"/>
  <c r="AL57" i="1"/>
  <c r="AJ57" i="1"/>
  <c r="AH57" i="1"/>
  <c r="AG57" i="1"/>
  <c r="AF57" i="1"/>
  <c r="AC57" i="1"/>
  <c r="AB57" i="1"/>
  <c r="Z57" i="1"/>
  <c r="L57" i="1"/>
  <c r="BF57" i="1" s="1"/>
  <c r="J57" i="1"/>
  <c r="AK57" i="1" s="1"/>
  <c r="I57" i="1"/>
  <c r="BJ56" i="1"/>
  <c r="BH56" i="1"/>
  <c r="AD56" i="1" s="1"/>
  <c r="BD56" i="1"/>
  <c r="AP56" i="1"/>
  <c r="BI56" i="1" s="1"/>
  <c r="AE56" i="1" s="1"/>
  <c r="AO56" i="1"/>
  <c r="AW56" i="1" s="1"/>
  <c r="AL56" i="1"/>
  <c r="AK56" i="1"/>
  <c r="AJ56" i="1"/>
  <c r="AH56" i="1"/>
  <c r="AG56" i="1"/>
  <c r="AF56" i="1"/>
  <c r="AC56" i="1"/>
  <c r="AB56" i="1"/>
  <c r="Z56" i="1"/>
  <c r="L56" i="1"/>
  <c r="BF56" i="1" s="1"/>
  <c r="J56" i="1"/>
  <c r="I56" i="1"/>
  <c r="H56" i="1"/>
  <c r="BJ55" i="1"/>
  <c r="BF55" i="1"/>
  <c r="BD55" i="1"/>
  <c r="AX55" i="1"/>
  <c r="AP55" i="1"/>
  <c r="BI55" i="1" s="1"/>
  <c r="AE55" i="1" s="1"/>
  <c r="AO55" i="1"/>
  <c r="BH55" i="1" s="1"/>
  <c r="AD55" i="1" s="1"/>
  <c r="AL55" i="1"/>
  <c r="AK55" i="1"/>
  <c r="AJ55" i="1"/>
  <c r="AH55" i="1"/>
  <c r="AG55" i="1"/>
  <c r="AF55" i="1"/>
  <c r="AC55" i="1"/>
  <c r="AB55" i="1"/>
  <c r="Z55" i="1"/>
  <c r="L55" i="1"/>
  <c r="J55" i="1"/>
  <c r="I55" i="1"/>
  <c r="H55" i="1"/>
  <c r="BJ54" i="1"/>
  <c r="BF54" i="1"/>
  <c r="BD54" i="1"/>
  <c r="AW54" i="1"/>
  <c r="AP54" i="1"/>
  <c r="BI54" i="1" s="1"/>
  <c r="AE54" i="1" s="1"/>
  <c r="AO54" i="1"/>
  <c r="BH54" i="1" s="1"/>
  <c r="AD54" i="1" s="1"/>
  <c r="AL54" i="1"/>
  <c r="AJ54" i="1"/>
  <c r="AH54" i="1"/>
  <c r="AG54" i="1"/>
  <c r="AF54" i="1"/>
  <c r="AC54" i="1"/>
  <c r="AB54" i="1"/>
  <c r="Z54" i="1"/>
  <c r="L54" i="1"/>
  <c r="J54" i="1"/>
  <c r="AK54" i="1" s="1"/>
  <c r="I54" i="1"/>
  <c r="H54" i="1"/>
  <c r="BJ53" i="1"/>
  <c r="BD53" i="1"/>
  <c r="AP53" i="1"/>
  <c r="BI53" i="1" s="1"/>
  <c r="AE53" i="1" s="1"/>
  <c r="AO53" i="1"/>
  <c r="BH53" i="1" s="1"/>
  <c r="AD53" i="1" s="1"/>
  <c r="AL53" i="1"/>
  <c r="AJ53" i="1"/>
  <c r="AH53" i="1"/>
  <c r="AG53" i="1"/>
  <c r="AF53" i="1"/>
  <c r="AC53" i="1"/>
  <c r="AB53" i="1"/>
  <c r="Z53" i="1"/>
  <c r="L53" i="1"/>
  <c r="BF53" i="1" s="1"/>
  <c r="J53" i="1"/>
  <c r="AK53" i="1" s="1"/>
  <c r="H53" i="1"/>
  <c r="BJ52" i="1"/>
  <c r="BF52" i="1"/>
  <c r="BD52" i="1"/>
  <c r="AW52" i="1"/>
  <c r="AP52" i="1"/>
  <c r="BI52" i="1" s="1"/>
  <c r="AE52" i="1" s="1"/>
  <c r="AO52" i="1"/>
  <c r="BH52" i="1" s="1"/>
  <c r="AD52" i="1" s="1"/>
  <c r="AL52" i="1"/>
  <c r="AJ52" i="1"/>
  <c r="AH52" i="1"/>
  <c r="AG52" i="1"/>
  <c r="AF52" i="1"/>
  <c r="AC52" i="1"/>
  <c r="AB52" i="1"/>
  <c r="Z52" i="1"/>
  <c r="L52" i="1"/>
  <c r="J52" i="1"/>
  <c r="AK52" i="1" s="1"/>
  <c r="I52" i="1"/>
  <c r="H52" i="1"/>
  <c r="BJ51" i="1"/>
  <c r="BD51" i="1"/>
  <c r="AP51" i="1"/>
  <c r="BI51" i="1" s="1"/>
  <c r="AE51" i="1" s="1"/>
  <c r="AO51" i="1"/>
  <c r="BH51" i="1" s="1"/>
  <c r="AD51" i="1" s="1"/>
  <c r="AL51" i="1"/>
  <c r="AJ51" i="1"/>
  <c r="AH51" i="1"/>
  <c r="AG51" i="1"/>
  <c r="AF51" i="1"/>
  <c r="AC51" i="1"/>
  <c r="AB51" i="1"/>
  <c r="Z51" i="1"/>
  <c r="L51" i="1"/>
  <c r="BF51" i="1" s="1"/>
  <c r="J51" i="1"/>
  <c r="AK51" i="1" s="1"/>
  <c r="H51" i="1"/>
  <c r="BJ50" i="1"/>
  <c r="BF50" i="1"/>
  <c r="BD50" i="1"/>
  <c r="AW50" i="1"/>
  <c r="AP50" i="1"/>
  <c r="BI50" i="1" s="1"/>
  <c r="AE50" i="1" s="1"/>
  <c r="AO50" i="1"/>
  <c r="BH50" i="1" s="1"/>
  <c r="AD50" i="1" s="1"/>
  <c r="AL50" i="1"/>
  <c r="AJ50" i="1"/>
  <c r="AH50" i="1"/>
  <c r="AG50" i="1"/>
  <c r="AF50" i="1"/>
  <c r="AC50" i="1"/>
  <c r="AB50" i="1"/>
  <c r="Z50" i="1"/>
  <c r="L50" i="1"/>
  <c r="J50" i="1"/>
  <c r="AK50" i="1" s="1"/>
  <c r="I50" i="1"/>
  <c r="H50" i="1"/>
  <c r="BJ49" i="1"/>
  <c r="BD49" i="1"/>
  <c r="AP49" i="1"/>
  <c r="BI49" i="1" s="1"/>
  <c r="AE49" i="1" s="1"/>
  <c r="AO49" i="1"/>
  <c r="BH49" i="1" s="1"/>
  <c r="AD49" i="1" s="1"/>
  <c r="AL49" i="1"/>
  <c r="AJ49" i="1"/>
  <c r="AH49" i="1"/>
  <c r="AG49" i="1"/>
  <c r="AF49" i="1"/>
  <c r="AC49" i="1"/>
  <c r="AB49" i="1"/>
  <c r="Z49" i="1"/>
  <c r="L49" i="1"/>
  <c r="BF49" i="1" s="1"/>
  <c r="J49" i="1"/>
  <c r="AK49" i="1" s="1"/>
  <c r="H49" i="1"/>
  <c r="BJ48" i="1"/>
  <c r="BF48" i="1"/>
  <c r="BD48" i="1"/>
  <c r="AW48" i="1"/>
  <c r="AP48" i="1"/>
  <c r="BI48" i="1" s="1"/>
  <c r="AE48" i="1" s="1"/>
  <c r="AO48" i="1"/>
  <c r="BH48" i="1" s="1"/>
  <c r="AD48" i="1" s="1"/>
  <c r="AL48" i="1"/>
  <c r="AJ48" i="1"/>
  <c r="AH48" i="1"/>
  <c r="AG48" i="1"/>
  <c r="AF48" i="1"/>
  <c r="AC48" i="1"/>
  <c r="AB48" i="1"/>
  <c r="Z48" i="1"/>
  <c r="L48" i="1"/>
  <c r="J48" i="1"/>
  <c r="AK48" i="1" s="1"/>
  <c r="I48" i="1"/>
  <c r="H48" i="1"/>
  <c r="BJ47" i="1"/>
  <c r="BD47" i="1"/>
  <c r="AP47" i="1"/>
  <c r="BI47" i="1" s="1"/>
  <c r="AE47" i="1" s="1"/>
  <c r="AO47" i="1"/>
  <c r="BH47" i="1" s="1"/>
  <c r="AD47" i="1" s="1"/>
  <c r="AL47" i="1"/>
  <c r="AJ47" i="1"/>
  <c r="AH47" i="1"/>
  <c r="AG47" i="1"/>
  <c r="AF47" i="1"/>
  <c r="AC47" i="1"/>
  <c r="AB47" i="1"/>
  <c r="Z47" i="1"/>
  <c r="L47" i="1"/>
  <c r="BF47" i="1" s="1"/>
  <c r="J47" i="1"/>
  <c r="AK47" i="1" s="1"/>
  <c r="H47" i="1"/>
  <c r="BJ46" i="1"/>
  <c r="BF46" i="1"/>
  <c r="BD46" i="1"/>
  <c r="AW46" i="1"/>
  <c r="AP46" i="1"/>
  <c r="BI46" i="1" s="1"/>
  <c r="AE46" i="1" s="1"/>
  <c r="AO46" i="1"/>
  <c r="BH46" i="1" s="1"/>
  <c r="AD46" i="1" s="1"/>
  <c r="AL46" i="1"/>
  <c r="AU44" i="1" s="1"/>
  <c r="AJ46" i="1"/>
  <c r="AH46" i="1"/>
  <c r="AG46" i="1"/>
  <c r="AF46" i="1"/>
  <c r="AC46" i="1"/>
  <c r="AB46" i="1"/>
  <c r="Z46" i="1"/>
  <c r="L46" i="1"/>
  <c r="J46" i="1"/>
  <c r="AK46" i="1" s="1"/>
  <c r="I46" i="1"/>
  <c r="H46" i="1"/>
  <c r="BJ45" i="1"/>
  <c r="BD45" i="1"/>
  <c r="AP45" i="1"/>
  <c r="BI45" i="1" s="1"/>
  <c r="AE45" i="1" s="1"/>
  <c r="AO45" i="1"/>
  <c r="BH45" i="1" s="1"/>
  <c r="AD45" i="1" s="1"/>
  <c r="AL45" i="1"/>
  <c r="AJ45" i="1"/>
  <c r="AS44" i="1" s="1"/>
  <c r="AH45" i="1"/>
  <c r="AG45" i="1"/>
  <c r="AF45" i="1"/>
  <c r="AC45" i="1"/>
  <c r="AB45" i="1"/>
  <c r="Z45" i="1"/>
  <c r="L45" i="1"/>
  <c r="BF45" i="1" s="1"/>
  <c r="J45" i="1"/>
  <c r="AK45" i="1" s="1"/>
  <c r="H45" i="1"/>
  <c r="L44" i="1"/>
  <c r="BJ43" i="1"/>
  <c r="BD43" i="1"/>
  <c r="AP43" i="1"/>
  <c r="BI43" i="1" s="1"/>
  <c r="AE43" i="1" s="1"/>
  <c r="AO43" i="1"/>
  <c r="BH43" i="1" s="1"/>
  <c r="AD43" i="1" s="1"/>
  <c r="AL43" i="1"/>
  <c r="AK43" i="1"/>
  <c r="AJ43" i="1"/>
  <c r="AH43" i="1"/>
  <c r="AG43" i="1"/>
  <c r="AF43" i="1"/>
  <c r="AC43" i="1"/>
  <c r="AB43" i="1"/>
  <c r="Z43" i="1"/>
  <c r="L43" i="1"/>
  <c r="BF43" i="1" s="1"/>
  <c r="J43" i="1"/>
  <c r="I43" i="1"/>
  <c r="H43" i="1"/>
  <c r="BJ42" i="1"/>
  <c r="BD42" i="1"/>
  <c r="AX42" i="1"/>
  <c r="AP42" i="1"/>
  <c r="BI42" i="1" s="1"/>
  <c r="AE42" i="1" s="1"/>
  <c r="AO42" i="1"/>
  <c r="BH42" i="1" s="1"/>
  <c r="AD42" i="1" s="1"/>
  <c r="AL42" i="1"/>
  <c r="AJ42" i="1"/>
  <c r="AH42" i="1"/>
  <c r="AG42" i="1"/>
  <c r="AF42" i="1"/>
  <c r="AC42" i="1"/>
  <c r="AB42" i="1"/>
  <c r="Z42" i="1"/>
  <c r="L42" i="1"/>
  <c r="BF42" i="1" s="1"/>
  <c r="J42" i="1"/>
  <c r="AK42" i="1" s="1"/>
  <c r="I42" i="1"/>
  <c r="BJ41" i="1"/>
  <c r="BD41" i="1"/>
  <c r="AP41" i="1"/>
  <c r="BI41" i="1" s="1"/>
  <c r="AE41" i="1" s="1"/>
  <c r="AO41" i="1"/>
  <c r="BH41" i="1" s="1"/>
  <c r="AD41" i="1" s="1"/>
  <c r="AL41" i="1"/>
  <c r="AK41" i="1"/>
  <c r="AJ41" i="1"/>
  <c r="AH41" i="1"/>
  <c r="AG41" i="1"/>
  <c r="AF41" i="1"/>
  <c r="AC41" i="1"/>
  <c r="AB41" i="1"/>
  <c r="Z41" i="1"/>
  <c r="L41" i="1"/>
  <c r="BF41" i="1" s="1"/>
  <c r="J41" i="1"/>
  <c r="I41" i="1"/>
  <c r="H41" i="1"/>
  <c r="BJ40" i="1"/>
  <c r="BD40" i="1"/>
  <c r="AX40" i="1"/>
  <c r="AP40" i="1"/>
  <c r="BI40" i="1" s="1"/>
  <c r="AE40" i="1" s="1"/>
  <c r="AO40" i="1"/>
  <c r="BH40" i="1" s="1"/>
  <c r="AD40" i="1" s="1"/>
  <c r="AL40" i="1"/>
  <c r="AJ40" i="1"/>
  <c r="AH40" i="1"/>
  <c r="AG40" i="1"/>
  <c r="AF40" i="1"/>
  <c r="AC40" i="1"/>
  <c r="AB40" i="1"/>
  <c r="Z40" i="1"/>
  <c r="L40" i="1"/>
  <c r="BF40" i="1" s="1"/>
  <c r="J40" i="1"/>
  <c r="AK40" i="1" s="1"/>
  <c r="I40" i="1"/>
  <c r="BJ39" i="1"/>
  <c r="BD39" i="1"/>
  <c r="AP39" i="1"/>
  <c r="BI39" i="1" s="1"/>
  <c r="AE39" i="1" s="1"/>
  <c r="AO39" i="1"/>
  <c r="BH39" i="1" s="1"/>
  <c r="AD39" i="1" s="1"/>
  <c r="AL39" i="1"/>
  <c r="AK39" i="1"/>
  <c r="AJ39" i="1"/>
  <c r="AH39" i="1"/>
  <c r="AG39" i="1"/>
  <c r="AF39" i="1"/>
  <c r="AC39" i="1"/>
  <c r="AB39" i="1"/>
  <c r="Z39" i="1"/>
  <c r="L39" i="1"/>
  <c r="BF39" i="1" s="1"/>
  <c r="J39" i="1"/>
  <c r="I39" i="1"/>
  <c r="H39" i="1"/>
  <c r="BJ38" i="1"/>
  <c r="BD38" i="1"/>
  <c r="AX38" i="1"/>
  <c r="AP38" i="1"/>
  <c r="BI38" i="1" s="1"/>
  <c r="AE38" i="1" s="1"/>
  <c r="AO38" i="1"/>
  <c r="BH38" i="1" s="1"/>
  <c r="AD38" i="1" s="1"/>
  <c r="AL38" i="1"/>
  <c r="AJ38" i="1"/>
  <c r="AH38" i="1"/>
  <c r="AG38" i="1"/>
  <c r="AF38" i="1"/>
  <c r="AC38" i="1"/>
  <c r="AB38" i="1"/>
  <c r="Z38" i="1"/>
  <c r="L38" i="1"/>
  <c r="BF38" i="1" s="1"/>
  <c r="J38" i="1"/>
  <c r="AK38" i="1" s="1"/>
  <c r="I38" i="1"/>
  <c r="BJ37" i="1"/>
  <c r="BD37" i="1"/>
  <c r="AP37" i="1"/>
  <c r="BI37" i="1" s="1"/>
  <c r="AE37" i="1" s="1"/>
  <c r="AO37" i="1"/>
  <c r="BH37" i="1" s="1"/>
  <c r="AD37" i="1" s="1"/>
  <c r="AL37" i="1"/>
  <c r="AK37" i="1"/>
  <c r="AJ37" i="1"/>
  <c r="AH37" i="1"/>
  <c r="AG37" i="1"/>
  <c r="AF37" i="1"/>
  <c r="AC37" i="1"/>
  <c r="AB37" i="1"/>
  <c r="Z37" i="1"/>
  <c r="L37" i="1"/>
  <c r="BF37" i="1" s="1"/>
  <c r="J37" i="1"/>
  <c r="I37" i="1"/>
  <c r="H37" i="1"/>
  <c r="BJ36" i="1"/>
  <c r="BD36" i="1"/>
  <c r="AX36" i="1"/>
  <c r="AP36" i="1"/>
  <c r="BI36" i="1" s="1"/>
  <c r="AE36" i="1" s="1"/>
  <c r="AO36" i="1"/>
  <c r="BH36" i="1" s="1"/>
  <c r="AD36" i="1" s="1"/>
  <c r="AL36" i="1"/>
  <c r="AJ36" i="1"/>
  <c r="AH36" i="1"/>
  <c r="AG36" i="1"/>
  <c r="AF36" i="1"/>
  <c r="AC36" i="1"/>
  <c r="AB36" i="1"/>
  <c r="Z36" i="1"/>
  <c r="L36" i="1"/>
  <c r="BF36" i="1" s="1"/>
  <c r="J36" i="1"/>
  <c r="AK36" i="1" s="1"/>
  <c r="I36" i="1"/>
  <c r="BJ35" i="1"/>
  <c r="BD35" i="1"/>
  <c r="AP35" i="1"/>
  <c r="BI35" i="1" s="1"/>
  <c r="AE35" i="1" s="1"/>
  <c r="AO35" i="1"/>
  <c r="BH35" i="1" s="1"/>
  <c r="AD35" i="1" s="1"/>
  <c r="AL35" i="1"/>
  <c r="AK35" i="1"/>
  <c r="AJ35" i="1"/>
  <c r="AH35" i="1"/>
  <c r="AG35" i="1"/>
  <c r="AF35" i="1"/>
  <c r="AC35" i="1"/>
  <c r="AB35" i="1"/>
  <c r="Z35" i="1"/>
  <c r="L35" i="1"/>
  <c r="BF35" i="1" s="1"/>
  <c r="J35" i="1"/>
  <c r="I35" i="1"/>
  <c r="H35" i="1"/>
  <c r="BJ34" i="1"/>
  <c r="BD34" i="1"/>
  <c r="AX34" i="1"/>
  <c r="AP34" i="1"/>
  <c r="BI34" i="1" s="1"/>
  <c r="AE34" i="1" s="1"/>
  <c r="AO34" i="1"/>
  <c r="BH34" i="1" s="1"/>
  <c r="AD34" i="1" s="1"/>
  <c r="AL34" i="1"/>
  <c r="AJ34" i="1"/>
  <c r="AH34" i="1"/>
  <c r="AG34" i="1"/>
  <c r="AF34" i="1"/>
  <c r="AC34" i="1"/>
  <c r="AB34" i="1"/>
  <c r="Z34" i="1"/>
  <c r="L34" i="1"/>
  <c r="BF34" i="1" s="1"/>
  <c r="J34" i="1"/>
  <c r="AK34" i="1" s="1"/>
  <c r="I34" i="1"/>
  <c r="BJ33" i="1"/>
  <c r="BD33" i="1"/>
  <c r="AP33" i="1"/>
  <c r="BI33" i="1" s="1"/>
  <c r="AE33" i="1" s="1"/>
  <c r="AO33" i="1"/>
  <c r="BH33" i="1" s="1"/>
  <c r="AD33" i="1" s="1"/>
  <c r="AL33" i="1"/>
  <c r="AK33" i="1"/>
  <c r="AJ33" i="1"/>
  <c r="AH33" i="1"/>
  <c r="AG33" i="1"/>
  <c r="AF33" i="1"/>
  <c r="AC33" i="1"/>
  <c r="AB33" i="1"/>
  <c r="Z33" i="1"/>
  <c r="L33" i="1"/>
  <c r="BF33" i="1" s="1"/>
  <c r="J33" i="1"/>
  <c r="I33" i="1"/>
  <c r="H33" i="1"/>
  <c r="BJ32" i="1"/>
  <c r="BD32" i="1"/>
  <c r="AX32" i="1"/>
  <c r="AP32" i="1"/>
  <c r="BI32" i="1" s="1"/>
  <c r="AE32" i="1" s="1"/>
  <c r="AO32" i="1"/>
  <c r="BH32" i="1" s="1"/>
  <c r="AD32" i="1" s="1"/>
  <c r="AL32" i="1"/>
  <c r="AJ32" i="1"/>
  <c r="AH32" i="1"/>
  <c r="AG32" i="1"/>
  <c r="AF32" i="1"/>
  <c r="AC32" i="1"/>
  <c r="AB32" i="1"/>
  <c r="Z32" i="1"/>
  <c r="L32" i="1"/>
  <c r="BF32" i="1" s="1"/>
  <c r="J32" i="1"/>
  <c r="AK32" i="1" s="1"/>
  <c r="I32" i="1"/>
  <c r="BJ31" i="1"/>
  <c r="BD31" i="1"/>
  <c r="AP31" i="1"/>
  <c r="BI31" i="1" s="1"/>
  <c r="AE31" i="1" s="1"/>
  <c r="AO31" i="1"/>
  <c r="BH31" i="1" s="1"/>
  <c r="AD31" i="1" s="1"/>
  <c r="AL31" i="1"/>
  <c r="AK31" i="1"/>
  <c r="AJ31" i="1"/>
  <c r="AH31" i="1"/>
  <c r="AG31" i="1"/>
  <c r="AF31" i="1"/>
  <c r="AC31" i="1"/>
  <c r="AB31" i="1"/>
  <c r="Z31" i="1"/>
  <c r="L31" i="1"/>
  <c r="BF31" i="1" s="1"/>
  <c r="J31" i="1"/>
  <c r="I31" i="1"/>
  <c r="H31" i="1"/>
  <c r="BJ30" i="1"/>
  <c r="BD30" i="1"/>
  <c r="AX30" i="1"/>
  <c r="AP30" i="1"/>
  <c r="BI30" i="1" s="1"/>
  <c r="AE30" i="1" s="1"/>
  <c r="AO30" i="1"/>
  <c r="BH30" i="1" s="1"/>
  <c r="AD30" i="1" s="1"/>
  <c r="AL30" i="1"/>
  <c r="AJ30" i="1"/>
  <c r="AH30" i="1"/>
  <c r="AG30" i="1"/>
  <c r="AF30" i="1"/>
  <c r="AC30" i="1"/>
  <c r="AB30" i="1"/>
  <c r="Z30" i="1"/>
  <c r="L30" i="1"/>
  <c r="BF30" i="1" s="1"/>
  <c r="J30" i="1"/>
  <c r="AK30" i="1" s="1"/>
  <c r="I30" i="1"/>
  <c r="BJ29" i="1"/>
  <c r="BD29" i="1"/>
  <c r="AP29" i="1"/>
  <c r="BI29" i="1" s="1"/>
  <c r="AE29" i="1" s="1"/>
  <c r="AO29" i="1"/>
  <c r="BH29" i="1" s="1"/>
  <c r="AD29" i="1" s="1"/>
  <c r="AL29" i="1"/>
  <c r="AK29" i="1"/>
  <c r="AJ29" i="1"/>
  <c r="AH29" i="1"/>
  <c r="AG29" i="1"/>
  <c r="AF29" i="1"/>
  <c r="AC29" i="1"/>
  <c r="AB29" i="1"/>
  <c r="Z29" i="1"/>
  <c r="L29" i="1"/>
  <c r="BF29" i="1" s="1"/>
  <c r="J29" i="1"/>
  <c r="I29" i="1"/>
  <c r="H29" i="1"/>
  <c r="BJ28" i="1"/>
  <c r="BD28" i="1"/>
  <c r="AX28" i="1"/>
  <c r="AP28" i="1"/>
  <c r="BI28" i="1" s="1"/>
  <c r="AE28" i="1" s="1"/>
  <c r="AO28" i="1"/>
  <c r="BH28" i="1" s="1"/>
  <c r="AD28" i="1" s="1"/>
  <c r="AL28" i="1"/>
  <c r="AJ28" i="1"/>
  <c r="AH28" i="1"/>
  <c r="AG28" i="1"/>
  <c r="AF28" i="1"/>
  <c r="AC28" i="1"/>
  <c r="AB28" i="1"/>
  <c r="Z28" i="1"/>
  <c r="L28" i="1"/>
  <c r="BF28" i="1" s="1"/>
  <c r="J28" i="1"/>
  <c r="AK28" i="1" s="1"/>
  <c r="I28" i="1"/>
  <c r="BJ27" i="1"/>
  <c r="BD27" i="1"/>
  <c r="AP27" i="1"/>
  <c r="BI27" i="1" s="1"/>
  <c r="AE27" i="1" s="1"/>
  <c r="AO27" i="1"/>
  <c r="BH27" i="1" s="1"/>
  <c r="AD27" i="1" s="1"/>
  <c r="AL27" i="1"/>
  <c r="AK27" i="1"/>
  <c r="AJ27" i="1"/>
  <c r="AH27" i="1"/>
  <c r="AG27" i="1"/>
  <c r="AF27" i="1"/>
  <c r="AC27" i="1"/>
  <c r="AB27" i="1"/>
  <c r="Z27" i="1"/>
  <c r="L27" i="1"/>
  <c r="BF27" i="1" s="1"/>
  <c r="J27" i="1"/>
  <c r="I27" i="1"/>
  <c r="H27" i="1"/>
  <c r="BJ26" i="1"/>
  <c r="BD26" i="1"/>
  <c r="AX26" i="1"/>
  <c r="AP26" i="1"/>
  <c r="BI26" i="1" s="1"/>
  <c r="AE26" i="1" s="1"/>
  <c r="AO26" i="1"/>
  <c r="BH26" i="1" s="1"/>
  <c r="AD26" i="1" s="1"/>
  <c r="AL26" i="1"/>
  <c r="AJ26" i="1"/>
  <c r="AH26" i="1"/>
  <c r="AG26" i="1"/>
  <c r="AF26" i="1"/>
  <c r="AC26" i="1"/>
  <c r="AB26" i="1"/>
  <c r="Z26" i="1"/>
  <c r="L26" i="1"/>
  <c r="BF26" i="1" s="1"/>
  <c r="J26" i="1"/>
  <c r="AK26" i="1" s="1"/>
  <c r="I26" i="1"/>
  <c r="BJ25" i="1"/>
  <c r="BD25" i="1"/>
  <c r="AP25" i="1"/>
  <c r="BI25" i="1" s="1"/>
  <c r="AE25" i="1" s="1"/>
  <c r="AO25" i="1"/>
  <c r="BH25" i="1" s="1"/>
  <c r="AD25" i="1" s="1"/>
  <c r="AL25" i="1"/>
  <c r="AK25" i="1"/>
  <c r="AJ25" i="1"/>
  <c r="AH25" i="1"/>
  <c r="AG25" i="1"/>
  <c r="AF25" i="1"/>
  <c r="AC25" i="1"/>
  <c r="AB25" i="1"/>
  <c r="Z25" i="1"/>
  <c r="L25" i="1"/>
  <c r="BF25" i="1" s="1"/>
  <c r="J25" i="1"/>
  <c r="I25" i="1"/>
  <c r="H25" i="1"/>
  <c r="BJ24" i="1"/>
  <c r="BD24" i="1"/>
  <c r="AX24" i="1"/>
  <c r="AP24" i="1"/>
  <c r="BI24" i="1" s="1"/>
  <c r="AE24" i="1" s="1"/>
  <c r="AO24" i="1"/>
  <c r="BH24" i="1" s="1"/>
  <c r="AD24" i="1" s="1"/>
  <c r="AL24" i="1"/>
  <c r="AJ24" i="1"/>
  <c r="AH24" i="1"/>
  <c r="AG24" i="1"/>
  <c r="AF24" i="1"/>
  <c r="AC24" i="1"/>
  <c r="AB24" i="1"/>
  <c r="Z24" i="1"/>
  <c r="L24" i="1"/>
  <c r="BF24" i="1" s="1"/>
  <c r="J24" i="1"/>
  <c r="AK24" i="1" s="1"/>
  <c r="I24" i="1"/>
  <c r="BJ23" i="1"/>
  <c r="BD23" i="1"/>
  <c r="AP23" i="1"/>
  <c r="BI23" i="1" s="1"/>
  <c r="AE23" i="1" s="1"/>
  <c r="AO23" i="1"/>
  <c r="BH23" i="1" s="1"/>
  <c r="AD23" i="1" s="1"/>
  <c r="AL23" i="1"/>
  <c r="AK23" i="1"/>
  <c r="AJ23" i="1"/>
  <c r="AH23" i="1"/>
  <c r="AG23" i="1"/>
  <c r="AF23" i="1"/>
  <c r="AC23" i="1"/>
  <c r="AB23" i="1"/>
  <c r="Z23" i="1"/>
  <c r="L23" i="1"/>
  <c r="BF23" i="1" s="1"/>
  <c r="J23" i="1"/>
  <c r="I23" i="1"/>
  <c r="H23" i="1"/>
  <c r="BJ22" i="1"/>
  <c r="BD22" i="1"/>
  <c r="AX22" i="1"/>
  <c r="AP22" i="1"/>
  <c r="BI22" i="1" s="1"/>
  <c r="AE22" i="1" s="1"/>
  <c r="AO22" i="1"/>
  <c r="BH22" i="1" s="1"/>
  <c r="AD22" i="1" s="1"/>
  <c r="AL22" i="1"/>
  <c r="AJ22" i="1"/>
  <c r="AH22" i="1"/>
  <c r="AG22" i="1"/>
  <c r="AF22" i="1"/>
  <c r="AC22" i="1"/>
  <c r="AB22" i="1"/>
  <c r="Z22" i="1"/>
  <c r="L22" i="1"/>
  <c r="BF22" i="1" s="1"/>
  <c r="J22" i="1"/>
  <c r="AK22" i="1" s="1"/>
  <c r="I22" i="1"/>
  <c r="BJ21" i="1"/>
  <c r="BD21" i="1"/>
  <c r="AP21" i="1"/>
  <c r="BI21" i="1" s="1"/>
  <c r="AE21" i="1" s="1"/>
  <c r="AO21" i="1"/>
  <c r="BH21" i="1" s="1"/>
  <c r="AD21" i="1" s="1"/>
  <c r="AL21" i="1"/>
  <c r="AK21" i="1"/>
  <c r="AJ21" i="1"/>
  <c r="AH21" i="1"/>
  <c r="AG21" i="1"/>
  <c r="AF21" i="1"/>
  <c r="AC21" i="1"/>
  <c r="AB21" i="1"/>
  <c r="Z21" i="1"/>
  <c r="L21" i="1"/>
  <c r="BF21" i="1" s="1"/>
  <c r="J21" i="1"/>
  <c r="I21" i="1"/>
  <c r="H21" i="1"/>
  <c r="BJ20" i="1"/>
  <c r="BD20" i="1"/>
  <c r="AX20" i="1"/>
  <c r="AP20" i="1"/>
  <c r="BI20" i="1" s="1"/>
  <c r="AE20" i="1" s="1"/>
  <c r="AO20" i="1"/>
  <c r="AW20" i="1" s="1"/>
  <c r="AL20" i="1"/>
  <c r="AJ20" i="1"/>
  <c r="AH20" i="1"/>
  <c r="AG20" i="1"/>
  <c r="AF20" i="1"/>
  <c r="AC20" i="1"/>
  <c r="AB20" i="1"/>
  <c r="Z20" i="1"/>
  <c r="L20" i="1"/>
  <c r="BF20" i="1" s="1"/>
  <c r="J20" i="1"/>
  <c r="AK20" i="1" s="1"/>
  <c r="I20" i="1"/>
  <c r="BJ19" i="1"/>
  <c r="BD19" i="1"/>
  <c r="AP19" i="1"/>
  <c r="BI19" i="1" s="1"/>
  <c r="AE19" i="1" s="1"/>
  <c r="AO19" i="1"/>
  <c r="BH19" i="1" s="1"/>
  <c r="AD19" i="1" s="1"/>
  <c r="AL19" i="1"/>
  <c r="AK19" i="1"/>
  <c r="AJ19" i="1"/>
  <c r="AH19" i="1"/>
  <c r="AG19" i="1"/>
  <c r="AF19" i="1"/>
  <c r="AC19" i="1"/>
  <c r="AB19" i="1"/>
  <c r="Z19" i="1"/>
  <c r="L19" i="1"/>
  <c r="BF19" i="1" s="1"/>
  <c r="J19" i="1"/>
  <c r="I19" i="1"/>
  <c r="H19" i="1"/>
  <c r="BJ18" i="1"/>
  <c r="BD18" i="1"/>
  <c r="AX18" i="1"/>
  <c r="AP18" i="1"/>
  <c r="BI18" i="1" s="1"/>
  <c r="AE18" i="1" s="1"/>
  <c r="AO18" i="1"/>
  <c r="BH18" i="1" s="1"/>
  <c r="AD18" i="1" s="1"/>
  <c r="AL18" i="1"/>
  <c r="AJ18" i="1"/>
  <c r="AH18" i="1"/>
  <c r="AG18" i="1"/>
  <c r="AF18" i="1"/>
  <c r="AC18" i="1"/>
  <c r="AB18" i="1"/>
  <c r="Z18" i="1"/>
  <c r="L18" i="1"/>
  <c r="BF18" i="1" s="1"/>
  <c r="J18" i="1"/>
  <c r="AK18" i="1" s="1"/>
  <c r="I18" i="1"/>
  <c r="BJ17" i="1"/>
  <c r="BD17" i="1"/>
  <c r="AP17" i="1"/>
  <c r="BI17" i="1" s="1"/>
  <c r="AE17" i="1" s="1"/>
  <c r="AO17" i="1"/>
  <c r="BH17" i="1" s="1"/>
  <c r="AD17" i="1" s="1"/>
  <c r="AL17" i="1"/>
  <c r="AK17" i="1"/>
  <c r="AJ17" i="1"/>
  <c r="AH17" i="1"/>
  <c r="AG17" i="1"/>
  <c r="AF17" i="1"/>
  <c r="AC17" i="1"/>
  <c r="AB17" i="1"/>
  <c r="Z17" i="1"/>
  <c r="L17" i="1"/>
  <c r="BF17" i="1" s="1"/>
  <c r="J17" i="1"/>
  <c r="I17" i="1"/>
  <c r="H17" i="1"/>
  <c r="BJ16" i="1"/>
  <c r="BD16" i="1"/>
  <c r="AX16" i="1"/>
  <c r="AP16" i="1"/>
  <c r="BI16" i="1" s="1"/>
  <c r="AE16" i="1" s="1"/>
  <c r="AO16" i="1"/>
  <c r="AW16" i="1" s="1"/>
  <c r="AL16" i="1"/>
  <c r="AU14" i="1" s="1"/>
  <c r="AJ16" i="1"/>
  <c r="AH16" i="1"/>
  <c r="AG16" i="1"/>
  <c r="AF16" i="1"/>
  <c r="AC16" i="1"/>
  <c r="AB16" i="1"/>
  <c r="Z16" i="1"/>
  <c r="L16" i="1"/>
  <c r="BF16" i="1" s="1"/>
  <c r="J16" i="1"/>
  <c r="AK16" i="1" s="1"/>
  <c r="I16" i="1"/>
  <c r="BJ15" i="1"/>
  <c r="BD15" i="1"/>
  <c r="AP15" i="1"/>
  <c r="BI15" i="1" s="1"/>
  <c r="AE15" i="1" s="1"/>
  <c r="AO15" i="1"/>
  <c r="BH15" i="1" s="1"/>
  <c r="AD15" i="1" s="1"/>
  <c r="AL15" i="1"/>
  <c r="AK15" i="1"/>
  <c r="AJ15" i="1"/>
  <c r="AH15" i="1"/>
  <c r="AG15" i="1"/>
  <c r="AF15" i="1"/>
  <c r="AC15" i="1"/>
  <c r="AB15" i="1"/>
  <c r="Z15" i="1"/>
  <c r="L15" i="1"/>
  <c r="BF15" i="1" s="1"/>
  <c r="J15" i="1"/>
  <c r="I15" i="1"/>
  <c r="I14" i="1" s="1"/>
  <c r="H15" i="1"/>
  <c r="AS14" i="1"/>
  <c r="BJ13" i="1"/>
  <c r="BF13" i="1"/>
  <c r="BD13" i="1"/>
  <c r="AW13" i="1"/>
  <c r="AP13" i="1"/>
  <c r="BI13" i="1" s="1"/>
  <c r="AC13" i="1" s="1"/>
  <c r="AO13" i="1"/>
  <c r="BH13" i="1" s="1"/>
  <c r="AB13" i="1" s="1"/>
  <c r="AL13" i="1"/>
  <c r="C29" i="3" s="1"/>
  <c r="F29" i="3" s="1"/>
  <c r="AJ13" i="1"/>
  <c r="AH13" i="1"/>
  <c r="AG13" i="1"/>
  <c r="C19" i="3" s="1"/>
  <c r="AF13" i="1"/>
  <c r="AE13" i="1"/>
  <c r="AD13" i="1"/>
  <c r="Z13" i="1"/>
  <c r="C21" i="3" s="1"/>
  <c r="L13" i="1"/>
  <c r="J13" i="1"/>
  <c r="AK13" i="1" s="1"/>
  <c r="AT12" i="1" s="1"/>
  <c r="I13" i="1"/>
  <c r="H13" i="1"/>
  <c r="H12" i="1" s="1"/>
  <c r="AS12" i="1"/>
  <c r="L12" i="1"/>
  <c r="I12" i="1"/>
  <c r="AU1" i="1"/>
  <c r="AT1" i="1"/>
  <c r="AS1" i="1"/>
  <c r="AV20" i="1" l="1"/>
  <c r="BC20" i="1"/>
  <c r="AV48" i="1"/>
  <c r="AT14" i="1"/>
  <c r="AV16" i="1"/>
  <c r="BC16" i="1"/>
  <c r="AT44" i="1"/>
  <c r="BC56" i="1"/>
  <c r="BH16" i="1"/>
  <c r="AD16" i="1" s="1"/>
  <c r="BH20" i="1"/>
  <c r="AD20" i="1" s="1"/>
  <c r="J12" i="1"/>
  <c r="AU12" i="1"/>
  <c r="C20" i="3"/>
  <c r="AX13" i="1"/>
  <c r="AV13" i="1" s="1"/>
  <c r="AW15" i="1"/>
  <c r="H16" i="1"/>
  <c r="AW17" i="1"/>
  <c r="H18" i="1"/>
  <c r="AW19" i="1"/>
  <c r="H20" i="1"/>
  <c r="AW21" i="1"/>
  <c r="H22" i="1"/>
  <c r="AW23" i="1"/>
  <c r="H24" i="1"/>
  <c r="AW25" i="1"/>
  <c r="H26" i="1"/>
  <c r="AW27" i="1"/>
  <c r="H28" i="1"/>
  <c r="AW29" i="1"/>
  <c r="H30" i="1"/>
  <c r="AW31" i="1"/>
  <c r="H32" i="1"/>
  <c r="AW33" i="1"/>
  <c r="H34" i="1"/>
  <c r="AW35" i="1"/>
  <c r="H36" i="1"/>
  <c r="AW37" i="1"/>
  <c r="H38" i="1"/>
  <c r="AW39" i="1"/>
  <c r="H40" i="1"/>
  <c r="AW41" i="1"/>
  <c r="H42" i="1"/>
  <c r="AW43" i="1"/>
  <c r="I45" i="1"/>
  <c r="AX46" i="1"/>
  <c r="AV46" i="1" s="1"/>
  <c r="I47" i="1"/>
  <c r="AX48" i="1"/>
  <c r="I49" i="1"/>
  <c r="AX50" i="1"/>
  <c r="AV50" i="1" s="1"/>
  <c r="I51" i="1"/>
  <c r="AX52" i="1"/>
  <c r="AV52" i="1" s="1"/>
  <c r="I53" i="1"/>
  <c r="AX54" i="1"/>
  <c r="AV54" i="1" s="1"/>
  <c r="AW55" i="1"/>
  <c r="AX56" i="1"/>
  <c r="AV56" i="1" s="1"/>
  <c r="AV57" i="1"/>
  <c r="AV58" i="1"/>
  <c r="H60" i="1"/>
  <c r="H44" i="1" s="1"/>
  <c r="AX60" i="1"/>
  <c r="BC60" i="1" s="1"/>
  <c r="BI60" i="1"/>
  <c r="AE60" i="1" s="1"/>
  <c r="AV63" i="1"/>
  <c r="BC63" i="1"/>
  <c r="AT84" i="1"/>
  <c r="C27" i="3"/>
  <c r="BC13" i="1"/>
  <c r="J14" i="1"/>
  <c r="AX15" i="1"/>
  <c r="AX17" i="1"/>
  <c r="AX19" i="1"/>
  <c r="AX21" i="1"/>
  <c r="AX23" i="1"/>
  <c r="AX25" i="1"/>
  <c r="AX27" i="1"/>
  <c r="AX29" i="1"/>
  <c r="AX31" i="1"/>
  <c r="AX33" i="1"/>
  <c r="AX35" i="1"/>
  <c r="AX37" i="1"/>
  <c r="AX39" i="1"/>
  <c r="AX41" i="1"/>
  <c r="AX43" i="1"/>
  <c r="AW45" i="1"/>
  <c r="BC46" i="1"/>
  <c r="AW47" i="1"/>
  <c r="BC48" i="1"/>
  <c r="AW49" i="1"/>
  <c r="BC50" i="1"/>
  <c r="AW51" i="1"/>
  <c r="BC52" i="1"/>
  <c r="AW53" i="1"/>
  <c r="BC54" i="1"/>
  <c r="AV65" i="1"/>
  <c r="BC65" i="1"/>
  <c r="C18" i="3"/>
  <c r="L14" i="1"/>
  <c r="AW18" i="1"/>
  <c r="AW22" i="1"/>
  <c r="AW24" i="1"/>
  <c r="AW26" i="1"/>
  <c r="AW28" i="1"/>
  <c r="AW30" i="1"/>
  <c r="AW32" i="1"/>
  <c r="AW34" i="1"/>
  <c r="AW36" i="1"/>
  <c r="AW38" i="1"/>
  <c r="AW40" i="1"/>
  <c r="AW42" i="1"/>
  <c r="J44" i="1"/>
  <c r="AX45" i="1"/>
  <c r="AX47" i="1"/>
  <c r="AX49" i="1"/>
  <c r="AX51" i="1"/>
  <c r="AX53" i="1"/>
  <c r="AV59" i="1"/>
  <c r="AV60" i="1"/>
  <c r="AX62" i="1"/>
  <c r="I62" i="1"/>
  <c r="I84" i="1"/>
  <c r="AV61" i="1"/>
  <c r="BC61" i="1"/>
  <c r="AX64" i="1"/>
  <c r="I64" i="1"/>
  <c r="BH57" i="1"/>
  <c r="AD57" i="1" s="1"/>
  <c r="C16" i="3" s="1"/>
  <c r="BH59" i="1"/>
  <c r="AD59" i="1" s="1"/>
  <c r="BH61" i="1"/>
  <c r="AD61" i="1" s="1"/>
  <c r="BH63" i="1"/>
  <c r="AD63" i="1" s="1"/>
  <c r="BH65" i="1"/>
  <c r="AD65" i="1" s="1"/>
  <c r="I66" i="1"/>
  <c r="BH67" i="1"/>
  <c r="AD67" i="1" s="1"/>
  <c r="I68" i="1"/>
  <c r="BH69" i="1"/>
  <c r="AD69" i="1" s="1"/>
  <c r="I70" i="1"/>
  <c r="BH71" i="1"/>
  <c r="AD71" i="1" s="1"/>
  <c r="I72" i="1"/>
  <c r="BH73" i="1"/>
  <c r="AD73" i="1" s="1"/>
  <c r="I74" i="1"/>
  <c r="BH75" i="1"/>
  <c r="AD75" i="1" s="1"/>
  <c r="I76" i="1"/>
  <c r="BH77" i="1"/>
  <c r="AD77" i="1" s="1"/>
  <c r="I78" i="1"/>
  <c r="BH79" i="1"/>
  <c r="AD79" i="1" s="1"/>
  <c r="I80" i="1"/>
  <c r="BH81" i="1"/>
  <c r="AD81" i="1" s="1"/>
  <c r="I82" i="1"/>
  <c r="BH83" i="1"/>
  <c r="AD83" i="1" s="1"/>
  <c r="H86" i="1"/>
  <c r="H84" i="1" s="1"/>
  <c r="BI86" i="1"/>
  <c r="AE86" i="1" s="1"/>
  <c r="C17" i="3" s="1"/>
  <c r="AX88" i="1"/>
  <c r="AV88" i="1" s="1"/>
  <c r="H90" i="1"/>
  <c r="AX92" i="1"/>
  <c r="AV92" i="1" s="1"/>
  <c r="L93" i="1"/>
  <c r="BC95" i="1"/>
  <c r="AW96" i="1"/>
  <c r="AV97" i="1"/>
  <c r="AX98" i="1"/>
  <c r="BC98" i="1" s="1"/>
  <c r="I98" i="1"/>
  <c r="AV99" i="1"/>
  <c r="BH105" i="1"/>
  <c r="AD105" i="1" s="1"/>
  <c r="H105" i="1"/>
  <c r="AW105" i="1"/>
  <c r="AX124" i="1"/>
  <c r="I124" i="1"/>
  <c r="I123" i="1" s="1"/>
  <c r="AV153" i="1"/>
  <c r="BC153" i="1"/>
  <c r="AW62" i="1"/>
  <c r="AW64" i="1"/>
  <c r="AW66" i="1"/>
  <c r="BC67" i="1"/>
  <c r="AW68" i="1"/>
  <c r="BC69" i="1"/>
  <c r="AW70" i="1"/>
  <c r="BC71" i="1"/>
  <c r="AW72" i="1"/>
  <c r="BC73" i="1"/>
  <c r="AW74" i="1"/>
  <c r="BC75" i="1"/>
  <c r="AW76" i="1"/>
  <c r="BC77" i="1"/>
  <c r="AW78" i="1"/>
  <c r="BC79" i="1"/>
  <c r="AW80" i="1"/>
  <c r="BC81" i="1"/>
  <c r="AW82" i="1"/>
  <c r="BC83" i="1"/>
  <c r="AX85" i="1"/>
  <c r="AX87" i="1"/>
  <c r="AV87" i="1" s="1"/>
  <c r="AV90" i="1"/>
  <c r="BH90" i="1"/>
  <c r="AD90" i="1" s="1"/>
  <c r="H96" i="1"/>
  <c r="AX96" i="1"/>
  <c r="I97" i="1"/>
  <c r="I93" i="1" s="1"/>
  <c r="BI97" i="1"/>
  <c r="AE97" i="1" s="1"/>
  <c r="AV98" i="1"/>
  <c r="BI98" i="1"/>
  <c r="AE98" i="1" s="1"/>
  <c r="AX100" i="1"/>
  <c r="BC100" i="1" s="1"/>
  <c r="I100" i="1"/>
  <c r="AW109" i="1"/>
  <c r="H109" i="1"/>
  <c r="BH109" i="1"/>
  <c r="AD109" i="1" s="1"/>
  <c r="I115" i="1"/>
  <c r="BI115" i="1"/>
  <c r="AE115" i="1" s="1"/>
  <c r="AX115" i="1"/>
  <c r="BC115" i="1" s="1"/>
  <c r="BC121" i="1"/>
  <c r="AX66" i="1"/>
  <c r="AX68" i="1"/>
  <c r="AX70" i="1"/>
  <c r="AX72" i="1"/>
  <c r="AX74" i="1"/>
  <c r="AX76" i="1"/>
  <c r="AX78" i="1"/>
  <c r="AX80" i="1"/>
  <c r="AX82" i="1"/>
  <c r="L84" i="1"/>
  <c r="AW86" i="1"/>
  <c r="AW89" i="1"/>
  <c r="BH89" i="1"/>
  <c r="AD89" i="1" s="1"/>
  <c r="AS93" i="1"/>
  <c r="AV94" i="1"/>
  <c r="BI96" i="1"/>
  <c r="AE96" i="1" s="1"/>
  <c r="AV100" i="1"/>
  <c r="AX102" i="1"/>
  <c r="BC102" i="1" s="1"/>
  <c r="I102" i="1"/>
  <c r="BC103" i="1"/>
  <c r="BF125" i="1"/>
  <c r="L123" i="1"/>
  <c r="AV125" i="1"/>
  <c r="BC125" i="1"/>
  <c r="AK146" i="1"/>
  <c r="AT145" i="1" s="1"/>
  <c r="J145" i="1"/>
  <c r="AV102" i="1"/>
  <c r="AW117" i="1"/>
  <c r="H117" i="1"/>
  <c r="BH117" i="1"/>
  <c r="AD117" i="1" s="1"/>
  <c r="AW158" i="1"/>
  <c r="H158" i="1"/>
  <c r="H156" i="1" s="1"/>
  <c r="BH158" i="1"/>
  <c r="AX99" i="1"/>
  <c r="BC99" i="1" s="1"/>
  <c r="AX101" i="1"/>
  <c r="AV101" i="1" s="1"/>
  <c r="AX103" i="1"/>
  <c r="AV103" i="1" s="1"/>
  <c r="I104" i="1"/>
  <c r="BI104" i="1"/>
  <c r="AE104" i="1" s="1"/>
  <c r="H107" i="1"/>
  <c r="AX107" i="1"/>
  <c r="AV107" i="1" s="1"/>
  <c r="I108" i="1"/>
  <c r="BI108" i="1"/>
  <c r="AE108" i="1" s="1"/>
  <c r="AV111" i="1"/>
  <c r="BC112" i="1"/>
  <c r="H113" i="1"/>
  <c r="H93" i="1" s="1"/>
  <c r="AV119" i="1"/>
  <c r="H121" i="1"/>
  <c r="AU123" i="1"/>
  <c r="BI126" i="1"/>
  <c r="AC126" i="1" s="1"/>
  <c r="C15" i="3" s="1"/>
  <c r="AX126" i="1"/>
  <c r="AV126" i="1" s="1"/>
  <c r="AK132" i="1"/>
  <c r="AT131" i="1" s="1"/>
  <c r="J131" i="1"/>
  <c r="AV132" i="1"/>
  <c r="BC132" i="1"/>
  <c r="AU152" i="1"/>
  <c r="BI99" i="1"/>
  <c r="AE99" i="1" s="1"/>
  <c r="BI101" i="1"/>
  <c r="AE101" i="1" s="1"/>
  <c r="BI103" i="1"/>
  <c r="AE103" i="1" s="1"/>
  <c r="AV113" i="1"/>
  <c r="AV121" i="1"/>
  <c r="AV127" i="1"/>
  <c r="AW128" i="1"/>
  <c r="BH128" i="1"/>
  <c r="AB128" i="1" s="1"/>
  <c r="C14" i="3" s="1"/>
  <c r="C22" i="3" s="1"/>
  <c r="H128" i="1"/>
  <c r="H123" i="1" s="1"/>
  <c r="AX140" i="1"/>
  <c r="I140" i="1"/>
  <c r="I139" i="1" s="1"/>
  <c r="BI140" i="1"/>
  <c r="BF151" i="1"/>
  <c r="L149" i="1"/>
  <c r="AV115" i="1"/>
  <c r="AK125" i="1"/>
  <c r="AT123" i="1" s="1"/>
  <c r="J123" i="1"/>
  <c r="AV130" i="1"/>
  <c r="BC130" i="1"/>
  <c r="BH130" i="1"/>
  <c r="AB130" i="1" s="1"/>
  <c r="I133" i="1"/>
  <c r="AW135" i="1"/>
  <c r="H135" i="1"/>
  <c r="H133" i="1" s="1"/>
  <c r="BH135" i="1"/>
  <c r="AB135" i="1" s="1"/>
  <c r="AV155" i="1"/>
  <c r="BC155" i="1"/>
  <c r="AT156" i="1"/>
  <c r="AX110" i="1"/>
  <c r="BC110" i="1" s="1"/>
  <c r="AX112" i="1"/>
  <c r="AV112" i="1" s="1"/>
  <c r="AX114" i="1"/>
  <c r="AV114" i="1" s="1"/>
  <c r="AX116" i="1"/>
  <c r="AV116" i="1" s="1"/>
  <c r="AX118" i="1"/>
  <c r="BC118" i="1" s="1"/>
  <c r="AX120" i="1"/>
  <c r="AV120" i="1" s="1"/>
  <c r="AX122" i="1"/>
  <c r="AV122" i="1" s="1"/>
  <c r="AW124" i="1"/>
  <c r="AV129" i="1"/>
  <c r="L133" i="1"/>
  <c r="AW137" i="1"/>
  <c r="H137" i="1"/>
  <c r="BH137" i="1"/>
  <c r="AB137" i="1" s="1"/>
  <c r="AV146" i="1"/>
  <c r="BC146" i="1"/>
  <c r="AX147" i="1"/>
  <c r="I147" i="1"/>
  <c r="I145" i="1" s="1"/>
  <c r="AV148" i="1"/>
  <c r="BC148" i="1"/>
  <c r="AK153" i="1"/>
  <c r="AT152" i="1" s="1"/>
  <c r="J152" i="1"/>
  <c r="BF158" i="1"/>
  <c r="L156" i="1"/>
  <c r="F22" i="3"/>
  <c r="C28" i="3" s="1"/>
  <c r="F28" i="3" s="1"/>
  <c r="I27" i="4"/>
  <c r="F29" i="4" s="1"/>
  <c r="AT133" i="1"/>
  <c r="BF142" i="1"/>
  <c r="L141" i="1"/>
  <c r="AW142" i="1"/>
  <c r="H142" i="1"/>
  <c r="H141" i="1" s="1"/>
  <c r="BH142" i="1"/>
  <c r="AW144" i="1"/>
  <c r="H144" i="1"/>
  <c r="BH144" i="1"/>
  <c r="AW151" i="1"/>
  <c r="H151" i="1"/>
  <c r="H149" i="1" s="1"/>
  <c r="BH151" i="1"/>
  <c r="AX154" i="1"/>
  <c r="I154" i="1"/>
  <c r="I152" i="1" s="1"/>
  <c r="I22" i="3"/>
  <c r="BI130" i="1"/>
  <c r="AC130" i="1" s="1"/>
  <c r="BH132" i="1"/>
  <c r="AB132" i="1" s="1"/>
  <c r="BI135" i="1"/>
  <c r="AC135" i="1" s="1"/>
  <c r="BI137" i="1"/>
  <c r="AC137" i="1" s="1"/>
  <c r="BI142" i="1"/>
  <c r="BI144" i="1"/>
  <c r="BH146" i="1"/>
  <c r="BH148" i="1"/>
  <c r="BH129" i="1"/>
  <c r="AB129" i="1" s="1"/>
  <c r="BI132" i="1"/>
  <c r="AC132" i="1" s="1"/>
  <c r="BH134" i="1"/>
  <c r="AB134" i="1" s="1"/>
  <c r="BH136" i="1"/>
  <c r="AB136" i="1" s="1"/>
  <c r="BH138" i="1"/>
  <c r="AB138" i="1" s="1"/>
  <c r="BH143" i="1"/>
  <c r="AW147" i="1"/>
  <c r="AX150" i="1"/>
  <c r="AV150" i="1" s="1"/>
  <c r="AW154" i="1"/>
  <c r="AX157" i="1"/>
  <c r="AV157" i="1" s="1"/>
  <c r="AV109" i="1" l="1"/>
  <c r="BC109" i="1"/>
  <c r="BC70" i="1"/>
  <c r="AV70" i="1"/>
  <c r="AV36" i="1"/>
  <c r="BC36" i="1"/>
  <c r="AV28" i="1"/>
  <c r="BC28" i="1"/>
  <c r="AV18" i="1"/>
  <c r="BC18" i="1"/>
  <c r="BC55" i="1"/>
  <c r="AV55" i="1"/>
  <c r="J159" i="1"/>
  <c r="AV140" i="1"/>
  <c r="BC140" i="1"/>
  <c r="AV110" i="1"/>
  <c r="BC74" i="1"/>
  <c r="AV74" i="1"/>
  <c r="AV118" i="1"/>
  <c r="AV96" i="1"/>
  <c r="BC96" i="1"/>
  <c r="AV151" i="1"/>
  <c r="BC151" i="1"/>
  <c r="BC150" i="1"/>
  <c r="BC124" i="1"/>
  <c r="AV124" i="1"/>
  <c r="BC116" i="1"/>
  <c r="BC122" i="1"/>
  <c r="BC89" i="1"/>
  <c r="AV89" i="1"/>
  <c r="BC101" i="1"/>
  <c r="AV64" i="1"/>
  <c r="BC64" i="1"/>
  <c r="BC126" i="1"/>
  <c r="BC92" i="1"/>
  <c r="AV42" i="1"/>
  <c r="BC42" i="1"/>
  <c r="AV34" i="1"/>
  <c r="BC34" i="1"/>
  <c r="AV26" i="1"/>
  <c r="BC26" i="1"/>
  <c r="BC51" i="1"/>
  <c r="AV51" i="1"/>
  <c r="BC47" i="1"/>
  <c r="AV47" i="1"/>
  <c r="I28" i="3"/>
  <c r="I29" i="3" s="1"/>
  <c r="AV41" i="1"/>
  <c r="BC41" i="1"/>
  <c r="AV37" i="1"/>
  <c r="BC37" i="1"/>
  <c r="AV33" i="1"/>
  <c r="BC33" i="1"/>
  <c r="AV29" i="1"/>
  <c r="BC29" i="1"/>
  <c r="AV25" i="1"/>
  <c r="BC25" i="1"/>
  <c r="BC21" i="1"/>
  <c r="AV21" i="1"/>
  <c r="AV17" i="1"/>
  <c r="BC17" i="1"/>
  <c r="BC82" i="1"/>
  <c r="AV82" i="1"/>
  <c r="BC66" i="1"/>
  <c r="AV66" i="1"/>
  <c r="AV147" i="1"/>
  <c r="BC147" i="1"/>
  <c r="AV137" i="1"/>
  <c r="BC137" i="1"/>
  <c r="AV135" i="1"/>
  <c r="BC135" i="1"/>
  <c r="BC120" i="1"/>
  <c r="AV158" i="1"/>
  <c r="BC158" i="1"/>
  <c r="AV117" i="1"/>
  <c r="BC117" i="1"/>
  <c r="BC107" i="1"/>
  <c r="AV86" i="1"/>
  <c r="BC86" i="1"/>
  <c r="AV85" i="1"/>
  <c r="BC85" i="1"/>
  <c r="BC80" i="1"/>
  <c r="AV80" i="1"/>
  <c r="BC76" i="1"/>
  <c r="AV76" i="1"/>
  <c r="BC72" i="1"/>
  <c r="AV72" i="1"/>
  <c r="BC68" i="1"/>
  <c r="AV68" i="1"/>
  <c r="AV62" i="1"/>
  <c r="BC62" i="1"/>
  <c r="BC87" i="1"/>
  <c r="AV40" i="1"/>
  <c r="BC40" i="1"/>
  <c r="AV32" i="1"/>
  <c r="BC32" i="1"/>
  <c r="AV24" i="1"/>
  <c r="BC24" i="1"/>
  <c r="I44" i="1"/>
  <c r="H14" i="1"/>
  <c r="AV144" i="1"/>
  <c r="BC144" i="1"/>
  <c r="BC78" i="1"/>
  <c r="AV78" i="1"/>
  <c r="AV105" i="1"/>
  <c r="BC105" i="1"/>
  <c r="AV154" i="1"/>
  <c r="BC154" i="1"/>
  <c r="AV142" i="1"/>
  <c r="BC142" i="1"/>
  <c r="AV128" i="1"/>
  <c r="BC128" i="1"/>
  <c r="BC114" i="1"/>
  <c r="BC157" i="1"/>
  <c r="AV38" i="1"/>
  <c r="BC38" i="1"/>
  <c r="AV30" i="1"/>
  <c r="BC30" i="1"/>
  <c r="AV22" i="1"/>
  <c r="BC22" i="1"/>
  <c r="BC88" i="1"/>
  <c r="BC53" i="1"/>
  <c r="AV53" i="1"/>
  <c r="BC49" i="1"/>
  <c r="AV49" i="1"/>
  <c r="BC45" i="1"/>
  <c r="AV45" i="1"/>
  <c r="AV43" i="1"/>
  <c r="BC43" i="1"/>
  <c r="AV39" i="1"/>
  <c r="BC39" i="1"/>
  <c r="AV35" i="1"/>
  <c r="BC35" i="1"/>
  <c r="AV31" i="1"/>
  <c r="BC31" i="1"/>
  <c r="AV27" i="1"/>
  <c r="BC27" i="1"/>
  <c r="AV23" i="1"/>
  <c r="BC23" i="1"/>
  <c r="AV19" i="1"/>
  <c r="BC19" i="1"/>
  <c r="AV15" i="1"/>
  <c r="BC15" i="1"/>
</calcChain>
</file>

<file path=xl/sharedStrings.xml><?xml version="1.0" encoding="utf-8"?>
<sst xmlns="http://schemas.openxmlformats.org/spreadsheetml/2006/main" count="2456" uniqueCount="557">
  <si>
    <t>Slepý stavební rozpočet</t>
  </si>
  <si>
    <t>Název stavby:</t>
  </si>
  <si>
    <t>Stavební úpravy bytového domu - část ZTI</t>
  </si>
  <si>
    <t>Doba výstavby:</t>
  </si>
  <si>
    <t>26 dní</t>
  </si>
  <si>
    <t>Objednatel:</t>
  </si>
  <si>
    <t>Město Bohumín, Masarykova158, 735 81 Bohumín</t>
  </si>
  <si>
    <t>Druh stavby:</t>
  </si>
  <si>
    <t>Budova pro bydlení</t>
  </si>
  <si>
    <t>Začátek výstavby:</t>
  </si>
  <si>
    <t>Projektant:</t>
  </si>
  <si>
    <t>Ing. Stanislav Wilczek</t>
  </si>
  <si>
    <t>Umístění:</t>
  </si>
  <si>
    <t>Partyzánská 302, Bohumín – Pudlov</t>
  </si>
  <si>
    <t>Konec výstavby:</t>
  </si>
  <si>
    <t>Zhotovitel:</t>
  </si>
  <si>
    <t> </t>
  </si>
  <si>
    <t>JKSO:</t>
  </si>
  <si>
    <t xml:space="preserve"> </t>
  </si>
  <si>
    <t>Zpracováno dne:</t>
  </si>
  <si>
    <t>16.02.2025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</si>
  <si>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</si>
  <si>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</si>
  <si>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</si>
  <si>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</si>
  <si>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</si>
  <si>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</si>
  <si>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</si>
  <si>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</si>
  <si>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Hmotnost (t)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</si>
  <si>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</si>
  <si>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</si>
  <si>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</si>
  <si>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</si>
  <si>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</si>
  <si>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</si>
  <si>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</si>
  <si>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</si>
  <si>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Celkem/MJ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</si>
  <si>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</si>
  <si>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</si>
  <si>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</si>
  <si>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</si>
  <si>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</si>
  <si>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</si>
  <si>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</si>
  <si>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</si>
  <si>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</si>
  <si>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</si>
  <si>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</si>
  <si>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</si>
  <si>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</si>
  <si>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61</t>
  </si>
  <si>
    <t>Úprava povrchů vnitřní</t>
  </si>
  <si>
    <t>1</t>
  </si>
  <si>
    <t>611401111R00</t>
  </si>
  <si>
    <t>Zapravení prostupů strop / podlaha dobetonováním</t>
  </si>
  <si>
    <t>kus</t>
  </si>
  <si>
    <t>61_</t>
  </si>
  <si>
    <t>6_</t>
  </si>
  <si>
    <t>_</t>
  </si>
  <si>
    <t>721</t>
  </si>
  <si>
    <t>Vnitřní kanalizace</t>
  </si>
  <si>
    <t>2</t>
  </si>
  <si>
    <t>721194109T00</t>
  </si>
  <si>
    <t>Osazení odbočky D 110/50 mm</t>
  </si>
  <si>
    <t>7</t>
  </si>
  <si>
    <t>721_</t>
  </si>
  <si>
    <t>72_</t>
  </si>
  <si>
    <t>3</t>
  </si>
  <si>
    <t>28615443.A</t>
  </si>
  <si>
    <t>T-kus odbočkový HT D110/50</t>
  </si>
  <si>
    <t>4</t>
  </si>
  <si>
    <t>721140802R00</t>
  </si>
  <si>
    <t>Demontáž potrubí litinového DN 100</t>
  </si>
  <si>
    <t>m</t>
  </si>
  <si>
    <t>5</t>
  </si>
  <si>
    <t>721171808R00</t>
  </si>
  <si>
    <t>Demontáž potrubí z PVC do D 114 mm</t>
  </si>
  <si>
    <t>6</t>
  </si>
  <si>
    <t>721170967R00</t>
  </si>
  <si>
    <t>Oprava - zaslepení dosavadního potrubí PVC D 160</t>
  </si>
  <si>
    <t>721176102R00</t>
  </si>
  <si>
    <t>Potrubí HT připojovací D 40 x 1,8 mm</t>
  </si>
  <si>
    <t>8</t>
  </si>
  <si>
    <t>721176103R00</t>
  </si>
  <si>
    <t>Potrubí HT připojovací D 50 x 1,8 mm</t>
  </si>
  <si>
    <t>9</t>
  </si>
  <si>
    <t>721176105R00</t>
  </si>
  <si>
    <t>Potrubí HT připojovací D 110 x 2,7 mm</t>
  </si>
  <si>
    <t>10</t>
  </si>
  <si>
    <t>721176114R00</t>
  </si>
  <si>
    <t>Potrubí HT odpadní svislé D 75 x 1,9 mm</t>
  </si>
  <si>
    <t>11</t>
  </si>
  <si>
    <t>721176115R00</t>
  </si>
  <si>
    <t>Potrubí HT odpadní svislé D 110 x 2,7 mm</t>
  </si>
  <si>
    <t>12</t>
  </si>
  <si>
    <t>721176135R00</t>
  </si>
  <si>
    <t>Potrubí HT svodné (ležaté) zavěšené D 110 x 2,7 mm</t>
  </si>
  <si>
    <t>13</t>
  </si>
  <si>
    <t>721176232R00</t>
  </si>
  <si>
    <t>Potrubí KG svodné (ležaté) zavěšené D 110 x 3,2 mm</t>
  </si>
  <si>
    <t>14</t>
  </si>
  <si>
    <t>721194104T00</t>
  </si>
  <si>
    <t>Vyvedení odpadní výpustky D 40 mm</t>
  </si>
  <si>
    <t>15</t>
  </si>
  <si>
    <t>721194105T00</t>
  </si>
  <si>
    <t>Vyvedení odpadní výpustky D 50 mm</t>
  </si>
  <si>
    <t>16</t>
  </si>
  <si>
    <t>Vyvedení odpadní výpustky D 110 mm</t>
  </si>
  <si>
    <t>17</t>
  </si>
  <si>
    <t>721273200RT3</t>
  </si>
  <si>
    <t>Souprava ventilační střešní HL D 110mm</t>
  </si>
  <si>
    <t>18</t>
  </si>
  <si>
    <t>721223427RT2</t>
  </si>
  <si>
    <t>Vpusť podlahová se zápachovou uzávěrkou HL 510NPr</t>
  </si>
  <si>
    <t>19</t>
  </si>
  <si>
    <t>721223901T00</t>
  </si>
  <si>
    <t>Montáž podlahové vpusti</t>
  </si>
  <si>
    <t>20</t>
  </si>
  <si>
    <t>721223905T00</t>
  </si>
  <si>
    <t>Montáž izolační soupravy pro vpusť</t>
  </si>
  <si>
    <t>21</t>
  </si>
  <si>
    <t>721160912R00</t>
  </si>
  <si>
    <t>Provedení opravy vnitř. kanalizace, propoj. dosavad. potr. do DN 50 mm</t>
  </si>
  <si>
    <t>22</t>
  </si>
  <si>
    <t>721300922R00</t>
  </si>
  <si>
    <t>Pročištění odtoku odkanalizování kotelny</t>
  </si>
  <si>
    <t>23</t>
  </si>
  <si>
    <t>713571113R00</t>
  </si>
  <si>
    <t>Požárně ochranná manžeta hl. 60 mm, EI 90, D 75 mm</t>
  </si>
  <si>
    <t>24</t>
  </si>
  <si>
    <t>713571115R00</t>
  </si>
  <si>
    <t>Požárně ochranná manžeta hl. 60mm, EI 90, D 110 mm</t>
  </si>
  <si>
    <t>25</t>
  </si>
  <si>
    <t>73319001VD</t>
  </si>
  <si>
    <t>Protipožární prostup potrubí z MV</t>
  </si>
  <si>
    <t>ks</t>
  </si>
  <si>
    <t>26</t>
  </si>
  <si>
    <t>721290111T00</t>
  </si>
  <si>
    <t>Zkouška těsnosti kanalizace vodou do DN 125</t>
  </si>
  <si>
    <t>27</t>
  </si>
  <si>
    <t>721290821R00</t>
  </si>
  <si>
    <t>Přesun vybouraných hmot - kanalizace, H do 6 m</t>
  </si>
  <si>
    <t>t</t>
  </si>
  <si>
    <t>28</t>
  </si>
  <si>
    <t>28615442.A</t>
  </si>
  <si>
    <t>Kus čisticí HTRE D 75 mm PP</t>
  </si>
  <si>
    <t>29</t>
  </si>
  <si>
    <t>Kus čisticí HTRE D 110 mm PP</t>
  </si>
  <si>
    <t>30</t>
  </si>
  <si>
    <t>28651840.A</t>
  </si>
  <si>
    <t>Kus čisticí kanalizační KGRE DN 100 PVC</t>
  </si>
  <si>
    <t>722</t>
  </si>
  <si>
    <t>Vnitřní vodovod</t>
  </si>
  <si>
    <t>31</t>
  </si>
  <si>
    <t>722181232RT7</t>
  </si>
  <si>
    <t>Izolace návleková s povrch.úpravou, průměr 20 mm, tl. stěny 9 mm</t>
  </si>
  <si>
    <t>722_</t>
  </si>
  <si>
    <t>32</t>
  </si>
  <si>
    <t>722181232RT8</t>
  </si>
  <si>
    <t>Izolace návleková s povrch.úpravou, průměr 25 mm, tl. stěny 9 mm</t>
  </si>
  <si>
    <t>33</t>
  </si>
  <si>
    <t>722181232RU1</t>
  </si>
  <si>
    <t>Izolace návleková s povrch.úpravou, průměr 32 mm, tl. stěny 9 mm</t>
  </si>
  <si>
    <t>34</t>
  </si>
  <si>
    <t>722181232RV9</t>
  </si>
  <si>
    <t>Izolace návleková s povrch.úpravou, průměr 40 mm, tl. stěny 9 mm</t>
  </si>
  <si>
    <t>35</t>
  </si>
  <si>
    <t>722181233RT7</t>
  </si>
  <si>
    <t>Izolace návleková s povrch.úpravou, průměr 20 mm, tl. stěny 13 mm</t>
  </si>
  <si>
    <t>36</t>
  </si>
  <si>
    <t>722181234RT7</t>
  </si>
  <si>
    <t>Izolace návleková s povrch.úpravou, průměr 20 mm, tl. stěny 20 mm</t>
  </si>
  <si>
    <t>37</t>
  </si>
  <si>
    <t>722181234RT8</t>
  </si>
  <si>
    <t>Izolace návleková s povrch.úpravou, průměr 25 mm, tl. stěny 20 mm</t>
  </si>
  <si>
    <t>38</t>
  </si>
  <si>
    <t>722181234RU1</t>
  </si>
  <si>
    <t>Izolace návleková s povrch.úpravou, průměr 32 mm, tl. stěny 20 mm</t>
  </si>
  <si>
    <t>39</t>
  </si>
  <si>
    <t>722190401R00</t>
  </si>
  <si>
    <t>Vyvedení a upevnění výpustek DN 15</t>
  </si>
  <si>
    <t>40</t>
  </si>
  <si>
    <t>722220111R00</t>
  </si>
  <si>
    <t>Nástěnka K 247, pro výtokový ventil G 1/2</t>
  </si>
  <si>
    <t>41</t>
  </si>
  <si>
    <t>722220121R00</t>
  </si>
  <si>
    <t>Nástěnka K 247, pro baterii G 1/2</t>
  </si>
  <si>
    <t>pár</t>
  </si>
  <si>
    <t>42</t>
  </si>
  <si>
    <t>722237134R00</t>
  </si>
  <si>
    <t>Kohout vod.kulový s vypouš., DN 32</t>
  </si>
  <si>
    <t>43</t>
  </si>
  <si>
    <t>722237664R00</t>
  </si>
  <si>
    <t>Klapka zpětná,2xvnitř.závit DN 32,vod</t>
  </si>
  <si>
    <t>44</t>
  </si>
  <si>
    <t>722235814R00</t>
  </si>
  <si>
    <t>Ventil redukční s manometrem 0-10bar,  DN 32</t>
  </si>
  <si>
    <t>45</t>
  </si>
  <si>
    <t>72218001VD</t>
  </si>
  <si>
    <t>Protipožární prostup potrubí - požárně ochranný pás</t>
  </si>
  <si>
    <t>46</t>
  </si>
  <si>
    <t>722280106R00</t>
  </si>
  <si>
    <t>Tlaková zkouška vodovodního potrubí do DN 32</t>
  </si>
  <si>
    <t>47</t>
  </si>
  <si>
    <t>722290234R00</t>
  </si>
  <si>
    <t>Proplach a dezinfekce vodovod.potrubí do DN 80</t>
  </si>
  <si>
    <t>48</t>
  </si>
  <si>
    <t>28654296</t>
  </si>
  <si>
    <t>Přechodka dGK kovový závit vnější d 20x1/2" PPR</t>
  </si>
  <si>
    <t>49</t>
  </si>
  <si>
    <t>28654298</t>
  </si>
  <si>
    <t>Přechodka dGK kovový závit vnější d 25x1/2" PPR</t>
  </si>
  <si>
    <t>50</t>
  </si>
  <si>
    <t>28654299</t>
  </si>
  <si>
    <t>Přechodka dGK kovový závit vnější d 25x1" PPR</t>
  </si>
  <si>
    <t>51</t>
  </si>
  <si>
    <t>Přechodka dGK kovový závit vnější d 32x1" PPR</t>
  </si>
  <si>
    <t>52</t>
  </si>
  <si>
    <t>28654300</t>
  </si>
  <si>
    <t>Přechodka dGK kovový závit vnější d 40x1" PPR</t>
  </si>
  <si>
    <t>53</t>
  </si>
  <si>
    <t>Přechodka dGK kovový závit vnější d 40x5/4" PPR</t>
  </si>
  <si>
    <t>54</t>
  </si>
  <si>
    <t>28654301</t>
  </si>
  <si>
    <t>T-kus s kov. záv. vnitř. PP-R, d50 x 1/2" x d50</t>
  </si>
  <si>
    <t>55</t>
  </si>
  <si>
    <t>722178681R00</t>
  </si>
  <si>
    <t>Potrubí PP-RCT HOT PN20, D 20 x 2,8 mm</t>
  </si>
  <si>
    <t>56</t>
  </si>
  <si>
    <t>722178682R00</t>
  </si>
  <si>
    <t>Potrubí PP-RCT HOT PN20, D 25 x 3,5 mm</t>
  </si>
  <si>
    <t>57</t>
  </si>
  <si>
    <t>722178683R00</t>
  </si>
  <si>
    <t>Potrubí PP-RCT HOT PN20, D 32 x 4,4 mm</t>
  </si>
  <si>
    <t>58</t>
  </si>
  <si>
    <t>722178684R00</t>
  </si>
  <si>
    <t>Potrubí PP-RCT HOT PN20, D 40 x 5,5 mm</t>
  </si>
  <si>
    <t>59</t>
  </si>
  <si>
    <t>722202424R00</t>
  </si>
  <si>
    <t>Kohout kulový nerozebíratelný s výpustí PP-R, D 32 mm</t>
  </si>
  <si>
    <t>60</t>
  </si>
  <si>
    <t>722202423R00</t>
  </si>
  <si>
    <t>Kohout kulový nerozebíratelný s výpustí PP-R, D 25 mm</t>
  </si>
  <si>
    <t>722202523R00</t>
  </si>
  <si>
    <t>Ventil přímý s výpustí PP-R, D 20 mm</t>
  </si>
  <si>
    <t>62</t>
  </si>
  <si>
    <t>722202412R00</t>
  </si>
  <si>
    <t>Kohout kulový nerozebíratelný PP-R, D 20 mm</t>
  </si>
  <si>
    <t>63</t>
  </si>
  <si>
    <t>722235111R00</t>
  </si>
  <si>
    <t>Kohout vodovodní, kulový, DN 15 mm</t>
  </si>
  <si>
    <t>64</t>
  </si>
  <si>
    <t>722235112R00</t>
  </si>
  <si>
    <t>Kohout vodovodní, kulový, DN 20 mm</t>
  </si>
  <si>
    <t>65</t>
  </si>
  <si>
    <t>722235141R00</t>
  </si>
  <si>
    <t>Kohout vodovodní, kulový s vypouštěním, DN 15 mm</t>
  </si>
  <si>
    <t>66</t>
  </si>
  <si>
    <t>722235142R00</t>
  </si>
  <si>
    <t>Kohout vodovodní, kulový s vypouštěním, DN 20 mm</t>
  </si>
  <si>
    <t>67</t>
  </si>
  <si>
    <t>722236621R00</t>
  </si>
  <si>
    <t>Klapka vodovodní, zpětná, pružinová, DN 15 mm</t>
  </si>
  <si>
    <t>68</t>
  </si>
  <si>
    <t>722220112R00</t>
  </si>
  <si>
    <t>Šroubení 12"x3/4" k vodoměru vč. upevnění</t>
  </si>
  <si>
    <t>69</t>
  </si>
  <si>
    <t>722175122R00</t>
  </si>
  <si>
    <t>Mezikus D20 namísto vodoměru pro účely zkoušek</t>
  </si>
  <si>
    <t>723</t>
  </si>
  <si>
    <t>Vnitřní plynovod</t>
  </si>
  <si>
    <t>70</t>
  </si>
  <si>
    <t>725650805R00</t>
  </si>
  <si>
    <t>Demontáž těles otopných plynových podokenních</t>
  </si>
  <si>
    <t>soubor</t>
  </si>
  <si>
    <t>723_</t>
  </si>
  <si>
    <t>71</t>
  </si>
  <si>
    <t>723120804R00</t>
  </si>
  <si>
    <t>Demontáž potrubí svařovaného závitového do DN 25</t>
  </si>
  <si>
    <t>72</t>
  </si>
  <si>
    <t>723160804R00</t>
  </si>
  <si>
    <t>Demontáž přípojek k plynoměru,závitových G 1</t>
  </si>
  <si>
    <t>73</t>
  </si>
  <si>
    <t>723160831R00</t>
  </si>
  <si>
    <t>Demontáž rozpěrky přípojek plynoměru, G 1</t>
  </si>
  <si>
    <t>74</t>
  </si>
  <si>
    <t>723190901R00</t>
  </si>
  <si>
    <t>Uzavření nebo otevření plynového potrubí</t>
  </si>
  <si>
    <t>75</t>
  </si>
  <si>
    <t>723230801R00</t>
  </si>
  <si>
    <t>Demontáž středotlakého regulátoru - jednod. řada</t>
  </si>
  <si>
    <t>76</t>
  </si>
  <si>
    <t>733161965R00</t>
  </si>
  <si>
    <t>Zaslepení plynovodu vč.zátky D 28 mm</t>
  </si>
  <si>
    <t>77</t>
  </si>
  <si>
    <t>72321PL001VD</t>
  </si>
  <si>
    <t>Skříňka pro hlavní uzávěr plechová či plast kompozit 60x60 cm</t>
  </si>
  <si>
    <t>725</t>
  </si>
  <si>
    <t>Zařizovací předměty</t>
  </si>
  <si>
    <t>78</t>
  </si>
  <si>
    <t>725110814R00</t>
  </si>
  <si>
    <t>Demontáž klozetů kombinovaných</t>
  </si>
  <si>
    <t>725_</t>
  </si>
  <si>
    <t>79</t>
  </si>
  <si>
    <t>725210821R00</t>
  </si>
  <si>
    <t>Demontáž umyvadel bez výtokových armatur</t>
  </si>
  <si>
    <t>80</t>
  </si>
  <si>
    <t>725310823R00</t>
  </si>
  <si>
    <t>Demontáž dřezů 1dílných v kuchyňské sestavě</t>
  </si>
  <si>
    <t>81</t>
  </si>
  <si>
    <t>725820801R00</t>
  </si>
  <si>
    <t>Demontáž baterie nástěnné do G 3/4</t>
  </si>
  <si>
    <t>82</t>
  </si>
  <si>
    <t>725240812R00</t>
  </si>
  <si>
    <t>Demontáž sprchových mís bez výtokových armatur</t>
  </si>
  <si>
    <t>83</t>
  </si>
  <si>
    <t>725530823R00</t>
  </si>
  <si>
    <t>Demontáž, zásobník elektrický tlakový  do 200 l</t>
  </si>
  <si>
    <t>84</t>
  </si>
  <si>
    <t>725534226R00</t>
  </si>
  <si>
    <t>Ohřívač elek. zásob. závěsný svislý 160 L, 230V, 2,2kW</t>
  </si>
  <si>
    <t>85</t>
  </si>
  <si>
    <t>725014161R00</t>
  </si>
  <si>
    <t>Klozet závěsný  včetně sedátka, hl.530 mm</t>
  </si>
  <si>
    <t>86</t>
  </si>
  <si>
    <t>726211323R00</t>
  </si>
  <si>
    <t>Modul pro závěsné WC, nastavitelný, h 112 cm vč.tlačítka</t>
  </si>
  <si>
    <t>87</t>
  </si>
  <si>
    <t>725017163R00</t>
  </si>
  <si>
    <t>Umyvadlo na šrouby , 60 x 49 cm, bílé</t>
  </si>
  <si>
    <t>88</t>
  </si>
  <si>
    <t>725017168R00</t>
  </si>
  <si>
    <t>Kryt sifonu umyvadel, bílý</t>
  </si>
  <si>
    <t>89</t>
  </si>
  <si>
    <t>725018105R00</t>
  </si>
  <si>
    <t>Vana ocelová standardní, dl. 1500 mm</t>
  </si>
  <si>
    <t>90</t>
  </si>
  <si>
    <t>725018111R00</t>
  </si>
  <si>
    <t>Vana ocelová anatomická , dl. 1700 mm</t>
  </si>
  <si>
    <t>91</t>
  </si>
  <si>
    <t>725314290R00</t>
  </si>
  <si>
    <t>Příslušenství k dřezu v kuchyňské sestavě</t>
  </si>
  <si>
    <t>92</t>
  </si>
  <si>
    <t>725249102R00</t>
  </si>
  <si>
    <t>Montáž sprchových mís a vaniček</t>
  </si>
  <si>
    <t>93</t>
  </si>
  <si>
    <t>725249127T00</t>
  </si>
  <si>
    <t>Montáž sprchových zástěn rohových</t>
  </si>
  <si>
    <t>94</t>
  </si>
  <si>
    <t>725814101R00</t>
  </si>
  <si>
    <t>Ventil rohový s filtrem  DN 15 x DN 10</t>
  </si>
  <si>
    <t>95</t>
  </si>
  <si>
    <t>725814126R00</t>
  </si>
  <si>
    <t>Ventil pračkový  DN 15 x DN 20</t>
  </si>
  <si>
    <t>96</t>
  </si>
  <si>
    <t>725823111RT1</t>
  </si>
  <si>
    <t>Baterie umyvadlová stoján. ruční, bez otvír.odpadu</t>
  </si>
  <si>
    <t>97</t>
  </si>
  <si>
    <t>725823114RT1</t>
  </si>
  <si>
    <t>Baterie dřezová stojánková ruční, bez otvír.odpadu</t>
  </si>
  <si>
    <t>98</t>
  </si>
  <si>
    <t>725835111RT1</t>
  </si>
  <si>
    <t>Baterie vanová nástěnná ruční, bez příslušenství</t>
  </si>
  <si>
    <t>99</t>
  </si>
  <si>
    <t>725845111RT1</t>
  </si>
  <si>
    <t>Baterie sprchová nástěnná ruční, bez příslušenství</t>
  </si>
  <si>
    <t>100</t>
  </si>
  <si>
    <t>725860180RT1</t>
  </si>
  <si>
    <t>Sifon pračkový HL400, D 40/50 mm nerezový</t>
  </si>
  <si>
    <t>101</t>
  </si>
  <si>
    <t>725860181RT1</t>
  </si>
  <si>
    <t>Sifon pračkový s přivzd.vent. HL404.1, D 40/50 mm nerezový</t>
  </si>
  <si>
    <t>102</t>
  </si>
  <si>
    <t>725860421R00</t>
  </si>
  <si>
    <t>Dvojitá přípojka se zpět. klapkou HL 2, G 1"</t>
  </si>
  <si>
    <t>103</t>
  </si>
  <si>
    <t>725980113R00</t>
  </si>
  <si>
    <t>Dvířka vanová 300 x 300 mm</t>
  </si>
  <si>
    <t>104</t>
  </si>
  <si>
    <t>55428083.A</t>
  </si>
  <si>
    <t>Sprchová zástěna čtvercová 90x90x185 cm</t>
  </si>
  <si>
    <t>105</t>
  </si>
  <si>
    <t>642938005</t>
  </si>
  <si>
    <t>Vanička sprch. keram. čtverec  900x900 mm, protiskluz., vč.zápach.uz.</t>
  </si>
  <si>
    <t>106</t>
  </si>
  <si>
    <t>72582ZP003VD</t>
  </si>
  <si>
    <t>Sprchový set ruční se stavitelným držákem</t>
  </si>
  <si>
    <t>Venkovní kanalizace</t>
  </si>
  <si>
    <t>107</t>
  </si>
  <si>
    <t>831350012RAB</t>
  </si>
  <si>
    <t>Kanalizace splašk.z trub PVC hrdlových  D 160 mm vč.zemních prací, lože a obsypu pískem</t>
  </si>
  <si>
    <t>83_</t>
  </si>
  <si>
    <t>8_</t>
  </si>
  <si>
    <t>108</t>
  </si>
  <si>
    <t>Kanalizace dešť.z trub PVC hrdlových do D 160 mm vč.zemních prací, lože a obsypu pískem</t>
  </si>
  <si>
    <t>109</t>
  </si>
  <si>
    <t>899711122R00</t>
  </si>
  <si>
    <t>Fólie výstražná z PVC šedá, šířka 30 cm</t>
  </si>
  <si>
    <t>110</t>
  </si>
  <si>
    <t>899711121T00</t>
  </si>
  <si>
    <t>Uložení výstražné fólie pro kanalizaci</t>
  </si>
  <si>
    <t>111</t>
  </si>
  <si>
    <t>721242116R00</t>
  </si>
  <si>
    <t>Lapač střešních splavenin litinový DN 125</t>
  </si>
  <si>
    <t>112</t>
  </si>
  <si>
    <t>892573111R00</t>
  </si>
  <si>
    <t>Zabezpečení konců kanal. potrubí DN do 200, vodou</t>
  </si>
  <si>
    <t>úsek</t>
  </si>
  <si>
    <t>113</t>
  </si>
  <si>
    <t>892571111R00</t>
  </si>
  <si>
    <t>Zkouška těsnosti kanalizace DN do 200, vodou</t>
  </si>
  <si>
    <t>Hodinové zúčtovací sazby (HZS)</t>
  </si>
  <si>
    <t>114</t>
  </si>
  <si>
    <t>900      R02</t>
  </si>
  <si>
    <t>HZS-zednické výpomoce, stavební dělník v tř.5</t>
  </si>
  <si>
    <t>h</t>
  </si>
  <si>
    <t>90_</t>
  </si>
  <si>
    <t>9_</t>
  </si>
  <si>
    <t>Prorážení otvorů a ostatní bourací práce</t>
  </si>
  <si>
    <t>115</t>
  </si>
  <si>
    <t>971035361R00</t>
  </si>
  <si>
    <t>Průraz svislou stavební konstrukcí, pl.0,09 m2, tl.60 cm,</t>
  </si>
  <si>
    <t>97_</t>
  </si>
  <si>
    <t>116</t>
  </si>
  <si>
    <t>971035331R00</t>
  </si>
  <si>
    <t>Průraz svislou stavební konstrukcí, tl.15 cm, MC</t>
  </si>
  <si>
    <t>117</t>
  </si>
  <si>
    <t>972054241R00</t>
  </si>
  <si>
    <t>Prostup stropem ŽB + podl. sestava  pl. 0,09 m2 tl. 300</t>
  </si>
  <si>
    <t>118</t>
  </si>
  <si>
    <t>972086391R00</t>
  </si>
  <si>
    <t>Prostup stropem ŽB + podl. sestava  pl. 0,09 m2 tl. 900</t>
  </si>
  <si>
    <t>119</t>
  </si>
  <si>
    <t>974031145R00</t>
  </si>
  <si>
    <t>Vysekání rýh ve zdi cihelné 7 x 20 cm</t>
  </si>
  <si>
    <t>H27</t>
  </si>
  <si>
    <t>Vedení trubní dálková a přípojná</t>
  </si>
  <si>
    <t>120</t>
  </si>
  <si>
    <t>998276101R00</t>
  </si>
  <si>
    <t>Přesun hmot, trubní vedení plastová, otevř. výkop</t>
  </si>
  <si>
    <t>H27_</t>
  </si>
  <si>
    <t>H721</t>
  </si>
  <si>
    <t>121</t>
  </si>
  <si>
    <t>998721101R00</t>
  </si>
  <si>
    <t>Přesun hmot pro vnitřní kanalizaci, výšky do 6 m</t>
  </si>
  <si>
    <t>H721_</t>
  </si>
  <si>
    <t>122</t>
  </si>
  <si>
    <t>998721102R00</t>
  </si>
  <si>
    <t>Přesun hmot pro vnitřní kanalizaci, výšky do 12 m</t>
  </si>
  <si>
    <t>123</t>
  </si>
  <si>
    <t>998721192R00</t>
  </si>
  <si>
    <t>Příplatek za zvětšený přesun, vnitřní kanalizace do 100 m</t>
  </si>
  <si>
    <t>H722</t>
  </si>
  <si>
    <t>124</t>
  </si>
  <si>
    <t>998722101R00</t>
  </si>
  <si>
    <t>Přesun hmot pro vnitřní vodovod, výšky do 6 m</t>
  </si>
  <si>
    <t>H722_</t>
  </si>
  <si>
    <t>125</t>
  </si>
  <si>
    <t>998722102R00</t>
  </si>
  <si>
    <t>Přesun hmot pro vnitřní vodovod, výšky do 12 m</t>
  </si>
  <si>
    <t>126</t>
  </si>
  <si>
    <t>998722192R00</t>
  </si>
  <si>
    <t>Příplatek za zvětšený přesun, vnitřní vodovod do 100 m</t>
  </si>
  <si>
    <t>H723</t>
  </si>
  <si>
    <t>127</t>
  </si>
  <si>
    <t>998723101R00</t>
  </si>
  <si>
    <t>Přesun hmot pro vnitřní plynovod, výšky do 6 m</t>
  </si>
  <si>
    <t>H723_</t>
  </si>
  <si>
    <t>128</t>
  </si>
  <si>
    <t>998723192R00</t>
  </si>
  <si>
    <t>Příplatek za zvětšený přesun, vnitřní plynovod do 100 m</t>
  </si>
  <si>
    <t>H725</t>
  </si>
  <si>
    <t>129</t>
  </si>
  <si>
    <t>998725101R00</t>
  </si>
  <si>
    <t>Přesun hmot pro zařizovací předměty, výšky do 6 m</t>
  </si>
  <si>
    <t>H725_</t>
  </si>
  <si>
    <t>130</t>
  </si>
  <si>
    <t>998725102R00</t>
  </si>
  <si>
    <t>Přesun hmot pro zařizovací předměty, výšky do 12 m</t>
  </si>
  <si>
    <t>131</t>
  </si>
  <si>
    <t>998725192R00</t>
  </si>
  <si>
    <t>Příplatek za zvětšený přesun, zařizovací předměty do 100 m</t>
  </si>
  <si>
    <t>S</t>
  </si>
  <si>
    <t>Odpadové hospodářství</t>
  </si>
  <si>
    <t>132</t>
  </si>
  <si>
    <t>979082212R00</t>
  </si>
  <si>
    <t>Vodorovná doprava suti po suchu do 50 m</t>
  </si>
  <si>
    <t>S_</t>
  </si>
  <si>
    <t>133</t>
  </si>
  <si>
    <t>979981101R00</t>
  </si>
  <si>
    <t>Kontejner, přistavení na 24 h, odvoz a likvidace, suť bez příměsí, kapacita 3 t</t>
  </si>
  <si>
    <t>Celkem:</t>
  </si>
  <si>
    <t>Poznámka:</t>
  </si>
  <si>
    <t>Aktualizovaný původní rozpočet stavby z 2022</t>
  </si>
  <si>
    <t>Soupis stavebních prací dodávek a služeb s výkazem výměr</t>
  </si>
  <si>
    <t>Objekt</t>
  </si>
  <si>
    <t>Potřebné množství</t>
  </si>
  <si>
    <t>Krycí list slepého rozpočtu</t>
  </si>
  <si>
    <t>IČO/DIČ:</t>
  </si>
  <si>
    <t>00297569/CZ00297569</t>
  </si>
  <si>
    <t>64590097/CZ5905071018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</si>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</sst>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8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3" fillId="0" borderId="21" xfId="0" applyNumberFormat="1" applyFont="1" applyFill="1" applyBorder="1" applyAlignment="1" applyProtection="1">
      <alignment horizontal="left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center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0" fontId="2" fillId="2" borderId="30" xfId="0" applyNumberFormat="1" applyFont="1" applyFill="1" applyBorder="1" applyAlignment="1" applyProtection="1">
      <alignment horizontal="left" vertical="center"/>
    </xf>
    <xf numFmtId="0" fontId="3" fillId="2" borderId="30" xfId="0" applyNumberFormat="1" applyFont="1" applyFill="1" applyBorder="1" applyAlignment="1" applyProtection="1">
      <alignment horizontal="left" vertical="center"/>
    </xf>
    <xf numFmtId="4" fontId="2" fillId="2" borderId="30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2" fillId="2" borderId="31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4" fontId="2" fillId="2" borderId="6" xfId="0" applyNumberFormat="1" applyFont="1" applyFill="1" applyBorder="1" applyAlignment="1" applyProtection="1">
      <alignment horizontal="righ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left" vertical="center"/>
    </xf>
    <xf numFmtId="4" fontId="3" fillId="0" borderId="33" xfId="0" applyNumberFormat="1" applyFont="1" applyFill="1" applyBorder="1" applyAlignment="1" applyProtection="1">
      <alignment horizontal="right" vertical="center"/>
    </xf>
    <xf numFmtId="4" fontId="3" fillId="0" borderId="34" xfId="0" applyNumberFormat="1" applyFont="1" applyFill="1" applyBorder="1" applyAlignment="1" applyProtection="1">
      <alignment horizontal="right" vertical="center"/>
    </xf>
    <xf numFmtId="4" fontId="2" fillId="0" borderId="35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2" fillId="0" borderId="36" xfId="0" applyNumberFormat="1" applyFont="1" applyFill="1" applyBorder="1" applyAlignment="1" applyProtection="1">
      <alignment horizontal="left" vertical="center"/>
    </xf>
    <xf numFmtId="0" fontId="2" fillId="0" borderId="37" xfId="0" applyNumberFormat="1" applyFont="1" applyFill="1" applyBorder="1" applyAlignment="1" applyProtection="1">
      <alignment horizontal="left" vertical="center"/>
    </xf>
    <xf numFmtId="0" fontId="2" fillId="0" borderId="40" xfId="0" applyNumberFormat="1" applyFont="1" applyFill="1" applyBorder="1" applyAlignment="1" applyProtection="1">
      <alignment horizontal="righ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2" fillId="2" borderId="31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6" fillId="2" borderId="43" xfId="0" applyNumberFormat="1" applyFont="1" applyFill="1" applyBorder="1" applyAlignment="1" applyProtection="1">
      <alignment horizontal="center" vertical="center"/>
    </xf>
    <xf numFmtId="0" fontId="6" fillId="2" borderId="46" xfId="0" applyNumberFormat="1" applyFont="1" applyFill="1" applyBorder="1" applyAlignment="1" applyProtection="1">
      <alignment horizontal="center" vertical="center"/>
    </xf>
    <xf numFmtId="0" fontId="8" fillId="0" borderId="47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left" vertical="center"/>
    </xf>
    <xf numFmtId="4" fontId="9" fillId="0" borderId="48" xfId="0" applyNumberFormat="1" applyFont="1" applyFill="1" applyBorder="1" applyAlignment="1" applyProtection="1">
      <alignment horizontal="right" vertical="center"/>
    </xf>
    <xf numFmtId="0" fontId="9" fillId="0" borderId="48" xfId="0" applyNumberFormat="1" applyFont="1" applyFill="1" applyBorder="1" applyAlignment="1" applyProtection="1">
      <alignment horizontal="right" vertical="center"/>
    </xf>
    <xf numFmtId="0" fontId="8" fillId="0" borderId="51" xfId="0" applyNumberFormat="1" applyFont="1" applyFill="1" applyBorder="1" applyAlignment="1" applyProtection="1">
      <alignment horizontal="left" vertical="center"/>
    </xf>
    <xf numFmtId="4" fontId="9" fillId="0" borderId="55" xfId="0" applyNumberFormat="1" applyFont="1" applyFill="1" applyBorder="1" applyAlignment="1" applyProtection="1">
      <alignment horizontal="right" vertical="center"/>
    </xf>
    <xf numFmtId="0" fontId="9" fillId="0" borderId="55" xfId="0" applyNumberFormat="1" applyFont="1" applyFill="1" applyBorder="1" applyAlignment="1" applyProtection="1">
      <alignment horizontal="right" vertical="center"/>
    </xf>
    <xf numFmtId="4" fontId="9" fillId="0" borderId="46" xfId="0" applyNumberFormat="1" applyFont="1" applyFill="1" applyBorder="1" applyAlignment="1" applyProtection="1">
      <alignment horizontal="right" vertical="center"/>
    </xf>
    <xf numFmtId="4" fontId="9" fillId="0" borderId="26" xfId="0" applyNumberFormat="1" applyFont="1" applyFill="1" applyBorder="1" applyAlignment="1" applyProtection="1">
      <alignment horizontal="right" vertical="center"/>
    </xf>
    <xf numFmtId="4" fontId="8" fillId="2" borderId="45" xfId="0" applyNumberFormat="1" applyFont="1" applyFill="1" applyBorder="1" applyAlignment="1" applyProtection="1">
      <alignment horizontal="right" vertical="center"/>
    </xf>
    <xf numFmtId="4" fontId="8" fillId="2" borderId="50" xfId="0" applyNumberFormat="1" applyFont="1" applyFill="1" applyBorder="1" applyAlignment="1" applyProtection="1">
      <alignment horizontal="right" vertical="center"/>
    </xf>
    <xf numFmtId="0" fontId="4" fillId="0" borderId="3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right" vertical="center"/>
    </xf>
    <xf numFmtId="4" fontId="3" fillId="0" borderId="48" xfId="0" applyNumberFormat="1" applyFont="1" applyFill="1" applyBorder="1" applyAlignment="1" applyProtection="1">
      <alignment horizontal="right" vertical="center"/>
    </xf>
    <xf numFmtId="0" fontId="3" fillId="0" borderId="48" xfId="0" applyNumberFormat="1" applyFont="1" applyFill="1" applyBorder="1" applyAlignment="1" applyProtection="1">
      <alignment horizontal="left" vertical="center"/>
    </xf>
    <xf numFmtId="4" fontId="3" fillId="0" borderId="75" xfId="0" applyNumberFormat="1" applyFont="1" applyFill="1" applyBorder="1" applyAlignment="1" applyProtection="1">
      <alignment horizontal="righ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right" vertical="center"/>
    </xf>
    <xf numFmtId="4" fontId="2" fillId="0" borderId="79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2" borderId="30" xfId="0" applyNumberFormat="1" applyFont="1" applyFill="1" applyBorder="1" applyAlignment="1" applyProtection="1">
      <alignment horizontal="left" vertical="center" wrapText="1"/>
    </xf>
    <xf numFmtId="0" fontId="2" fillId="2" borderId="3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2" fillId="0" borderId="38" xfId="0" applyNumberFormat="1" applyFont="1" applyFill="1" applyBorder="1" applyAlignment="1" applyProtection="1">
      <alignment horizontal="left" vertical="center"/>
    </xf>
    <xf numFmtId="0" fontId="2" fillId="0" borderId="39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32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4" xfId="0" applyNumberFormat="1" applyFont="1" applyFill="1" applyBorder="1" applyAlignment="1" applyProtection="1">
      <alignment horizontal="left" vertical="center"/>
    </xf>
    <xf numFmtId="0" fontId="5" fillId="0" borderId="42" xfId="0" applyNumberFormat="1" applyFont="1" applyFill="1" applyBorder="1" applyAlignment="1" applyProtection="1">
      <alignment horizontal="center" vertical="center"/>
    </xf>
    <xf numFmtId="0" fontId="7" fillId="0" borderId="44" xfId="0" applyNumberFormat="1" applyFont="1" applyFill="1" applyBorder="1" applyAlignment="1" applyProtection="1">
      <alignment horizontal="left" vertical="center"/>
    </xf>
    <xf numFmtId="0" fontId="7" fillId="0" borderId="45" xfId="0" applyNumberFormat="1" applyFont="1" applyFill="1" applyBorder="1" applyAlignment="1" applyProtection="1">
      <alignment horizontal="left" vertical="center"/>
    </xf>
    <xf numFmtId="0" fontId="8" fillId="0" borderId="52" xfId="0" applyNumberFormat="1" applyFont="1" applyFill="1" applyBorder="1" applyAlignment="1" applyProtection="1">
      <alignment horizontal="left" vertical="center"/>
    </xf>
    <xf numFmtId="0" fontId="8" fillId="0" borderId="50" xfId="0" applyNumberFormat="1" applyFont="1" applyFill="1" applyBorder="1" applyAlignment="1" applyProtection="1">
      <alignment horizontal="left" vertical="center"/>
    </xf>
    <xf numFmtId="0" fontId="8" fillId="0" borderId="53" xfId="0" applyNumberFormat="1" applyFont="1" applyFill="1" applyBorder="1" applyAlignment="1" applyProtection="1">
      <alignment horizontal="left" vertical="center"/>
    </xf>
    <xf numFmtId="0" fontId="8" fillId="0" borderId="54" xfId="0" applyNumberFormat="1" applyFont="1" applyFill="1" applyBorder="1" applyAlignment="1" applyProtection="1">
      <alignment horizontal="left" vertical="center"/>
    </xf>
    <xf numFmtId="0" fontId="8" fillId="0" borderId="57" xfId="0" applyNumberFormat="1" applyFont="1" applyFill="1" applyBorder="1" applyAlignment="1" applyProtection="1">
      <alignment horizontal="left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9" fillId="0" borderId="49" xfId="0" applyNumberFormat="1" applyFont="1" applyFill="1" applyBorder="1" applyAlignment="1" applyProtection="1">
      <alignment horizontal="left" vertical="center"/>
    </xf>
    <xf numFmtId="0" fontId="9" fillId="0" borderId="50" xfId="0" applyNumberFormat="1" applyFont="1" applyFill="1" applyBorder="1" applyAlignment="1" applyProtection="1">
      <alignment horizontal="left" vertical="center"/>
    </xf>
    <xf numFmtId="0" fontId="9" fillId="0" borderId="56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8" fillId="0" borderId="44" xfId="0" applyNumberFormat="1" applyFont="1" applyFill="1" applyBorder="1" applyAlignment="1" applyProtection="1">
      <alignment horizontal="left" vertical="center"/>
    </xf>
    <xf numFmtId="0" fontId="8" fillId="0" borderId="49" xfId="0" applyNumberFormat="1" applyFont="1" applyFill="1" applyBorder="1" applyAlignment="1" applyProtection="1">
      <alignment horizontal="left" vertical="center"/>
    </xf>
    <xf numFmtId="0" fontId="8" fillId="2" borderId="57" xfId="0" applyNumberFormat="1" applyFont="1" applyFill="1" applyBorder="1" applyAlignment="1" applyProtection="1">
      <alignment horizontal="left" vertical="center"/>
    </xf>
    <xf numFmtId="0" fontId="8" fillId="2" borderId="58" xfId="0" applyNumberFormat="1" applyFont="1" applyFill="1" applyBorder="1" applyAlignment="1" applyProtection="1">
      <alignment horizontal="left" vertical="center"/>
    </xf>
    <xf numFmtId="0" fontId="8" fillId="2" borderId="52" xfId="0" applyNumberFormat="1" applyFont="1" applyFill="1" applyBorder="1" applyAlignment="1" applyProtection="1">
      <alignment horizontal="left" vertical="center"/>
    </xf>
    <xf numFmtId="0" fontId="8" fillId="2" borderId="59" xfId="0" applyNumberFormat="1" applyFont="1" applyFill="1" applyBorder="1" applyAlignment="1" applyProtection="1">
      <alignment horizontal="left" vertical="center"/>
    </xf>
    <xf numFmtId="0" fontId="8" fillId="2" borderId="44" xfId="0" applyNumberFormat="1" applyFont="1" applyFill="1" applyBorder="1" applyAlignment="1" applyProtection="1">
      <alignment horizontal="left" vertical="center"/>
    </xf>
    <xf numFmtId="0" fontId="8" fillId="2" borderId="49" xfId="0" applyNumberFormat="1" applyFont="1" applyFill="1" applyBorder="1" applyAlignment="1" applyProtection="1">
      <alignment horizontal="left" vertical="center"/>
    </xf>
    <xf numFmtId="0" fontId="9" fillId="0" borderId="60" xfId="0" applyNumberFormat="1" applyFont="1" applyFill="1" applyBorder="1" applyAlignment="1" applyProtection="1">
      <alignment horizontal="left" vertical="center"/>
    </xf>
    <xf numFmtId="0" fontId="9" fillId="0" borderId="61" xfId="0" applyNumberFormat="1" applyFont="1" applyFill="1" applyBorder="1" applyAlignment="1" applyProtection="1">
      <alignment horizontal="left" vertical="center"/>
    </xf>
    <xf numFmtId="0" fontId="9" fillId="0" borderId="62" xfId="0" applyNumberFormat="1" applyFont="1" applyFill="1" applyBorder="1" applyAlignment="1" applyProtection="1">
      <alignment horizontal="left" vertical="center"/>
    </xf>
    <xf numFmtId="0" fontId="9" fillId="0" borderId="64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65" xfId="0" applyNumberFormat="1" applyFont="1" applyFill="1" applyBorder="1" applyAlignment="1" applyProtection="1">
      <alignment horizontal="left" vertical="center"/>
    </xf>
    <xf numFmtId="0" fontId="9" fillId="0" borderId="67" xfId="0" applyNumberFormat="1" applyFont="1" applyFill="1" applyBorder="1" applyAlignment="1" applyProtection="1">
      <alignment horizontal="left" vertical="center"/>
    </xf>
    <xf numFmtId="0" fontId="9" fillId="0" borderId="68" xfId="0" applyNumberFormat="1" applyFont="1" applyFill="1" applyBorder="1" applyAlignment="1" applyProtection="1">
      <alignment horizontal="left" vertical="center"/>
    </xf>
    <xf numFmtId="0" fontId="9" fillId="0" borderId="69" xfId="0" applyNumberFormat="1" applyFont="1" applyFill="1" applyBorder="1" applyAlignment="1" applyProtection="1">
      <alignment horizontal="left" vertical="center"/>
    </xf>
    <xf numFmtId="0" fontId="9" fillId="0" borderId="63" xfId="0" applyNumberFormat="1" applyFont="1" applyFill="1" applyBorder="1" applyAlignment="1" applyProtection="1">
      <alignment horizontal="left" vertical="center"/>
    </xf>
    <xf numFmtId="0" fontId="9" fillId="0" borderId="66" xfId="0" applyNumberFormat="1" applyFont="1" applyFill="1" applyBorder="1" applyAlignment="1" applyProtection="1">
      <alignment horizontal="left" vertical="center"/>
    </xf>
    <xf numFmtId="0" fontId="9" fillId="0" borderId="70" xfId="0" applyNumberFormat="1" applyFont="1" applyFill="1" applyBorder="1" applyAlignment="1" applyProtection="1">
      <alignment horizontal="left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0" borderId="73" xfId="0" applyNumberFormat="1" applyFont="1" applyFill="1" applyBorder="1" applyAlignment="1" applyProtection="1">
      <alignment horizontal="left" vertical="center"/>
    </xf>
    <xf numFmtId="0" fontId="3" fillId="0" borderId="74" xfId="0" applyNumberFormat="1" applyFont="1" applyFill="1" applyBorder="1" applyAlignment="1" applyProtection="1">
      <alignment horizontal="left" vertical="center"/>
    </xf>
    <xf numFmtId="0" fontId="2" fillId="0" borderId="76" xfId="0" applyNumberFormat="1" applyFont="1" applyFill="1" applyBorder="1" applyAlignment="1" applyProtection="1">
      <alignment horizontal="left" vertical="center"/>
    </xf>
    <xf numFmtId="0" fontId="2" fillId="0" borderId="77" xfId="0" applyNumberFormat="1" applyFont="1" applyFill="1" applyBorder="1" applyAlignment="1" applyProtection="1">
      <alignment horizontal="left" vertical="center"/>
    </xf>
    <xf numFmtId="0" fontId="2" fillId="0" borderId="78" xfId="0" applyNumberFormat="1" applyFont="1" applyFill="1" applyBorder="1" applyAlignment="1" applyProtection="1">
      <alignment horizontal="left" vertical="center"/>
    </xf>
    <xf numFmtId="0" fontId="8" fillId="0" borderId="76" xfId="0" applyNumberFormat="1" applyFont="1" applyFill="1" applyBorder="1" applyAlignment="1" applyProtection="1">
      <alignment horizontal="left" vertical="center"/>
    </xf>
    <xf numFmtId="0" fontId="8" fillId="0" borderId="77" xfId="0" applyNumberFormat="1" applyFont="1" applyFill="1" applyBorder="1" applyAlignment="1" applyProtection="1">
      <alignment horizontal="left" vertical="center"/>
    </xf>
    <xf numFmtId="0" fontId="8" fillId="0" borderId="78" xfId="0" applyNumberFormat="1" applyFont="1" applyFill="1" applyBorder="1" applyAlignment="1" applyProtection="1">
      <alignment horizontal="left" vertical="center"/>
    </xf>
    <xf numFmtId="4" fontId="8" fillId="0" borderId="80" xfId="0" applyNumberFormat="1" applyFont="1" applyFill="1" applyBorder="1" applyAlignment="1" applyProtection="1">
      <alignment horizontal="right" vertical="center"/>
    </xf>
    <xf numFmtId="0" fontId="8" fillId="0" borderId="77" xfId="0" applyNumberFormat="1" applyFont="1" applyFill="1" applyBorder="1" applyAlignment="1" applyProtection="1">
      <alignment horizontal="right" vertical="center"/>
    </xf>
    <xf numFmtId="0" fontId="8" fillId="0" borderId="78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sqref="A1:I1"/>
    </sheetView>
  </sheetViews>
  <sheetFormatPr defaultColWidth="12.109375" defaultRowHeight="15" customHeight="1" x14ac:dyDescent="0.3"/>
  <cols>
    <col min="1" max="1" width="9.109375" customWidth="1"/>
    <col min="2" max="2" width="12.88671875" customWidth="1"/>
    <col min="3" max="3" width="27.109375" customWidth="1"/>
    <col min="4" max="4" width="10" customWidth="1"/>
    <col min="5" max="5" width="14" customWidth="1"/>
    <col min="6" max="6" width="27.109375" customWidth="1"/>
    <col min="7" max="7" width="9.109375" customWidth="1"/>
    <col min="8" max="8" width="12.88671875" customWidth="1"/>
    <col min="9" max="9" width="27.109375" customWidth="1"/>
  </cols>
  <sheetData>
    <row r="1" spans="1:9" ht="54.75" customHeight="1" x14ac:dyDescent="0.3">
      <c r="A1" s="101" t="s">
        <v>499</v>
      </c>
      <c r="B1" s="67"/>
      <c r="C1" s="67"/>
      <c r="D1" s="67"/>
      <c r="E1" s="67"/>
      <c r="F1" s="67"/>
      <c r="G1" s="67"/>
      <c r="H1" s="67"/>
      <c r="I1" s="67"/>
    </row>
    <row r="2" spans="1:9" ht="14.4" x14ac:dyDescent="0.3">
      <c r="A2" s="68" t="s">
        <v>1</v>
      </c>
      <c r="B2" s="69"/>
      <c r="C2" s="77" t="str">
        <f>'Stavební rozpočet'!C2</f>
        <v>Stavební úpravy bytového domu - část ZTI</v>
      </c>
      <c r="D2" s="78"/>
      <c r="E2" s="75" t="s">
        <v>5</v>
      </c>
      <c r="F2" s="75" t="str">
        <f>'Stavební rozpočet'!I2</f>
        <v>Město Bohumín, Masarykova158, 735 81 Bohumín</v>
      </c>
      <c r="G2" s="69"/>
      <c r="H2" s="75" t="s">
        <v>500</v>
      </c>
      <c r="I2" s="80" t="s">
        <v>501</v>
      </c>
    </row>
    <row r="3" spans="1:9" ht="15" customHeight="1" x14ac:dyDescent="0.3">
      <c r="A3" s="70"/>
      <c r="B3" s="71"/>
      <c r="C3" s="79"/>
      <c r="D3" s="79"/>
      <c r="E3" s="71"/>
      <c r="F3" s="71"/>
      <c r="G3" s="71"/>
      <c r="H3" s="71"/>
      <c r="I3" s="81"/>
    </row>
    <row r="4" spans="1:9" ht="14.4" x14ac:dyDescent="0.3">
      <c r="A4" s="72" t="s">
        <v>7</v>
      </c>
      <c r="B4" s="71"/>
      <c r="C4" s="76" t="str">
        <f>'Stavební rozpočet'!C4</f>
        <v>Budova pro bydlení</v>
      </c>
      <c r="D4" s="71"/>
      <c r="E4" s="76" t="s">
        <v>10</v>
      </c>
      <c r="F4" s="76" t="str">
        <f>'Stavební rozpočet'!I4</f>
        <v>Ing. Stanislav Wilczek</v>
      </c>
      <c r="G4" s="71"/>
      <c r="H4" s="76" t="s">
        <v>500</v>
      </c>
      <c r="I4" s="81" t="s">
        <v>502</v>
      </c>
    </row>
    <row r="5" spans="1:9" ht="15" customHeight="1" x14ac:dyDescent="0.3">
      <c r="A5" s="70"/>
      <c r="B5" s="71"/>
      <c r="C5" s="71"/>
      <c r="D5" s="71"/>
      <c r="E5" s="71"/>
      <c r="F5" s="71"/>
      <c r="G5" s="71"/>
      <c r="H5" s="71"/>
      <c r="I5" s="81"/>
    </row>
    <row r="6" spans="1:9" ht="14.4" x14ac:dyDescent="0.3">
      <c r="A6" s="72" t="s">
        <v>12</v>
      </c>
      <c r="B6" s="71"/>
      <c r="C6" s="76" t="str">
        <f>'Stavební rozpočet'!C6</f>
        <v>Partyzánská 302, Bohumín – Pudlov</v>
      </c>
      <c r="D6" s="71"/>
      <c r="E6" s="76" t="s">
        <v>15</v>
      </c>
      <c r="F6" s="76" t="str">
        <f>'Stavební rozpočet'!I6</f>
        <v> </v>
      </c>
      <c r="G6" s="71"/>
      <c r="H6" s="76" t="s">
        <v>500</v>
      </c>
      <c r="I6" s="81" t="s">
        <v>51</v>
      </c>
    </row>
    <row r="7" spans="1:9" ht="15" customHeight="1" x14ac:dyDescent="0.3">
      <c r="A7" s="70"/>
      <c r="B7" s="71"/>
      <c r="C7" s="71"/>
      <c r="D7" s="71"/>
      <c r="E7" s="71"/>
      <c r="F7" s="71"/>
      <c r="G7" s="71"/>
      <c r="H7" s="71"/>
      <c r="I7" s="81"/>
    </row>
    <row r="8" spans="1:9" ht="14.4" x14ac:dyDescent="0.3">
      <c r="A8" s="72" t="s">
        <v>9</v>
      </c>
      <c r="B8" s="71"/>
      <c r="C8" s="76">
        <f>'Stavební rozpočet'!G4</f>
        <v>0</v>
      </c>
      <c r="D8" s="71"/>
      <c r="E8" s="76" t="s">
        <v>14</v>
      </c>
      <c r="F8" s="76">
        <f>'Stavební rozpočet'!G6</f>
        <v>0</v>
      </c>
      <c r="G8" s="71"/>
      <c r="H8" s="71" t="s">
        <v>503</v>
      </c>
      <c r="I8" s="103">
        <v>133</v>
      </c>
    </row>
    <row r="9" spans="1:9" ht="14.4" x14ac:dyDescent="0.3">
      <c r="A9" s="70"/>
      <c r="B9" s="71"/>
      <c r="C9" s="71"/>
      <c r="D9" s="71"/>
      <c r="E9" s="71"/>
      <c r="F9" s="71"/>
      <c r="G9" s="71"/>
      <c r="H9" s="71"/>
      <c r="I9" s="81"/>
    </row>
    <row r="10" spans="1:9" ht="14.4" x14ac:dyDescent="0.3">
      <c r="A10" s="72" t="s">
        <v>17</v>
      </c>
      <c r="B10" s="71"/>
      <c r="C10" s="76" t="str">
        <f>'Stavební rozpočet'!C8</f>
        <v xml:space="preserve"> </v>
      </c>
      <c r="D10" s="71"/>
      <c r="E10" s="76" t="s">
        <v>21</v>
      </c>
      <c r="F10" s="76" t="str">
        <f>'Stavební rozpočet'!I8</f>
        <v>Ing. Stanislav Wilczek</v>
      </c>
      <c r="G10" s="71"/>
      <c r="H10" s="71" t="s">
        <v>504</v>
      </c>
      <c r="I10" s="104" t="str">
        <f>'Stavební rozpočet'!G8</f>
        <v>16.02.2025</v>
      </c>
    </row>
    <row r="11" spans="1:9" ht="14.4" x14ac:dyDescent="0.3">
      <c r="A11" s="102"/>
      <c r="B11" s="97"/>
      <c r="C11" s="97"/>
      <c r="D11" s="97"/>
      <c r="E11" s="97"/>
      <c r="F11" s="97"/>
      <c r="G11" s="97"/>
      <c r="H11" s="97"/>
      <c r="I11" s="105"/>
    </row>
    <row r="12" spans="1:9" ht="22.8" x14ac:dyDescent="0.3">
      <c r="A12" s="106" t="s">
        <v>505</v>
      </c>
      <c r="B12" s="106"/>
      <c r="C12" s="106"/>
      <c r="D12" s="106"/>
      <c r="E12" s="106"/>
      <c r="F12" s="106"/>
      <c r="G12" s="106"/>
      <c r="H12" s="106"/>
      <c r="I12" s="106"/>
    </row>
    <row r="13" spans="1:9" ht="26.25" customHeight="1" x14ac:dyDescent="0.3">
      <c r="A13" s="45" t="s">
        <v>506</v>
      </c>
      <c r="B13" s="107" t="s">
        <v>507</v>
      </c>
      <c r="C13" s="108"/>
      <c r="D13" s="46" t="s">
        <v>508</v>
      </c>
      <c r="E13" s="107" t="s">
        <v>509</v>
      </c>
      <c r="F13" s="108"/>
      <c r="G13" s="46" t="s">
        <v>510</v>
      </c>
      <c r="H13" s="107" t="s">
        <v>511</v>
      </c>
      <c r="I13" s="108"/>
    </row>
    <row r="14" spans="1:9" ht="15.6" x14ac:dyDescent="0.3">
      <c r="A14" s="47" t="s">
        <v>512</v>
      </c>
      <c r="B14" s="48" t="s">
        <v>513</v>
      </c>
      <c r="C14" s="49">
        <f>SUM('Stavební rozpočet'!AB12:AB158)</f>
        <v>0</v>
      </c>
      <c r="D14" s="115" t="s">
        <v>514</v>
      </c>
      <c r="E14" s="116"/>
      <c r="F14" s="49">
        <f>VORN!I15</f>
        <v>0</v>
      </c>
      <c r="G14" s="115" t="s">
        <v>515</v>
      </c>
      <c r="H14" s="116"/>
      <c r="I14" s="50">
        <f>VORN!I21</f>
        <v>0</v>
      </c>
    </row>
    <row r="15" spans="1:9" ht="15.6" x14ac:dyDescent="0.3">
      <c r="A15" s="51" t="s">
        <v>51</v>
      </c>
      <c r="B15" s="48" t="s">
        <v>36</v>
      </c>
      <c r="C15" s="49">
        <f>SUM('Stavební rozpočet'!AC12:AC158)</f>
        <v>0</v>
      </c>
      <c r="D15" s="115" t="s">
        <v>516</v>
      </c>
      <c r="E15" s="116"/>
      <c r="F15" s="49">
        <f>VORN!I16</f>
        <v>0</v>
      </c>
      <c r="G15" s="115" t="s">
        <v>517</v>
      </c>
      <c r="H15" s="116"/>
      <c r="I15" s="50">
        <f>VORN!I22</f>
        <v>0</v>
      </c>
    </row>
    <row r="16" spans="1:9" ht="15.6" x14ac:dyDescent="0.3">
      <c r="A16" s="47" t="s">
        <v>518</v>
      </c>
      <c r="B16" s="48" t="s">
        <v>513</v>
      </c>
      <c r="C16" s="49">
        <f>SUM('Stavební rozpočet'!AD12:AD158)</f>
        <v>0</v>
      </c>
      <c r="D16" s="115" t="s">
        <v>519</v>
      </c>
      <c r="E16" s="116"/>
      <c r="F16" s="49">
        <f>VORN!I17</f>
        <v>0</v>
      </c>
      <c r="G16" s="115" t="s">
        <v>520</v>
      </c>
      <c r="H16" s="116"/>
      <c r="I16" s="50">
        <f>VORN!I23</f>
        <v>0</v>
      </c>
    </row>
    <row r="17" spans="1:9" ht="15.6" x14ac:dyDescent="0.3">
      <c r="A17" s="51" t="s">
        <v>51</v>
      </c>
      <c r="B17" s="48" t="s">
        <v>36</v>
      </c>
      <c r="C17" s="49">
        <f>SUM('Stavební rozpočet'!AE12:AE158)</f>
        <v>0</v>
      </c>
      <c r="D17" s="115" t="s">
        <v>51</v>
      </c>
      <c r="E17" s="116"/>
      <c r="F17" s="50" t="s">
        <v>51</v>
      </c>
      <c r="G17" s="115" t="s">
        <v>521</v>
      </c>
      <c r="H17" s="116"/>
      <c r="I17" s="50">
        <f>VORN!I24</f>
        <v>0</v>
      </c>
    </row>
    <row r="18" spans="1:9" ht="15.6" x14ac:dyDescent="0.3">
      <c r="A18" s="47" t="s">
        <v>522</v>
      </c>
      <c r="B18" s="48" t="s">
        <v>513</v>
      </c>
      <c r="C18" s="49">
        <f>SUM('Stavební rozpočet'!AF12:AF158)</f>
        <v>0</v>
      </c>
      <c r="D18" s="115" t="s">
        <v>51</v>
      </c>
      <c r="E18" s="116"/>
      <c r="F18" s="50" t="s">
        <v>51</v>
      </c>
      <c r="G18" s="115" t="s">
        <v>523</v>
      </c>
      <c r="H18" s="116"/>
      <c r="I18" s="50">
        <f>VORN!I25</f>
        <v>0</v>
      </c>
    </row>
    <row r="19" spans="1:9" ht="15.6" x14ac:dyDescent="0.3">
      <c r="A19" s="51" t="s">
        <v>51</v>
      </c>
      <c r="B19" s="48" t="s">
        <v>36</v>
      </c>
      <c r="C19" s="49">
        <f>SUM('Stavební rozpočet'!AG12:AG158)</f>
        <v>0</v>
      </c>
      <c r="D19" s="115" t="s">
        <v>51</v>
      </c>
      <c r="E19" s="116"/>
      <c r="F19" s="50" t="s">
        <v>51</v>
      </c>
      <c r="G19" s="115" t="s">
        <v>524</v>
      </c>
      <c r="H19" s="116"/>
      <c r="I19" s="50">
        <f>VORN!I26</f>
        <v>0</v>
      </c>
    </row>
    <row r="20" spans="1:9" ht="15.6" x14ac:dyDescent="0.3">
      <c r="A20" s="109" t="s">
        <v>525</v>
      </c>
      <c r="B20" s="110"/>
      <c r="C20" s="49">
        <f>SUM('Stavební rozpočet'!AH12:AH158)</f>
        <v>0</v>
      </c>
      <c r="D20" s="115" t="s">
        <v>51</v>
      </c>
      <c r="E20" s="116"/>
      <c r="F20" s="50" t="s">
        <v>51</v>
      </c>
      <c r="G20" s="115" t="s">
        <v>51</v>
      </c>
      <c r="H20" s="116"/>
      <c r="I20" s="50" t="s">
        <v>51</v>
      </c>
    </row>
    <row r="21" spans="1:9" ht="15.6" x14ac:dyDescent="0.3">
      <c r="A21" s="111" t="s">
        <v>526</v>
      </c>
      <c r="B21" s="112"/>
      <c r="C21" s="52">
        <f>SUM('Stavební rozpočet'!Z12:Z158)</f>
        <v>0</v>
      </c>
      <c r="D21" s="117" t="s">
        <v>51</v>
      </c>
      <c r="E21" s="118"/>
      <c r="F21" s="53" t="s">
        <v>51</v>
      </c>
      <c r="G21" s="117" t="s">
        <v>51</v>
      </c>
      <c r="H21" s="118"/>
      <c r="I21" s="53" t="s">
        <v>51</v>
      </c>
    </row>
    <row r="22" spans="1:9" ht="16.5" customHeight="1" x14ac:dyDescent="0.3">
      <c r="A22" s="113" t="s">
        <v>527</v>
      </c>
      <c r="B22" s="114"/>
      <c r="C22" s="54">
        <f>ROUND(SUM(C14:C21),0)</f>
        <v>0</v>
      </c>
      <c r="D22" s="119" t="s">
        <v>528</v>
      </c>
      <c r="E22" s="114"/>
      <c r="F22" s="54">
        <f>SUM(F14:F21)</f>
        <v>0</v>
      </c>
      <c r="G22" s="119" t="s">
        <v>529</v>
      </c>
      <c r="H22" s="114"/>
      <c r="I22" s="54">
        <f>SUM(I14:I21)</f>
        <v>0</v>
      </c>
    </row>
    <row r="23" spans="1:9" ht="15.6" x14ac:dyDescent="0.3">
      <c r="D23" s="109" t="s">
        <v>530</v>
      </c>
      <c r="E23" s="110"/>
      <c r="F23" s="55">
        <v>0</v>
      </c>
      <c r="G23" s="120" t="s">
        <v>531</v>
      </c>
      <c r="H23" s="110"/>
      <c r="I23" s="49">
        <v>0</v>
      </c>
    </row>
    <row r="24" spans="1:9" ht="15.6" x14ac:dyDescent="0.3">
      <c r="G24" s="109" t="s">
        <v>532</v>
      </c>
      <c r="H24" s="110"/>
      <c r="I24" s="52">
        <f>vorn_sum</f>
        <v>0</v>
      </c>
    </row>
    <row r="25" spans="1:9" ht="15.6" x14ac:dyDescent="0.3">
      <c r="G25" s="109" t="s">
        <v>533</v>
      </c>
      <c r="H25" s="110"/>
      <c r="I25" s="54">
        <v>0</v>
      </c>
    </row>
    <row r="27" spans="1:9" ht="15.6" x14ac:dyDescent="0.3">
      <c r="A27" s="121" t="s">
        <v>534</v>
      </c>
      <c r="B27" s="122"/>
      <c r="C27" s="56">
        <f>ROUND(SUM('Stavební rozpočet'!AJ12:AJ158),0)</f>
        <v>0</v>
      </c>
    </row>
    <row r="28" spans="1:9" ht="15.6" x14ac:dyDescent="0.3">
      <c r="A28" s="123" t="s">
        <v>535</v>
      </c>
      <c r="B28" s="124"/>
      <c r="C28" s="57">
        <f>ROUND(SUM('Stavební rozpočet'!AK12:AK158)+(F22+I22+F23+I23+I24+I25),0)</f>
        <v>0</v>
      </c>
      <c r="D28" s="125" t="s">
        <v>536</v>
      </c>
      <c r="E28" s="122"/>
      <c r="F28" s="56">
        <f>ROUND(C28*(12/100),2)</f>
        <v>0</v>
      </c>
      <c r="G28" s="125" t="s">
        <v>537</v>
      </c>
      <c r="H28" s="122"/>
      <c r="I28" s="56">
        <f>ROUND(SUM(C27:C29),0)</f>
        <v>0</v>
      </c>
    </row>
    <row r="29" spans="1:9" ht="15.6" x14ac:dyDescent="0.3">
      <c r="A29" s="123" t="s">
        <v>538</v>
      </c>
      <c r="B29" s="124"/>
      <c r="C29" s="57">
        <f>ROUND(SUM('Stavební rozpočet'!AL12:AL158),0)</f>
        <v>0</v>
      </c>
      <c r="D29" s="126" t="s">
        <v>539</v>
      </c>
      <c r="E29" s="124"/>
      <c r="F29" s="57">
        <f>ROUND(C29*(21/100),2)</f>
        <v>0</v>
      </c>
      <c r="G29" s="126" t="s">
        <v>540</v>
      </c>
      <c r="H29" s="124"/>
      <c r="I29" s="57">
        <f>ROUND(SUM(F28:F29)+I28,0)</f>
        <v>0</v>
      </c>
    </row>
    <row r="31" spans="1:9" x14ac:dyDescent="0.3">
      <c r="A31" s="127" t="s">
        <v>541</v>
      </c>
      <c r="B31" s="128"/>
      <c r="C31" s="129"/>
      <c r="D31" s="136" t="s">
        <v>542</v>
      </c>
      <c r="E31" s="128"/>
      <c r="F31" s="129"/>
      <c r="G31" s="136" t="s">
        <v>543</v>
      </c>
      <c r="H31" s="128"/>
      <c r="I31" s="129"/>
    </row>
    <row r="32" spans="1:9" x14ac:dyDescent="0.3">
      <c r="A32" s="130" t="s">
        <v>51</v>
      </c>
      <c r="B32" s="131"/>
      <c r="C32" s="132"/>
      <c r="D32" s="137" t="s">
        <v>51</v>
      </c>
      <c r="E32" s="131"/>
      <c r="F32" s="132"/>
      <c r="G32" s="137" t="s">
        <v>51</v>
      </c>
      <c r="H32" s="131"/>
      <c r="I32" s="132"/>
    </row>
    <row r="33" spans="1:9" x14ac:dyDescent="0.3">
      <c r="A33" s="130" t="s">
        <v>51</v>
      </c>
      <c r="B33" s="131"/>
      <c r="C33" s="132"/>
      <c r="D33" s="137" t="s">
        <v>51</v>
      </c>
      <c r="E33" s="131"/>
      <c r="F33" s="132"/>
      <c r="G33" s="137" t="s">
        <v>51</v>
      </c>
      <c r="H33" s="131"/>
      <c r="I33" s="132"/>
    </row>
    <row r="34" spans="1:9" x14ac:dyDescent="0.3">
      <c r="A34" s="130" t="s">
        <v>51</v>
      </c>
      <c r="B34" s="131"/>
      <c r="C34" s="132"/>
      <c r="D34" s="137" t="s">
        <v>51</v>
      </c>
      <c r="E34" s="131"/>
      <c r="F34" s="132"/>
      <c r="G34" s="137" t="s">
        <v>51</v>
      </c>
      <c r="H34" s="131"/>
      <c r="I34" s="132"/>
    </row>
    <row r="35" spans="1:9" x14ac:dyDescent="0.3">
      <c r="A35" s="133" t="s">
        <v>544</v>
      </c>
      <c r="B35" s="134"/>
      <c r="C35" s="135"/>
      <c r="D35" s="138" t="s">
        <v>544</v>
      </c>
      <c r="E35" s="134"/>
      <c r="F35" s="135"/>
      <c r="G35" s="138" t="s">
        <v>544</v>
      </c>
      <c r="H35" s="134"/>
      <c r="I35" s="135"/>
    </row>
    <row r="36" spans="1:9" ht="14.4" x14ac:dyDescent="0.3">
      <c r="A36" s="58" t="s">
        <v>494</v>
      </c>
    </row>
    <row r="37" spans="1:9" ht="13.5" customHeight="1" x14ac:dyDescent="0.3">
      <c r="A37" s="76" t="s">
        <v>495</v>
      </c>
      <c r="B37" s="71"/>
      <c r="C37" s="71"/>
      <c r="D37" s="71"/>
      <c r="E37" s="71"/>
      <c r="F37" s="71"/>
      <c r="G37" s="71"/>
      <c r="H37" s="71"/>
      <c r="I37" s="71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161"/>
  <sheetViews>
    <sheetView workbookViewId="0">
      <pane ySplit="11" topLeftCell="A12" activePane="bottomLeft" state="frozen"/>
      <selection pane="bottomLeft" sqref="A1:L1"/>
    </sheetView>
  </sheetViews>
  <sheetFormatPr defaultColWidth="12.109375" defaultRowHeight="15" customHeight="1" x14ac:dyDescent="0.3"/>
  <cols>
    <col min="1" max="1" width="4" customWidth="1"/>
    <col min="2" max="2" width="17.88671875" customWidth="1"/>
    <col min="3" max="3" width="42.88671875" customWidth="1"/>
    <col min="4" max="4" width="35.6640625" customWidth="1"/>
    <col min="5" max="5" width="8" customWidth="1"/>
    <col min="6" max="6" width="12.88671875" customWidth="1"/>
    <col min="7" max="7" width="12" customWidth="1"/>
    <col min="8" max="10" width="15.6640625" customWidth="1"/>
    <col min="11" max="12" width="11.6640625" customWidth="1"/>
    <col min="25" max="75" width="12.109375" hidden="1"/>
    <col min="76" max="76" width="78.5546875" hidden="1" customWidth="1"/>
    <col min="77" max="78" width="12.109375" hidden="1"/>
  </cols>
  <sheetData>
    <row r="1" spans="1:76" ht="54.75" customHeigh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4" x14ac:dyDescent="0.3">
      <c r="A2" s="68" t="s">
        <v>1</v>
      </c>
      <c r="B2" s="69"/>
      <c r="C2" s="77" t="s">
        <v>2</v>
      </c>
      <c r="D2" s="78"/>
      <c r="E2" s="69" t="s">
        <v>3</v>
      </c>
      <c r="F2" s="69"/>
      <c r="G2" s="69" t="s">
        <v>4</v>
      </c>
      <c r="H2" s="75" t="s">
        <v>5</v>
      </c>
      <c r="I2" s="75" t="s">
        <v>6</v>
      </c>
      <c r="J2" s="69"/>
      <c r="K2" s="69"/>
      <c r="L2" s="80"/>
    </row>
    <row r="3" spans="1:76" ht="14.4" x14ac:dyDescent="0.3">
      <c r="A3" s="70"/>
      <c r="B3" s="71"/>
      <c r="C3" s="79"/>
      <c r="D3" s="79"/>
      <c r="E3" s="71"/>
      <c r="F3" s="71"/>
      <c r="G3" s="71"/>
      <c r="H3" s="71"/>
      <c r="I3" s="71"/>
      <c r="J3" s="71"/>
      <c r="K3" s="71"/>
      <c r="L3" s="81"/>
    </row>
    <row r="4" spans="1:76" ht="14.4" x14ac:dyDescent="0.3">
      <c r="A4" s="72" t="s">
        <v>7</v>
      </c>
      <c r="B4" s="71"/>
      <c r="C4" s="76" t="s">
        <v>8</v>
      </c>
      <c r="D4" s="71"/>
      <c r="E4" s="71" t="s">
        <v>9</v>
      </c>
      <c r="F4" s="71"/>
      <c r="G4" s="71"/>
      <c r="H4" s="76" t="s">
        <v>10</v>
      </c>
      <c r="I4" s="76" t="s">
        <v>11</v>
      </c>
      <c r="J4" s="71"/>
      <c r="K4" s="71"/>
      <c r="L4" s="81"/>
    </row>
    <row r="5" spans="1:76" ht="14.4" x14ac:dyDescent="0.3">
      <c r="A5" s="70"/>
      <c r="B5" s="71"/>
      <c r="C5" s="71"/>
      <c r="D5" s="71"/>
      <c r="E5" s="71"/>
      <c r="F5" s="71"/>
      <c r="G5" s="71"/>
      <c r="H5" s="71"/>
      <c r="I5" s="71"/>
      <c r="J5" s="71"/>
      <c r="K5" s="71"/>
      <c r="L5" s="81"/>
    </row>
    <row r="6" spans="1:76" ht="14.4" x14ac:dyDescent="0.3">
      <c r="A6" s="72" t="s">
        <v>12</v>
      </c>
      <c r="B6" s="71"/>
      <c r="C6" s="76" t="s">
        <v>13</v>
      </c>
      <c r="D6" s="71"/>
      <c r="E6" s="71" t="s">
        <v>14</v>
      </c>
      <c r="F6" s="71"/>
      <c r="G6" s="71"/>
      <c r="H6" s="76" t="s">
        <v>15</v>
      </c>
      <c r="I6" s="71" t="s">
        <v>16</v>
      </c>
      <c r="J6" s="71"/>
      <c r="K6" s="71"/>
      <c r="L6" s="81"/>
    </row>
    <row r="7" spans="1:76" ht="14.4" x14ac:dyDescent="0.3">
      <c r="A7" s="70"/>
      <c r="B7" s="71"/>
      <c r="C7" s="71"/>
      <c r="D7" s="71"/>
      <c r="E7" s="71"/>
      <c r="F7" s="71"/>
      <c r="G7" s="71"/>
      <c r="H7" s="71"/>
      <c r="I7" s="71"/>
      <c r="J7" s="71"/>
      <c r="K7" s="71"/>
      <c r="L7" s="81"/>
    </row>
    <row r="8" spans="1:76" ht="14.4" x14ac:dyDescent="0.3">
      <c r="A8" s="72" t="s">
        <v>17</v>
      </c>
      <c r="B8" s="71"/>
      <c r="C8" s="76" t="s">
        <v>18</v>
      </c>
      <c r="D8" s="71"/>
      <c r="E8" s="71" t="s">
        <v>19</v>
      </c>
      <c r="F8" s="71"/>
      <c r="G8" s="71" t="s">
        <v>20</v>
      </c>
      <c r="H8" s="76" t="s">
        <v>21</v>
      </c>
      <c r="I8" s="76" t="s">
        <v>11</v>
      </c>
      <c r="J8" s="71"/>
      <c r="K8" s="71"/>
      <c r="L8" s="81"/>
    </row>
    <row r="9" spans="1:76" ht="14.4" x14ac:dyDescent="0.3">
      <c r="A9" s="73"/>
      <c r="B9" s="74"/>
      <c r="C9" s="74"/>
      <c r="D9" s="74"/>
      <c r="E9" s="74"/>
      <c r="F9" s="74"/>
      <c r="G9" s="74"/>
      <c r="H9" s="74"/>
      <c r="I9" s="74"/>
      <c r="J9" s="74"/>
      <c r="K9" s="74"/>
      <c r="L9" s="82"/>
    </row>
    <row r="10" spans="1:76" ht="14.4" x14ac:dyDescent="0.3">
      <c r="A10" s="5" t="s">
        <v>22</v>
      </c>
      <c r="B10" s="6" t="s">
        <v>23</v>
      </c>
      <c r="C10" s="83" t="s">
        <v>24</v>
      </c>
      <c r="D10" s="84"/>
      <c r="E10" s="6" t="s">
        <v>25</v>
      </c>
      <c r="F10" s="7" t="s">
        <v>26</v>
      </c>
      <c r="G10" s="8" t="s">
        <v>27</v>
      </c>
      <c r="H10" s="87" t="s">
        <v>28</v>
      </c>
      <c r="I10" s="88"/>
      <c r="J10" s="89"/>
      <c r="K10" s="90" t="s">
        <v>29</v>
      </c>
      <c r="L10" s="91"/>
      <c r="BK10" s="9" t="s">
        <v>30</v>
      </c>
      <c r="BL10" s="10" t="s">
        <v>31</v>
      </c>
      <c r="BW10" s="10" t="s">
        <v>32</v>
      </c>
    </row>
    <row r="11" spans="1:76" ht="14.4" x14ac:dyDescent="0.3">
      <c r="A11" s="11" t="s">
        <v>18</v>
      </c>
      <c r="B11" s="12" t="s">
        <v>18</v>
      </c>
      <c r="C11" s="85" t="s">
        <v>33</v>
      </c>
      <c r="D11" s="86"/>
      <c r="E11" s="12" t="s">
        <v>18</v>
      </c>
      <c r="F11" s="12" t="s">
        <v>18</v>
      </c>
      <c r="G11" s="13" t="s">
        <v>34</v>
      </c>
      <c r="H11" s="14" t="s">
        <v>35</v>
      </c>
      <c r="I11" s="15" t="s">
        <v>36</v>
      </c>
      <c r="J11" s="16" t="s">
        <v>37</v>
      </c>
      <c r="K11" s="17" t="s">
        <v>38</v>
      </c>
      <c r="L11" s="15" t="s">
        <v>37</v>
      </c>
      <c r="Z11" s="9" t="s">
        <v>39</v>
      </c>
      <c r="AA11" s="9" t="s">
        <v>40</v>
      </c>
      <c r="AB11" s="9" t="s">
        <v>41</v>
      </c>
      <c r="AC11" s="9" t="s">
        <v>42</v>
      </c>
      <c r="AD11" s="9" t="s">
        <v>43</v>
      </c>
      <c r="AE11" s="9" t="s">
        <v>44</v>
      </c>
      <c r="AF11" s="9" t="s">
        <v>45</v>
      </c>
      <c r="AG11" s="9" t="s">
        <v>46</v>
      </c>
      <c r="AH11" s="9" t="s">
        <v>47</v>
      </c>
      <c r="BH11" s="9" t="s">
        <v>48</v>
      </c>
      <c r="BI11" s="9" t="s">
        <v>49</v>
      </c>
      <c r="BJ11" s="9" t="s">
        <v>50</v>
      </c>
    </row>
    <row r="12" spans="1:76" ht="14.4" x14ac:dyDescent="0.3">
      <c r="A12" s="18" t="s">
        <v>51</v>
      </c>
      <c r="B12" s="19" t="s">
        <v>52</v>
      </c>
      <c r="C12" s="92" t="s">
        <v>53</v>
      </c>
      <c r="D12" s="93"/>
      <c r="E12" s="20" t="s">
        <v>18</v>
      </c>
      <c r="F12" s="20" t="s">
        <v>18</v>
      </c>
      <c r="G12" s="20" t="s">
        <v>18</v>
      </c>
      <c r="H12" s="21">
        <f>SUM(H13:H13)</f>
        <v>0</v>
      </c>
      <c r="I12" s="21">
        <f>SUM(I13:I13)</f>
        <v>0</v>
      </c>
      <c r="J12" s="21">
        <f>SUM(J13:J13)</f>
        <v>0</v>
      </c>
      <c r="K12" s="22" t="s">
        <v>51</v>
      </c>
      <c r="L12" s="23">
        <f>SUM(L13:L13)</f>
        <v>3.8940000000000002E-2</v>
      </c>
      <c r="AI12" s="9" t="s">
        <v>51</v>
      </c>
      <c r="AS12" s="1">
        <f>SUM(AJ13:AJ13)</f>
        <v>0</v>
      </c>
      <c r="AT12" s="1">
        <f>SUM(AK13:AK13)</f>
        <v>0</v>
      </c>
      <c r="AU12" s="1">
        <f>SUM(AL13:AL13)</f>
        <v>0</v>
      </c>
    </row>
    <row r="13" spans="1:76" ht="14.4" x14ac:dyDescent="0.3">
      <c r="A13" s="2" t="s">
        <v>54</v>
      </c>
      <c r="B13" s="3" t="s">
        <v>55</v>
      </c>
      <c r="C13" s="76" t="s">
        <v>56</v>
      </c>
      <c r="D13" s="71"/>
      <c r="E13" s="3" t="s">
        <v>57</v>
      </c>
      <c r="F13" s="24">
        <v>6</v>
      </c>
      <c r="G13" s="24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4">
        <v>6.4900000000000001E-3</v>
      </c>
      <c r="L13" s="25">
        <f>F13*K13</f>
        <v>3.8940000000000002E-2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9" t="s">
        <v>51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12</v>
      </c>
      <c r="AO13" s="24">
        <f>G13*0.17671875</f>
        <v>0</v>
      </c>
      <c r="AP13" s="24">
        <f>G13*(1-0.17671875)</f>
        <v>0</v>
      </c>
      <c r="AQ13" s="26" t="s">
        <v>54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58</v>
      </c>
      <c r="AZ13" s="26" t="s">
        <v>59</v>
      </c>
      <c r="BA13" s="9" t="s">
        <v>60</v>
      </c>
      <c r="BC13" s="24">
        <f>AW13+AX13</f>
        <v>0</v>
      </c>
      <c r="BD13" s="24">
        <f>G13/(100-BE13)*100</f>
        <v>0</v>
      </c>
      <c r="BE13" s="24">
        <v>0</v>
      </c>
      <c r="BF13" s="24">
        <f>L13</f>
        <v>3.8940000000000002E-2</v>
      </c>
      <c r="BH13" s="24">
        <f>F13*AO13</f>
        <v>0</v>
      </c>
      <c r="BI13" s="24">
        <f>F13*AP13</f>
        <v>0</v>
      </c>
      <c r="BJ13" s="24">
        <f>F13*G13</f>
        <v>0</v>
      </c>
      <c r="BK13" s="24"/>
      <c r="BL13" s="24">
        <v>61</v>
      </c>
      <c r="BW13" s="24">
        <v>12</v>
      </c>
      <c r="BX13" s="4" t="s">
        <v>56</v>
      </c>
    </row>
    <row r="14" spans="1:76" ht="14.4" x14ac:dyDescent="0.3">
      <c r="A14" s="27" t="s">
        <v>51</v>
      </c>
      <c r="B14" s="28" t="s">
        <v>61</v>
      </c>
      <c r="C14" s="94" t="s">
        <v>62</v>
      </c>
      <c r="D14" s="95"/>
      <c r="E14" s="29" t="s">
        <v>18</v>
      </c>
      <c r="F14" s="29" t="s">
        <v>18</v>
      </c>
      <c r="G14" s="29" t="s">
        <v>18</v>
      </c>
      <c r="H14" s="1">
        <f>SUM(H15:H43)</f>
        <v>0</v>
      </c>
      <c r="I14" s="1">
        <f>SUM(I15:I43)</f>
        <v>0</v>
      </c>
      <c r="J14" s="1">
        <f>SUM(J15:J43)</f>
        <v>0</v>
      </c>
      <c r="K14" s="9" t="s">
        <v>51</v>
      </c>
      <c r="L14" s="30">
        <f>SUM(L15:L43)</f>
        <v>0.79943999999999971</v>
      </c>
      <c r="AI14" s="9" t="s">
        <v>51</v>
      </c>
      <c r="AS14" s="1">
        <f>SUM(AJ15:AJ43)</f>
        <v>0</v>
      </c>
      <c r="AT14" s="1">
        <f>SUM(AK15:AK43)</f>
        <v>0</v>
      </c>
      <c r="AU14" s="1">
        <f>SUM(AL15:AL43)</f>
        <v>0</v>
      </c>
    </row>
    <row r="15" spans="1:76" ht="14.4" x14ac:dyDescent="0.3">
      <c r="A15" s="2" t="s">
        <v>63</v>
      </c>
      <c r="B15" s="3" t="s">
        <v>64</v>
      </c>
      <c r="C15" s="76" t="s">
        <v>65</v>
      </c>
      <c r="D15" s="71"/>
      <c r="E15" s="3" t="s">
        <v>57</v>
      </c>
      <c r="F15" s="24">
        <v>1</v>
      </c>
      <c r="G15" s="24">
        <v>0</v>
      </c>
      <c r="H15" s="24">
        <f t="shared" ref="H15:H43" si="0">ROUND(F15*AO15,2)</f>
        <v>0</v>
      </c>
      <c r="I15" s="24">
        <f t="shared" ref="I15:I43" si="1">ROUND(F15*AP15,2)</f>
        <v>0</v>
      </c>
      <c r="J15" s="24">
        <f t="shared" ref="J15:J43" si="2">ROUND(F15*G15,2)</f>
        <v>0</v>
      </c>
      <c r="K15" s="24">
        <v>0</v>
      </c>
      <c r="L15" s="25">
        <f t="shared" ref="L15:L43" si="3">F15*K15</f>
        <v>0</v>
      </c>
      <c r="Z15" s="24">
        <f t="shared" ref="Z15:Z43" si="4">ROUND(IF(AQ15="5",BJ15,0),2)</f>
        <v>0</v>
      </c>
      <c r="AB15" s="24">
        <f t="shared" ref="AB15:AB43" si="5">ROUND(IF(AQ15="1",BH15,0),2)</f>
        <v>0</v>
      </c>
      <c r="AC15" s="24">
        <f t="shared" ref="AC15:AC43" si="6">ROUND(IF(AQ15="1",BI15,0),2)</f>
        <v>0</v>
      </c>
      <c r="AD15" s="24">
        <f t="shared" ref="AD15:AD43" si="7">ROUND(IF(AQ15="7",BH15,0),2)</f>
        <v>0</v>
      </c>
      <c r="AE15" s="24">
        <f t="shared" ref="AE15:AE43" si="8">ROUND(IF(AQ15="7",BI15,0),2)</f>
        <v>0</v>
      </c>
      <c r="AF15" s="24">
        <f t="shared" ref="AF15:AF43" si="9">ROUND(IF(AQ15="2",BH15,0),2)</f>
        <v>0</v>
      </c>
      <c r="AG15" s="24">
        <f t="shared" ref="AG15:AG43" si="10">ROUND(IF(AQ15="2",BI15,0),2)</f>
        <v>0</v>
      </c>
      <c r="AH15" s="24">
        <f t="shared" ref="AH15:AH43" si="11">ROUND(IF(AQ15="0",BJ15,0),2)</f>
        <v>0</v>
      </c>
      <c r="AI15" s="9" t="s">
        <v>51</v>
      </c>
      <c r="AJ15" s="24">
        <f t="shared" ref="AJ15:AJ43" si="12">IF(AN15=0,J15,0)</f>
        <v>0</v>
      </c>
      <c r="AK15" s="24">
        <f t="shared" ref="AK15:AK43" si="13">IF(AN15=12,J15,0)</f>
        <v>0</v>
      </c>
      <c r="AL15" s="24">
        <f t="shared" ref="AL15:AL43" si="14">IF(AN15=21,J15,0)</f>
        <v>0</v>
      </c>
      <c r="AN15" s="24">
        <v>12</v>
      </c>
      <c r="AO15" s="24">
        <f>G15*0</f>
        <v>0</v>
      </c>
      <c r="AP15" s="24">
        <f>G15*(1-0)</f>
        <v>0</v>
      </c>
      <c r="AQ15" s="26" t="s">
        <v>66</v>
      </c>
      <c r="AV15" s="24">
        <f t="shared" ref="AV15:AV43" si="15">ROUND(AW15+AX15,2)</f>
        <v>0</v>
      </c>
      <c r="AW15" s="24">
        <f t="shared" ref="AW15:AW43" si="16">ROUND(F15*AO15,2)</f>
        <v>0</v>
      </c>
      <c r="AX15" s="24">
        <f t="shared" ref="AX15:AX43" si="17">ROUND(F15*AP15,2)</f>
        <v>0</v>
      </c>
      <c r="AY15" s="26" t="s">
        <v>67</v>
      </c>
      <c r="AZ15" s="26" t="s">
        <v>68</v>
      </c>
      <c r="BA15" s="9" t="s">
        <v>60</v>
      </c>
      <c r="BC15" s="24">
        <f t="shared" ref="BC15:BC43" si="18">AW15+AX15</f>
        <v>0</v>
      </c>
      <c r="BD15" s="24">
        <f t="shared" ref="BD15:BD43" si="19">G15/(100-BE15)*100</f>
        <v>0</v>
      </c>
      <c r="BE15" s="24">
        <v>0</v>
      </c>
      <c r="BF15" s="24">
        <f t="shared" ref="BF15:BF43" si="20">L15</f>
        <v>0</v>
      </c>
      <c r="BH15" s="24">
        <f t="shared" ref="BH15:BH43" si="21">F15*AO15</f>
        <v>0</v>
      </c>
      <c r="BI15" s="24">
        <f t="shared" ref="BI15:BI43" si="22">F15*AP15</f>
        <v>0</v>
      </c>
      <c r="BJ15" s="24">
        <f t="shared" ref="BJ15:BJ43" si="23">F15*G15</f>
        <v>0</v>
      </c>
      <c r="BK15" s="24"/>
      <c r="BL15" s="24">
        <v>721</v>
      </c>
      <c r="BW15" s="24">
        <v>12</v>
      </c>
      <c r="BX15" s="4" t="s">
        <v>65</v>
      </c>
    </row>
    <row r="16" spans="1:76" ht="14.4" x14ac:dyDescent="0.3">
      <c r="A16" s="2" t="s">
        <v>69</v>
      </c>
      <c r="B16" s="3" t="s">
        <v>70</v>
      </c>
      <c r="C16" s="76" t="s">
        <v>71</v>
      </c>
      <c r="D16" s="71"/>
      <c r="E16" s="3" t="s">
        <v>57</v>
      </c>
      <c r="F16" s="24">
        <v>1</v>
      </c>
      <c r="G16" s="24">
        <v>0</v>
      </c>
      <c r="H16" s="24">
        <f t="shared" si="0"/>
        <v>0</v>
      </c>
      <c r="I16" s="24">
        <f t="shared" si="1"/>
        <v>0</v>
      </c>
      <c r="J16" s="24">
        <f t="shared" si="2"/>
        <v>0</v>
      </c>
      <c r="K16" s="24">
        <v>3.8000000000000002E-4</v>
      </c>
      <c r="L16" s="25">
        <f t="shared" si="3"/>
        <v>3.8000000000000002E-4</v>
      </c>
      <c r="Z16" s="24">
        <f t="shared" si="4"/>
        <v>0</v>
      </c>
      <c r="AB16" s="24">
        <f t="shared" si="5"/>
        <v>0</v>
      </c>
      <c r="AC16" s="24">
        <f t="shared" si="6"/>
        <v>0</v>
      </c>
      <c r="AD16" s="24">
        <f t="shared" si="7"/>
        <v>0</v>
      </c>
      <c r="AE16" s="24">
        <f t="shared" si="8"/>
        <v>0</v>
      </c>
      <c r="AF16" s="24">
        <f t="shared" si="9"/>
        <v>0</v>
      </c>
      <c r="AG16" s="24">
        <f t="shared" si="10"/>
        <v>0</v>
      </c>
      <c r="AH16" s="24">
        <f t="shared" si="11"/>
        <v>0</v>
      </c>
      <c r="AI16" s="9" t="s">
        <v>51</v>
      </c>
      <c r="AJ16" s="24">
        <f t="shared" si="12"/>
        <v>0</v>
      </c>
      <c r="AK16" s="24">
        <f t="shared" si="13"/>
        <v>0</v>
      </c>
      <c r="AL16" s="24">
        <f t="shared" si="14"/>
        <v>0</v>
      </c>
      <c r="AN16" s="24">
        <v>12</v>
      </c>
      <c r="AO16" s="24">
        <f>G16*1</f>
        <v>0</v>
      </c>
      <c r="AP16" s="24">
        <f>G16*(1-1)</f>
        <v>0</v>
      </c>
      <c r="AQ16" s="26" t="s">
        <v>66</v>
      </c>
      <c r="AV16" s="24">
        <f t="shared" si="15"/>
        <v>0</v>
      </c>
      <c r="AW16" s="24">
        <f t="shared" si="16"/>
        <v>0</v>
      </c>
      <c r="AX16" s="24">
        <f t="shared" si="17"/>
        <v>0</v>
      </c>
      <c r="AY16" s="26" t="s">
        <v>67</v>
      </c>
      <c r="AZ16" s="26" t="s">
        <v>68</v>
      </c>
      <c r="BA16" s="9" t="s">
        <v>60</v>
      </c>
      <c r="BC16" s="24">
        <f t="shared" si="18"/>
        <v>0</v>
      </c>
      <c r="BD16" s="24">
        <f t="shared" si="19"/>
        <v>0</v>
      </c>
      <c r="BE16" s="24">
        <v>0</v>
      </c>
      <c r="BF16" s="24">
        <f t="shared" si="20"/>
        <v>3.8000000000000002E-4</v>
      </c>
      <c r="BH16" s="24">
        <f t="shared" si="21"/>
        <v>0</v>
      </c>
      <c r="BI16" s="24">
        <f t="shared" si="22"/>
        <v>0</v>
      </c>
      <c r="BJ16" s="24">
        <f t="shared" si="23"/>
        <v>0</v>
      </c>
      <c r="BK16" s="24"/>
      <c r="BL16" s="24">
        <v>721</v>
      </c>
      <c r="BW16" s="24">
        <v>12</v>
      </c>
      <c r="BX16" s="4" t="s">
        <v>71</v>
      </c>
    </row>
    <row r="17" spans="1:76" ht="14.4" x14ac:dyDescent="0.3">
      <c r="A17" s="2" t="s">
        <v>72</v>
      </c>
      <c r="B17" s="3" t="s">
        <v>73</v>
      </c>
      <c r="C17" s="76" t="s">
        <v>74</v>
      </c>
      <c r="D17" s="71"/>
      <c r="E17" s="3" t="s">
        <v>75</v>
      </c>
      <c r="F17" s="24">
        <v>40</v>
      </c>
      <c r="G17" s="24">
        <v>0</v>
      </c>
      <c r="H17" s="24">
        <f t="shared" si="0"/>
        <v>0</v>
      </c>
      <c r="I17" s="24">
        <f t="shared" si="1"/>
        <v>0</v>
      </c>
      <c r="J17" s="24">
        <f t="shared" si="2"/>
        <v>0</v>
      </c>
      <c r="K17" s="24">
        <v>1.4919999999999999E-2</v>
      </c>
      <c r="L17" s="25">
        <f t="shared" si="3"/>
        <v>0.5968</v>
      </c>
      <c r="Z17" s="24">
        <f t="shared" si="4"/>
        <v>0</v>
      </c>
      <c r="AB17" s="24">
        <f t="shared" si="5"/>
        <v>0</v>
      </c>
      <c r="AC17" s="24">
        <f t="shared" si="6"/>
        <v>0</v>
      </c>
      <c r="AD17" s="24">
        <f t="shared" si="7"/>
        <v>0</v>
      </c>
      <c r="AE17" s="24">
        <f t="shared" si="8"/>
        <v>0</v>
      </c>
      <c r="AF17" s="24">
        <f t="shared" si="9"/>
        <v>0</v>
      </c>
      <c r="AG17" s="24">
        <f t="shared" si="10"/>
        <v>0</v>
      </c>
      <c r="AH17" s="24">
        <f t="shared" si="11"/>
        <v>0</v>
      </c>
      <c r="AI17" s="9" t="s">
        <v>51</v>
      </c>
      <c r="AJ17" s="24">
        <f t="shared" si="12"/>
        <v>0</v>
      </c>
      <c r="AK17" s="24">
        <f t="shared" si="13"/>
        <v>0</v>
      </c>
      <c r="AL17" s="24">
        <f t="shared" si="14"/>
        <v>0</v>
      </c>
      <c r="AN17" s="24">
        <v>12</v>
      </c>
      <c r="AO17" s="24">
        <f>G17*0</f>
        <v>0</v>
      </c>
      <c r="AP17" s="24">
        <f>G17*(1-0)</f>
        <v>0</v>
      </c>
      <c r="AQ17" s="26" t="s">
        <v>66</v>
      </c>
      <c r="AV17" s="24">
        <f t="shared" si="15"/>
        <v>0</v>
      </c>
      <c r="AW17" s="24">
        <f t="shared" si="16"/>
        <v>0</v>
      </c>
      <c r="AX17" s="24">
        <f t="shared" si="17"/>
        <v>0</v>
      </c>
      <c r="AY17" s="26" t="s">
        <v>67</v>
      </c>
      <c r="AZ17" s="26" t="s">
        <v>68</v>
      </c>
      <c r="BA17" s="9" t="s">
        <v>60</v>
      </c>
      <c r="BC17" s="24">
        <f t="shared" si="18"/>
        <v>0</v>
      </c>
      <c r="BD17" s="24">
        <f t="shared" si="19"/>
        <v>0</v>
      </c>
      <c r="BE17" s="24">
        <v>0</v>
      </c>
      <c r="BF17" s="24">
        <f t="shared" si="20"/>
        <v>0.5968</v>
      </c>
      <c r="BH17" s="24">
        <f t="shared" si="21"/>
        <v>0</v>
      </c>
      <c r="BI17" s="24">
        <f t="shared" si="22"/>
        <v>0</v>
      </c>
      <c r="BJ17" s="24">
        <f t="shared" si="23"/>
        <v>0</v>
      </c>
      <c r="BK17" s="24"/>
      <c r="BL17" s="24">
        <v>721</v>
      </c>
      <c r="BW17" s="24">
        <v>12</v>
      </c>
      <c r="BX17" s="4" t="s">
        <v>74</v>
      </c>
    </row>
    <row r="18" spans="1:76" ht="14.4" x14ac:dyDescent="0.3">
      <c r="A18" s="2" t="s">
        <v>76</v>
      </c>
      <c r="B18" s="3" t="s">
        <v>77</v>
      </c>
      <c r="C18" s="76" t="s">
        <v>78</v>
      </c>
      <c r="D18" s="71"/>
      <c r="E18" s="3" t="s">
        <v>75</v>
      </c>
      <c r="F18" s="24">
        <v>40</v>
      </c>
      <c r="G18" s="24">
        <v>0</v>
      </c>
      <c r="H18" s="24">
        <f t="shared" si="0"/>
        <v>0</v>
      </c>
      <c r="I18" s="24">
        <f t="shared" si="1"/>
        <v>0</v>
      </c>
      <c r="J18" s="24">
        <f t="shared" si="2"/>
        <v>0</v>
      </c>
      <c r="K18" s="24">
        <v>1.98E-3</v>
      </c>
      <c r="L18" s="25">
        <f t="shared" si="3"/>
        <v>7.9199999999999993E-2</v>
      </c>
      <c r="Z18" s="24">
        <f t="shared" si="4"/>
        <v>0</v>
      </c>
      <c r="AB18" s="24">
        <f t="shared" si="5"/>
        <v>0</v>
      </c>
      <c r="AC18" s="24">
        <f t="shared" si="6"/>
        <v>0</v>
      </c>
      <c r="AD18" s="24">
        <f t="shared" si="7"/>
        <v>0</v>
      </c>
      <c r="AE18" s="24">
        <f t="shared" si="8"/>
        <v>0</v>
      </c>
      <c r="AF18" s="24">
        <f t="shared" si="9"/>
        <v>0</v>
      </c>
      <c r="AG18" s="24">
        <f t="shared" si="10"/>
        <v>0</v>
      </c>
      <c r="AH18" s="24">
        <f t="shared" si="11"/>
        <v>0</v>
      </c>
      <c r="AI18" s="9" t="s">
        <v>51</v>
      </c>
      <c r="AJ18" s="24">
        <f t="shared" si="12"/>
        <v>0</v>
      </c>
      <c r="AK18" s="24">
        <f t="shared" si="13"/>
        <v>0</v>
      </c>
      <c r="AL18" s="24">
        <f t="shared" si="14"/>
        <v>0</v>
      </c>
      <c r="AN18" s="24">
        <v>12</v>
      </c>
      <c r="AO18" s="24">
        <f>G18*0</f>
        <v>0</v>
      </c>
      <c r="AP18" s="24">
        <f>G18*(1-0)</f>
        <v>0</v>
      </c>
      <c r="AQ18" s="26" t="s">
        <v>66</v>
      </c>
      <c r="AV18" s="24">
        <f t="shared" si="15"/>
        <v>0</v>
      </c>
      <c r="AW18" s="24">
        <f t="shared" si="16"/>
        <v>0</v>
      </c>
      <c r="AX18" s="24">
        <f t="shared" si="17"/>
        <v>0</v>
      </c>
      <c r="AY18" s="26" t="s">
        <v>67</v>
      </c>
      <c r="AZ18" s="26" t="s">
        <v>68</v>
      </c>
      <c r="BA18" s="9" t="s">
        <v>60</v>
      </c>
      <c r="BC18" s="24">
        <f t="shared" si="18"/>
        <v>0</v>
      </c>
      <c r="BD18" s="24">
        <f t="shared" si="19"/>
        <v>0</v>
      </c>
      <c r="BE18" s="24">
        <v>0</v>
      </c>
      <c r="BF18" s="24">
        <f t="shared" si="20"/>
        <v>7.9199999999999993E-2</v>
      </c>
      <c r="BH18" s="24">
        <f t="shared" si="21"/>
        <v>0</v>
      </c>
      <c r="BI18" s="24">
        <f t="shared" si="22"/>
        <v>0</v>
      </c>
      <c r="BJ18" s="24">
        <f t="shared" si="23"/>
        <v>0</v>
      </c>
      <c r="BK18" s="24"/>
      <c r="BL18" s="24">
        <v>721</v>
      </c>
      <c r="BW18" s="24">
        <v>12</v>
      </c>
      <c r="BX18" s="4" t="s">
        <v>78</v>
      </c>
    </row>
    <row r="19" spans="1:76" ht="14.4" x14ac:dyDescent="0.3">
      <c r="A19" s="2" t="s">
        <v>79</v>
      </c>
      <c r="B19" s="3" t="s">
        <v>80</v>
      </c>
      <c r="C19" s="76" t="s">
        <v>81</v>
      </c>
      <c r="D19" s="71"/>
      <c r="E19" s="3" t="s">
        <v>57</v>
      </c>
      <c r="F19" s="24">
        <v>1</v>
      </c>
      <c r="G19" s="24">
        <v>0</v>
      </c>
      <c r="H19" s="24">
        <f t="shared" si="0"/>
        <v>0</v>
      </c>
      <c r="I19" s="24">
        <f t="shared" si="1"/>
        <v>0</v>
      </c>
      <c r="J19" s="24">
        <f t="shared" si="2"/>
        <v>0</v>
      </c>
      <c r="K19" s="24">
        <v>7.7999999999999996E-3</v>
      </c>
      <c r="L19" s="25">
        <f t="shared" si="3"/>
        <v>7.7999999999999996E-3</v>
      </c>
      <c r="Z19" s="24">
        <f t="shared" si="4"/>
        <v>0</v>
      </c>
      <c r="AB19" s="24">
        <f t="shared" si="5"/>
        <v>0</v>
      </c>
      <c r="AC19" s="24">
        <f t="shared" si="6"/>
        <v>0</v>
      </c>
      <c r="AD19" s="24">
        <f t="shared" si="7"/>
        <v>0</v>
      </c>
      <c r="AE19" s="24">
        <f t="shared" si="8"/>
        <v>0</v>
      </c>
      <c r="AF19" s="24">
        <f t="shared" si="9"/>
        <v>0</v>
      </c>
      <c r="AG19" s="24">
        <f t="shared" si="10"/>
        <v>0</v>
      </c>
      <c r="AH19" s="24">
        <f t="shared" si="11"/>
        <v>0</v>
      </c>
      <c r="AI19" s="9" t="s">
        <v>51</v>
      </c>
      <c r="AJ19" s="24">
        <f t="shared" si="12"/>
        <v>0</v>
      </c>
      <c r="AK19" s="24">
        <f t="shared" si="13"/>
        <v>0</v>
      </c>
      <c r="AL19" s="24">
        <f t="shared" si="14"/>
        <v>0</v>
      </c>
      <c r="AN19" s="24">
        <v>12</v>
      </c>
      <c r="AO19" s="24">
        <f>G19*0.303236641</f>
        <v>0</v>
      </c>
      <c r="AP19" s="24">
        <f>G19*(1-0.303236641)</f>
        <v>0</v>
      </c>
      <c r="AQ19" s="26" t="s">
        <v>66</v>
      </c>
      <c r="AV19" s="24">
        <f t="shared" si="15"/>
        <v>0</v>
      </c>
      <c r="AW19" s="24">
        <f t="shared" si="16"/>
        <v>0</v>
      </c>
      <c r="AX19" s="24">
        <f t="shared" si="17"/>
        <v>0</v>
      </c>
      <c r="AY19" s="26" t="s">
        <v>67</v>
      </c>
      <c r="AZ19" s="26" t="s">
        <v>68</v>
      </c>
      <c r="BA19" s="9" t="s">
        <v>60</v>
      </c>
      <c r="BC19" s="24">
        <f t="shared" si="18"/>
        <v>0</v>
      </c>
      <c r="BD19" s="24">
        <f t="shared" si="19"/>
        <v>0</v>
      </c>
      <c r="BE19" s="24">
        <v>0</v>
      </c>
      <c r="BF19" s="24">
        <f t="shared" si="20"/>
        <v>7.7999999999999996E-3</v>
      </c>
      <c r="BH19" s="24">
        <f t="shared" si="21"/>
        <v>0</v>
      </c>
      <c r="BI19" s="24">
        <f t="shared" si="22"/>
        <v>0</v>
      </c>
      <c r="BJ19" s="24">
        <f t="shared" si="23"/>
        <v>0</v>
      </c>
      <c r="BK19" s="24"/>
      <c r="BL19" s="24">
        <v>721</v>
      </c>
      <c r="BW19" s="24">
        <v>12</v>
      </c>
      <c r="BX19" s="4" t="s">
        <v>81</v>
      </c>
    </row>
    <row r="20" spans="1:76" ht="14.4" x14ac:dyDescent="0.3">
      <c r="A20" s="2" t="s">
        <v>66</v>
      </c>
      <c r="B20" s="3" t="s">
        <v>82</v>
      </c>
      <c r="C20" s="76" t="s">
        <v>83</v>
      </c>
      <c r="D20" s="71"/>
      <c r="E20" s="3" t="s">
        <v>75</v>
      </c>
      <c r="F20" s="24">
        <v>3</v>
      </c>
      <c r="G20" s="24">
        <v>0</v>
      </c>
      <c r="H20" s="24">
        <f t="shared" si="0"/>
        <v>0</v>
      </c>
      <c r="I20" s="24">
        <f t="shared" si="1"/>
        <v>0</v>
      </c>
      <c r="J20" s="24">
        <f t="shared" si="2"/>
        <v>0</v>
      </c>
      <c r="K20" s="24">
        <v>3.8000000000000002E-4</v>
      </c>
      <c r="L20" s="25">
        <f t="shared" si="3"/>
        <v>1.14E-3</v>
      </c>
      <c r="Z20" s="24">
        <f t="shared" si="4"/>
        <v>0</v>
      </c>
      <c r="AB20" s="24">
        <f t="shared" si="5"/>
        <v>0</v>
      </c>
      <c r="AC20" s="24">
        <f t="shared" si="6"/>
        <v>0</v>
      </c>
      <c r="AD20" s="24">
        <f t="shared" si="7"/>
        <v>0</v>
      </c>
      <c r="AE20" s="24">
        <f t="shared" si="8"/>
        <v>0</v>
      </c>
      <c r="AF20" s="24">
        <f t="shared" si="9"/>
        <v>0</v>
      </c>
      <c r="AG20" s="24">
        <f t="shared" si="10"/>
        <v>0</v>
      </c>
      <c r="AH20" s="24">
        <f t="shared" si="11"/>
        <v>0</v>
      </c>
      <c r="AI20" s="9" t="s">
        <v>51</v>
      </c>
      <c r="AJ20" s="24">
        <f t="shared" si="12"/>
        <v>0</v>
      </c>
      <c r="AK20" s="24">
        <f t="shared" si="13"/>
        <v>0</v>
      </c>
      <c r="AL20" s="24">
        <f t="shared" si="14"/>
        <v>0</v>
      </c>
      <c r="AN20" s="24">
        <v>12</v>
      </c>
      <c r="AO20" s="24">
        <f>G20*0.278278302</f>
        <v>0</v>
      </c>
      <c r="AP20" s="24">
        <f>G20*(1-0.278278302)</f>
        <v>0</v>
      </c>
      <c r="AQ20" s="26" t="s">
        <v>66</v>
      </c>
      <c r="AV20" s="24">
        <f t="shared" si="15"/>
        <v>0</v>
      </c>
      <c r="AW20" s="24">
        <f t="shared" si="16"/>
        <v>0</v>
      </c>
      <c r="AX20" s="24">
        <f t="shared" si="17"/>
        <v>0</v>
      </c>
      <c r="AY20" s="26" t="s">
        <v>67</v>
      </c>
      <c r="AZ20" s="26" t="s">
        <v>68</v>
      </c>
      <c r="BA20" s="9" t="s">
        <v>60</v>
      </c>
      <c r="BC20" s="24">
        <f t="shared" si="18"/>
        <v>0</v>
      </c>
      <c r="BD20" s="24">
        <f t="shared" si="19"/>
        <v>0</v>
      </c>
      <c r="BE20" s="24">
        <v>0</v>
      </c>
      <c r="BF20" s="24">
        <f t="shared" si="20"/>
        <v>1.14E-3</v>
      </c>
      <c r="BH20" s="24">
        <f t="shared" si="21"/>
        <v>0</v>
      </c>
      <c r="BI20" s="24">
        <f t="shared" si="22"/>
        <v>0</v>
      </c>
      <c r="BJ20" s="24">
        <f t="shared" si="23"/>
        <v>0</v>
      </c>
      <c r="BK20" s="24"/>
      <c r="BL20" s="24">
        <v>721</v>
      </c>
      <c r="BW20" s="24">
        <v>12</v>
      </c>
      <c r="BX20" s="4" t="s">
        <v>83</v>
      </c>
    </row>
    <row r="21" spans="1:76" ht="14.4" x14ac:dyDescent="0.3">
      <c r="A21" s="2" t="s">
        <v>84</v>
      </c>
      <c r="B21" s="3" t="s">
        <v>85</v>
      </c>
      <c r="C21" s="76" t="s">
        <v>86</v>
      </c>
      <c r="D21" s="71"/>
      <c r="E21" s="3" t="s">
        <v>75</v>
      </c>
      <c r="F21" s="24">
        <v>27</v>
      </c>
      <c r="G21" s="24">
        <v>0</v>
      </c>
      <c r="H21" s="24">
        <f t="shared" si="0"/>
        <v>0</v>
      </c>
      <c r="I21" s="24">
        <f t="shared" si="1"/>
        <v>0</v>
      </c>
      <c r="J21" s="24">
        <f t="shared" si="2"/>
        <v>0</v>
      </c>
      <c r="K21" s="24">
        <v>4.6999999999999999E-4</v>
      </c>
      <c r="L21" s="25">
        <f t="shared" si="3"/>
        <v>1.269E-2</v>
      </c>
      <c r="Z21" s="24">
        <f t="shared" si="4"/>
        <v>0</v>
      </c>
      <c r="AB21" s="24">
        <f t="shared" si="5"/>
        <v>0</v>
      </c>
      <c r="AC21" s="24">
        <f t="shared" si="6"/>
        <v>0</v>
      </c>
      <c r="AD21" s="24">
        <f t="shared" si="7"/>
        <v>0</v>
      </c>
      <c r="AE21" s="24">
        <f t="shared" si="8"/>
        <v>0</v>
      </c>
      <c r="AF21" s="24">
        <f t="shared" si="9"/>
        <v>0</v>
      </c>
      <c r="AG21" s="24">
        <f t="shared" si="10"/>
        <v>0</v>
      </c>
      <c r="AH21" s="24">
        <f t="shared" si="11"/>
        <v>0</v>
      </c>
      <c r="AI21" s="9" t="s">
        <v>51</v>
      </c>
      <c r="AJ21" s="24">
        <f t="shared" si="12"/>
        <v>0</v>
      </c>
      <c r="AK21" s="24">
        <f t="shared" si="13"/>
        <v>0</v>
      </c>
      <c r="AL21" s="24">
        <f t="shared" si="14"/>
        <v>0</v>
      </c>
      <c r="AN21" s="24">
        <v>12</v>
      </c>
      <c r="AO21" s="24">
        <f>G21*0.288317757</f>
        <v>0</v>
      </c>
      <c r="AP21" s="24">
        <f>G21*(1-0.288317757)</f>
        <v>0</v>
      </c>
      <c r="AQ21" s="26" t="s">
        <v>66</v>
      </c>
      <c r="AV21" s="24">
        <f t="shared" si="15"/>
        <v>0</v>
      </c>
      <c r="AW21" s="24">
        <f t="shared" si="16"/>
        <v>0</v>
      </c>
      <c r="AX21" s="24">
        <f t="shared" si="17"/>
        <v>0</v>
      </c>
      <c r="AY21" s="26" t="s">
        <v>67</v>
      </c>
      <c r="AZ21" s="26" t="s">
        <v>68</v>
      </c>
      <c r="BA21" s="9" t="s">
        <v>60</v>
      </c>
      <c r="BC21" s="24">
        <f t="shared" si="18"/>
        <v>0</v>
      </c>
      <c r="BD21" s="24">
        <f t="shared" si="19"/>
        <v>0</v>
      </c>
      <c r="BE21" s="24">
        <v>0</v>
      </c>
      <c r="BF21" s="24">
        <f t="shared" si="20"/>
        <v>1.269E-2</v>
      </c>
      <c r="BH21" s="24">
        <f t="shared" si="21"/>
        <v>0</v>
      </c>
      <c r="BI21" s="24">
        <f t="shared" si="22"/>
        <v>0</v>
      </c>
      <c r="BJ21" s="24">
        <f t="shared" si="23"/>
        <v>0</v>
      </c>
      <c r="BK21" s="24"/>
      <c r="BL21" s="24">
        <v>721</v>
      </c>
      <c r="BW21" s="24">
        <v>12</v>
      </c>
      <c r="BX21" s="4" t="s">
        <v>86</v>
      </c>
    </row>
    <row r="22" spans="1:76" ht="14.4" x14ac:dyDescent="0.3">
      <c r="A22" s="2" t="s">
        <v>87</v>
      </c>
      <c r="B22" s="3" t="s">
        <v>88</v>
      </c>
      <c r="C22" s="76" t="s">
        <v>89</v>
      </c>
      <c r="D22" s="71"/>
      <c r="E22" s="3" t="s">
        <v>75</v>
      </c>
      <c r="F22" s="24">
        <v>7</v>
      </c>
      <c r="G22" s="24">
        <v>0</v>
      </c>
      <c r="H22" s="24">
        <f t="shared" si="0"/>
        <v>0</v>
      </c>
      <c r="I22" s="24">
        <f t="shared" si="1"/>
        <v>0</v>
      </c>
      <c r="J22" s="24">
        <f t="shared" si="2"/>
        <v>0</v>
      </c>
      <c r="K22" s="24">
        <v>1.5200000000000001E-3</v>
      </c>
      <c r="L22" s="25">
        <f t="shared" si="3"/>
        <v>1.064E-2</v>
      </c>
      <c r="Z22" s="24">
        <f t="shared" si="4"/>
        <v>0</v>
      </c>
      <c r="AB22" s="24">
        <f t="shared" si="5"/>
        <v>0</v>
      </c>
      <c r="AC22" s="24">
        <f t="shared" si="6"/>
        <v>0</v>
      </c>
      <c r="AD22" s="24">
        <f t="shared" si="7"/>
        <v>0</v>
      </c>
      <c r="AE22" s="24">
        <f t="shared" si="8"/>
        <v>0</v>
      </c>
      <c r="AF22" s="24">
        <f t="shared" si="9"/>
        <v>0</v>
      </c>
      <c r="AG22" s="24">
        <f t="shared" si="10"/>
        <v>0</v>
      </c>
      <c r="AH22" s="24">
        <f t="shared" si="11"/>
        <v>0</v>
      </c>
      <c r="AI22" s="9" t="s">
        <v>51</v>
      </c>
      <c r="AJ22" s="24">
        <f t="shared" si="12"/>
        <v>0</v>
      </c>
      <c r="AK22" s="24">
        <f t="shared" si="13"/>
        <v>0</v>
      </c>
      <c r="AL22" s="24">
        <f t="shared" si="14"/>
        <v>0</v>
      </c>
      <c r="AN22" s="24">
        <v>12</v>
      </c>
      <c r="AO22" s="24">
        <f>G22*0.262895257</f>
        <v>0</v>
      </c>
      <c r="AP22" s="24">
        <f>G22*(1-0.262895257)</f>
        <v>0</v>
      </c>
      <c r="AQ22" s="26" t="s">
        <v>66</v>
      </c>
      <c r="AV22" s="24">
        <f t="shared" si="15"/>
        <v>0</v>
      </c>
      <c r="AW22" s="24">
        <f t="shared" si="16"/>
        <v>0</v>
      </c>
      <c r="AX22" s="24">
        <f t="shared" si="17"/>
        <v>0</v>
      </c>
      <c r="AY22" s="26" t="s">
        <v>67</v>
      </c>
      <c r="AZ22" s="26" t="s">
        <v>68</v>
      </c>
      <c r="BA22" s="9" t="s">
        <v>60</v>
      </c>
      <c r="BC22" s="24">
        <f t="shared" si="18"/>
        <v>0</v>
      </c>
      <c r="BD22" s="24">
        <f t="shared" si="19"/>
        <v>0</v>
      </c>
      <c r="BE22" s="24">
        <v>0</v>
      </c>
      <c r="BF22" s="24">
        <f t="shared" si="20"/>
        <v>1.064E-2</v>
      </c>
      <c r="BH22" s="24">
        <f t="shared" si="21"/>
        <v>0</v>
      </c>
      <c r="BI22" s="24">
        <f t="shared" si="22"/>
        <v>0</v>
      </c>
      <c r="BJ22" s="24">
        <f t="shared" si="23"/>
        <v>0</v>
      </c>
      <c r="BK22" s="24"/>
      <c r="BL22" s="24">
        <v>721</v>
      </c>
      <c r="BW22" s="24">
        <v>12</v>
      </c>
      <c r="BX22" s="4" t="s">
        <v>89</v>
      </c>
    </row>
    <row r="23" spans="1:76" ht="14.4" x14ac:dyDescent="0.3">
      <c r="A23" s="2" t="s">
        <v>90</v>
      </c>
      <c r="B23" s="3" t="s">
        <v>91</v>
      </c>
      <c r="C23" s="76" t="s">
        <v>92</v>
      </c>
      <c r="D23" s="71"/>
      <c r="E23" s="3" t="s">
        <v>75</v>
      </c>
      <c r="F23" s="24">
        <v>16</v>
      </c>
      <c r="G23" s="24">
        <v>0</v>
      </c>
      <c r="H23" s="24">
        <f t="shared" si="0"/>
        <v>0</v>
      </c>
      <c r="I23" s="24">
        <f t="shared" si="1"/>
        <v>0</v>
      </c>
      <c r="J23" s="24">
        <f t="shared" si="2"/>
        <v>0</v>
      </c>
      <c r="K23" s="24">
        <v>7.7999999999999999E-4</v>
      </c>
      <c r="L23" s="25">
        <f t="shared" si="3"/>
        <v>1.248E-2</v>
      </c>
      <c r="Z23" s="24">
        <f t="shared" si="4"/>
        <v>0</v>
      </c>
      <c r="AB23" s="24">
        <f t="shared" si="5"/>
        <v>0</v>
      </c>
      <c r="AC23" s="24">
        <f t="shared" si="6"/>
        <v>0</v>
      </c>
      <c r="AD23" s="24">
        <f t="shared" si="7"/>
        <v>0</v>
      </c>
      <c r="AE23" s="24">
        <f t="shared" si="8"/>
        <v>0</v>
      </c>
      <c r="AF23" s="24">
        <f t="shared" si="9"/>
        <v>0</v>
      </c>
      <c r="AG23" s="24">
        <f t="shared" si="10"/>
        <v>0</v>
      </c>
      <c r="AH23" s="24">
        <f t="shared" si="11"/>
        <v>0</v>
      </c>
      <c r="AI23" s="9" t="s">
        <v>51</v>
      </c>
      <c r="AJ23" s="24">
        <f t="shared" si="12"/>
        <v>0</v>
      </c>
      <c r="AK23" s="24">
        <f t="shared" si="13"/>
        <v>0</v>
      </c>
      <c r="AL23" s="24">
        <f t="shared" si="14"/>
        <v>0</v>
      </c>
      <c r="AN23" s="24">
        <v>12</v>
      </c>
      <c r="AO23" s="24">
        <f>G23*0.29672973</f>
        <v>0</v>
      </c>
      <c r="AP23" s="24">
        <f>G23*(1-0.29672973)</f>
        <v>0</v>
      </c>
      <c r="AQ23" s="26" t="s">
        <v>66</v>
      </c>
      <c r="AV23" s="24">
        <f t="shared" si="15"/>
        <v>0</v>
      </c>
      <c r="AW23" s="24">
        <f t="shared" si="16"/>
        <v>0</v>
      </c>
      <c r="AX23" s="24">
        <f t="shared" si="17"/>
        <v>0</v>
      </c>
      <c r="AY23" s="26" t="s">
        <v>67</v>
      </c>
      <c r="AZ23" s="26" t="s">
        <v>68</v>
      </c>
      <c r="BA23" s="9" t="s">
        <v>60</v>
      </c>
      <c r="BC23" s="24">
        <f t="shared" si="18"/>
        <v>0</v>
      </c>
      <c r="BD23" s="24">
        <f t="shared" si="19"/>
        <v>0</v>
      </c>
      <c r="BE23" s="24">
        <v>0</v>
      </c>
      <c r="BF23" s="24">
        <f t="shared" si="20"/>
        <v>1.248E-2</v>
      </c>
      <c r="BH23" s="24">
        <f t="shared" si="21"/>
        <v>0</v>
      </c>
      <c r="BI23" s="24">
        <f t="shared" si="22"/>
        <v>0</v>
      </c>
      <c r="BJ23" s="24">
        <f t="shared" si="23"/>
        <v>0</v>
      </c>
      <c r="BK23" s="24"/>
      <c r="BL23" s="24">
        <v>721</v>
      </c>
      <c r="BW23" s="24">
        <v>12</v>
      </c>
      <c r="BX23" s="4" t="s">
        <v>92</v>
      </c>
    </row>
    <row r="24" spans="1:76" ht="14.4" x14ac:dyDescent="0.3">
      <c r="A24" s="2" t="s">
        <v>93</v>
      </c>
      <c r="B24" s="3" t="s">
        <v>94</v>
      </c>
      <c r="C24" s="76" t="s">
        <v>95</v>
      </c>
      <c r="D24" s="71"/>
      <c r="E24" s="3" t="s">
        <v>75</v>
      </c>
      <c r="F24" s="24">
        <v>20</v>
      </c>
      <c r="G24" s="24">
        <v>0</v>
      </c>
      <c r="H24" s="24">
        <f t="shared" si="0"/>
        <v>0</v>
      </c>
      <c r="I24" s="24">
        <f t="shared" si="1"/>
        <v>0</v>
      </c>
      <c r="J24" s="24">
        <f t="shared" si="2"/>
        <v>0</v>
      </c>
      <c r="K24" s="24">
        <v>1.31E-3</v>
      </c>
      <c r="L24" s="25">
        <f t="shared" si="3"/>
        <v>2.6200000000000001E-2</v>
      </c>
      <c r="Z24" s="24">
        <f t="shared" si="4"/>
        <v>0</v>
      </c>
      <c r="AB24" s="24">
        <f t="shared" si="5"/>
        <v>0</v>
      </c>
      <c r="AC24" s="24">
        <f t="shared" si="6"/>
        <v>0</v>
      </c>
      <c r="AD24" s="24">
        <f t="shared" si="7"/>
        <v>0</v>
      </c>
      <c r="AE24" s="24">
        <f t="shared" si="8"/>
        <v>0</v>
      </c>
      <c r="AF24" s="24">
        <f t="shared" si="9"/>
        <v>0</v>
      </c>
      <c r="AG24" s="24">
        <f t="shared" si="10"/>
        <v>0</v>
      </c>
      <c r="AH24" s="24">
        <f t="shared" si="11"/>
        <v>0</v>
      </c>
      <c r="AI24" s="9" t="s">
        <v>51</v>
      </c>
      <c r="AJ24" s="24">
        <f t="shared" si="12"/>
        <v>0</v>
      </c>
      <c r="AK24" s="24">
        <f t="shared" si="13"/>
        <v>0</v>
      </c>
      <c r="AL24" s="24">
        <f t="shared" si="14"/>
        <v>0</v>
      </c>
      <c r="AN24" s="24">
        <v>12</v>
      </c>
      <c r="AO24" s="24">
        <f>G24*0.372245658</f>
        <v>0</v>
      </c>
      <c r="AP24" s="24">
        <f>G24*(1-0.372245658)</f>
        <v>0</v>
      </c>
      <c r="AQ24" s="26" t="s">
        <v>66</v>
      </c>
      <c r="AV24" s="24">
        <f t="shared" si="15"/>
        <v>0</v>
      </c>
      <c r="AW24" s="24">
        <f t="shared" si="16"/>
        <v>0</v>
      </c>
      <c r="AX24" s="24">
        <f t="shared" si="17"/>
        <v>0</v>
      </c>
      <c r="AY24" s="26" t="s">
        <v>67</v>
      </c>
      <c r="AZ24" s="26" t="s">
        <v>68</v>
      </c>
      <c r="BA24" s="9" t="s">
        <v>60</v>
      </c>
      <c r="BC24" s="24">
        <f t="shared" si="18"/>
        <v>0</v>
      </c>
      <c r="BD24" s="24">
        <f t="shared" si="19"/>
        <v>0</v>
      </c>
      <c r="BE24" s="24">
        <v>0</v>
      </c>
      <c r="BF24" s="24">
        <f t="shared" si="20"/>
        <v>2.6200000000000001E-2</v>
      </c>
      <c r="BH24" s="24">
        <f t="shared" si="21"/>
        <v>0</v>
      </c>
      <c r="BI24" s="24">
        <f t="shared" si="22"/>
        <v>0</v>
      </c>
      <c r="BJ24" s="24">
        <f t="shared" si="23"/>
        <v>0</v>
      </c>
      <c r="BK24" s="24"/>
      <c r="BL24" s="24">
        <v>721</v>
      </c>
      <c r="BW24" s="24">
        <v>12</v>
      </c>
      <c r="BX24" s="4" t="s">
        <v>95</v>
      </c>
    </row>
    <row r="25" spans="1:76" ht="14.4" x14ac:dyDescent="0.3">
      <c r="A25" s="2" t="s">
        <v>96</v>
      </c>
      <c r="B25" s="3" t="s">
        <v>97</v>
      </c>
      <c r="C25" s="76" t="s">
        <v>98</v>
      </c>
      <c r="D25" s="71"/>
      <c r="E25" s="3" t="s">
        <v>75</v>
      </c>
      <c r="F25" s="24">
        <v>3</v>
      </c>
      <c r="G25" s="24">
        <v>0</v>
      </c>
      <c r="H25" s="24">
        <f t="shared" si="0"/>
        <v>0</v>
      </c>
      <c r="I25" s="24">
        <f t="shared" si="1"/>
        <v>0</v>
      </c>
      <c r="J25" s="24">
        <f t="shared" si="2"/>
        <v>0</v>
      </c>
      <c r="K25" s="24">
        <v>1.3699999999999999E-3</v>
      </c>
      <c r="L25" s="25">
        <f t="shared" si="3"/>
        <v>4.1099999999999999E-3</v>
      </c>
      <c r="Z25" s="24">
        <f t="shared" si="4"/>
        <v>0</v>
      </c>
      <c r="AB25" s="24">
        <f t="shared" si="5"/>
        <v>0</v>
      </c>
      <c r="AC25" s="24">
        <f t="shared" si="6"/>
        <v>0</v>
      </c>
      <c r="AD25" s="24">
        <f t="shared" si="7"/>
        <v>0</v>
      </c>
      <c r="AE25" s="24">
        <f t="shared" si="8"/>
        <v>0</v>
      </c>
      <c r="AF25" s="24">
        <f t="shared" si="9"/>
        <v>0</v>
      </c>
      <c r="AG25" s="24">
        <f t="shared" si="10"/>
        <v>0</v>
      </c>
      <c r="AH25" s="24">
        <f t="shared" si="11"/>
        <v>0</v>
      </c>
      <c r="AI25" s="9" t="s">
        <v>51</v>
      </c>
      <c r="AJ25" s="24">
        <f t="shared" si="12"/>
        <v>0</v>
      </c>
      <c r="AK25" s="24">
        <f t="shared" si="13"/>
        <v>0</v>
      </c>
      <c r="AL25" s="24">
        <f t="shared" si="14"/>
        <v>0</v>
      </c>
      <c r="AN25" s="24">
        <v>12</v>
      </c>
      <c r="AO25" s="24">
        <f>G25*0.417292627</f>
        <v>0</v>
      </c>
      <c r="AP25" s="24">
        <f>G25*(1-0.417292627)</f>
        <v>0</v>
      </c>
      <c r="AQ25" s="26" t="s">
        <v>66</v>
      </c>
      <c r="AV25" s="24">
        <f t="shared" si="15"/>
        <v>0</v>
      </c>
      <c r="AW25" s="24">
        <f t="shared" si="16"/>
        <v>0</v>
      </c>
      <c r="AX25" s="24">
        <f t="shared" si="17"/>
        <v>0</v>
      </c>
      <c r="AY25" s="26" t="s">
        <v>67</v>
      </c>
      <c r="AZ25" s="26" t="s">
        <v>68</v>
      </c>
      <c r="BA25" s="9" t="s">
        <v>60</v>
      </c>
      <c r="BC25" s="24">
        <f t="shared" si="18"/>
        <v>0</v>
      </c>
      <c r="BD25" s="24">
        <f t="shared" si="19"/>
        <v>0</v>
      </c>
      <c r="BE25" s="24">
        <v>0</v>
      </c>
      <c r="BF25" s="24">
        <f t="shared" si="20"/>
        <v>4.1099999999999999E-3</v>
      </c>
      <c r="BH25" s="24">
        <f t="shared" si="21"/>
        <v>0</v>
      </c>
      <c r="BI25" s="24">
        <f t="shared" si="22"/>
        <v>0</v>
      </c>
      <c r="BJ25" s="24">
        <f t="shared" si="23"/>
        <v>0</v>
      </c>
      <c r="BK25" s="24"/>
      <c r="BL25" s="24">
        <v>721</v>
      </c>
      <c r="BW25" s="24">
        <v>12</v>
      </c>
      <c r="BX25" s="4" t="s">
        <v>98</v>
      </c>
    </row>
    <row r="26" spans="1:76" ht="14.4" x14ac:dyDescent="0.3">
      <c r="A26" s="2" t="s">
        <v>99</v>
      </c>
      <c r="B26" s="3" t="s">
        <v>100</v>
      </c>
      <c r="C26" s="76" t="s">
        <v>101</v>
      </c>
      <c r="D26" s="71"/>
      <c r="E26" s="3" t="s">
        <v>75</v>
      </c>
      <c r="F26" s="24">
        <v>23</v>
      </c>
      <c r="G26" s="24">
        <v>0</v>
      </c>
      <c r="H26" s="24">
        <f t="shared" si="0"/>
        <v>0</v>
      </c>
      <c r="I26" s="24">
        <f t="shared" si="1"/>
        <v>0</v>
      </c>
      <c r="J26" s="24">
        <f t="shared" si="2"/>
        <v>0</v>
      </c>
      <c r="K26" s="24">
        <v>1.8500000000000001E-3</v>
      </c>
      <c r="L26" s="25">
        <f t="shared" si="3"/>
        <v>4.2550000000000004E-2</v>
      </c>
      <c r="Z26" s="24">
        <f t="shared" si="4"/>
        <v>0</v>
      </c>
      <c r="AB26" s="24">
        <f t="shared" si="5"/>
        <v>0</v>
      </c>
      <c r="AC26" s="24">
        <f t="shared" si="6"/>
        <v>0</v>
      </c>
      <c r="AD26" s="24">
        <f t="shared" si="7"/>
        <v>0</v>
      </c>
      <c r="AE26" s="24">
        <f t="shared" si="8"/>
        <v>0</v>
      </c>
      <c r="AF26" s="24">
        <f t="shared" si="9"/>
        <v>0</v>
      </c>
      <c r="AG26" s="24">
        <f t="shared" si="10"/>
        <v>0</v>
      </c>
      <c r="AH26" s="24">
        <f t="shared" si="11"/>
        <v>0</v>
      </c>
      <c r="AI26" s="9" t="s">
        <v>51</v>
      </c>
      <c r="AJ26" s="24">
        <f t="shared" si="12"/>
        <v>0</v>
      </c>
      <c r="AK26" s="24">
        <f t="shared" si="13"/>
        <v>0</v>
      </c>
      <c r="AL26" s="24">
        <f t="shared" si="14"/>
        <v>0</v>
      </c>
      <c r="AN26" s="24">
        <v>12</v>
      </c>
      <c r="AO26" s="24">
        <f>G26*0.373246592</f>
        <v>0</v>
      </c>
      <c r="AP26" s="24">
        <f>G26*(1-0.373246592)</f>
        <v>0</v>
      </c>
      <c r="AQ26" s="26" t="s">
        <v>66</v>
      </c>
      <c r="AV26" s="24">
        <f t="shared" si="15"/>
        <v>0</v>
      </c>
      <c r="AW26" s="24">
        <f t="shared" si="16"/>
        <v>0</v>
      </c>
      <c r="AX26" s="24">
        <f t="shared" si="17"/>
        <v>0</v>
      </c>
      <c r="AY26" s="26" t="s">
        <v>67</v>
      </c>
      <c r="AZ26" s="26" t="s">
        <v>68</v>
      </c>
      <c r="BA26" s="9" t="s">
        <v>60</v>
      </c>
      <c r="BC26" s="24">
        <f t="shared" si="18"/>
        <v>0</v>
      </c>
      <c r="BD26" s="24">
        <f t="shared" si="19"/>
        <v>0</v>
      </c>
      <c r="BE26" s="24">
        <v>0</v>
      </c>
      <c r="BF26" s="24">
        <f t="shared" si="20"/>
        <v>4.2550000000000004E-2</v>
      </c>
      <c r="BH26" s="24">
        <f t="shared" si="21"/>
        <v>0</v>
      </c>
      <c r="BI26" s="24">
        <f t="shared" si="22"/>
        <v>0</v>
      </c>
      <c r="BJ26" s="24">
        <f t="shared" si="23"/>
        <v>0</v>
      </c>
      <c r="BK26" s="24"/>
      <c r="BL26" s="24">
        <v>721</v>
      </c>
      <c r="BW26" s="24">
        <v>12</v>
      </c>
      <c r="BX26" s="4" t="s">
        <v>101</v>
      </c>
    </row>
    <row r="27" spans="1:76" ht="14.4" x14ac:dyDescent="0.3">
      <c r="A27" s="2" t="s">
        <v>102</v>
      </c>
      <c r="B27" s="3" t="s">
        <v>103</v>
      </c>
      <c r="C27" s="76" t="s">
        <v>104</v>
      </c>
      <c r="D27" s="71"/>
      <c r="E27" s="3" t="s">
        <v>57</v>
      </c>
      <c r="F27" s="24">
        <v>6</v>
      </c>
      <c r="G27" s="24">
        <v>0</v>
      </c>
      <c r="H27" s="24">
        <f t="shared" si="0"/>
        <v>0</v>
      </c>
      <c r="I27" s="24">
        <f t="shared" si="1"/>
        <v>0</v>
      </c>
      <c r="J27" s="24">
        <f t="shared" si="2"/>
        <v>0</v>
      </c>
      <c r="K27" s="24">
        <v>0</v>
      </c>
      <c r="L27" s="25">
        <f t="shared" si="3"/>
        <v>0</v>
      </c>
      <c r="Z27" s="24">
        <f t="shared" si="4"/>
        <v>0</v>
      </c>
      <c r="AB27" s="24">
        <f t="shared" si="5"/>
        <v>0</v>
      </c>
      <c r="AC27" s="24">
        <f t="shared" si="6"/>
        <v>0</v>
      </c>
      <c r="AD27" s="24">
        <f t="shared" si="7"/>
        <v>0</v>
      </c>
      <c r="AE27" s="24">
        <f t="shared" si="8"/>
        <v>0</v>
      </c>
      <c r="AF27" s="24">
        <f t="shared" si="9"/>
        <v>0</v>
      </c>
      <c r="AG27" s="24">
        <f t="shared" si="10"/>
        <v>0</v>
      </c>
      <c r="AH27" s="24">
        <f t="shared" si="11"/>
        <v>0</v>
      </c>
      <c r="AI27" s="9" t="s">
        <v>51</v>
      </c>
      <c r="AJ27" s="24">
        <f t="shared" si="12"/>
        <v>0</v>
      </c>
      <c r="AK27" s="24">
        <f t="shared" si="13"/>
        <v>0</v>
      </c>
      <c r="AL27" s="24">
        <f t="shared" si="14"/>
        <v>0</v>
      </c>
      <c r="AN27" s="24">
        <v>12</v>
      </c>
      <c r="AO27" s="24">
        <f>G27*0</f>
        <v>0</v>
      </c>
      <c r="AP27" s="24">
        <f>G27*(1-0)</f>
        <v>0</v>
      </c>
      <c r="AQ27" s="26" t="s">
        <v>66</v>
      </c>
      <c r="AV27" s="24">
        <f t="shared" si="15"/>
        <v>0</v>
      </c>
      <c r="AW27" s="24">
        <f t="shared" si="16"/>
        <v>0</v>
      </c>
      <c r="AX27" s="24">
        <f t="shared" si="17"/>
        <v>0</v>
      </c>
      <c r="AY27" s="26" t="s">
        <v>67</v>
      </c>
      <c r="AZ27" s="26" t="s">
        <v>68</v>
      </c>
      <c r="BA27" s="9" t="s">
        <v>60</v>
      </c>
      <c r="BC27" s="24">
        <f t="shared" si="18"/>
        <v>0</v>
      </c>
      <c r="BD27" s="24">
        <f t="shared" si="19"/>
        <v>0</v>
      </c>
      <c r="BE27" s="24">
        <v>0</v>
      </c>
      <c r="BF27" s="24">
        <f t="shared" si="20"/>
        <v>0</v>
      </c>
      <c r="BH27" s="24">
        <f t="shared" si="21"/>
        <v>0</v>
      </c>
      <c r="BI27" s="24">
        <f t="shared" si="22"/>
        <v>0</v>
      </c>
      <c r="BJ27" s="24">
        <f t="shared" si="23"/>
        <v>0</v>
      </c>
      <c r="BK27" s="24"/>
      <c r="BL27" s="24">
        <v>721</v>
      </c>
      <c r="BW27" s="24">
        <v>12</v>
      </c>
      <c r="BX27" s="4" t="s">
        <v>104</v>
      </c>
    </row>
    <row r="28" spans="1:76" ht="14.4" x14ac:dyDescent="0.3">
      <c r="A28" s="2" t="s">
        <v>105</v>
      </c>
      <c r="B28" s="3" t="s">
        <v>106</v>
      </c>
      <c r="C28" s="76" t="s">
        <v>107</v>
      </c>
      <c r="D28" s="71"/>
      <c r="E28" s="3" t="s">
        <v>57</v>
      </c>
      <c r="F28" s="24">
        <v>24</v>
      </c>
      <c r="G28" s="24">
        <v>0</v>
      </c>
      <c r="H28" s="24">
        <f t="shared" si="0"/>
        <v>0</v>
      </c>
      <c r="I28" s="24">
        <f t="shared" si="1"/>
        <v>0</v>
      </c>
      <c r="J28" s="24">
        <f t="shared" si="2"/>
        <v>0</v>
      </c>
      <c r="K28" s="24">
        <v>0</v>
      </c>
      <c r="L28" s="25">
        <f t="shared" si="3"/>
        <v>0</v>
      </c>
      <c r="Z28" s="24">
        <f t="shared" si="4"/>
        <v>0</v>
      </c>
      <c r="AB28" s="24">
        <f t="shared" si="5"/>
        <v>0</v>
      </c>
      <c r="AC28" s="24">
        <f t="shared" si="6"/>
        <v>0</v>
      </c>
      <c r="AD28" s="24">
        <f t="shared" si="7"/>
        <v>0</v>
      </c>
      <c r="AE28" s="24">
        <f t="shared" si="8"/>
        <v>0</v>
      </c>
      <c r="AF28" s="24">
        <f t="shared" si="9"/>
        <v>0</v>
      </c>
      <c r="AG28" s="24">
        <f t="shared" si="10"/>
        <v>0</v>
      </c>
      <c r="AH28" s="24">
        <f t="shared" si="11"/>
        <v>0</v>
      </c>
      <c r="AI28" s="9" t="s">
        <v>51</v>
      </c>
      <c r="AJ28" s="24">
        <f t="shared" si="12"/>
        <v>0</v>
      </c>
      <c r="AK28" s="24">
        <f t="shared" si="13"/>
        <v>0</v>
      </c>
      <c r="AL28" s="24">
        <f t="shared" si="14"/>
        <v>0</v>
      </c>
      <c r="AN28" s="24">
        <v>12</v>
      </c>
      <c r="AO28" s="24">
        <f>G28*0</f>
        <v>0</v>
      </c>
      <c r="AP28" s="24">
        <f>G28*(1-0)</f>
        <v>0</v>
      </c>
      <c r="AQ28" s="26" t="s">
        <v>66</v>
      </c>
      <c r="AV28" s="24">
        <f t="shared" si="15"/>
        <v>0</v>
      </c>
      <c r="AW28" s="24">
        <f t="shared" si="16"/>
        <v>0</v>
      </c>
      <c r="AX28" s="24">
        <f t="shared" si="17"/>
        <v>0</v>
      </c>
      <c r="AY28" s="26" t="s">
        <v>67</v>
      </c>
      <c r="AZ28" s="26" t="s">
        <v>68</v>
      </c>
      <c r="BA28" s="9" t="s">
        <v>60</v>
      </c>
      <c r="BC28" s="24">
        <f t="shared" si="18"/>
        <v>0</v>
      </c>
      <c r="BD28" s="24">
        <f t="shared" si="19"/>
        <v>0</v>
      </c>
      <c r="BE28" s="24">
        <v>0</v>
      </c>
      <c r="BF28" s="24">
        <f t="shared" si="20"/>
        <v>0</v>
      </c>
      <c r="BH28" s="24">
        <f t="shared" si="21"/>
        <v>0</v>
      </c>
      <c r="BI28" s="24">
        <f t="shared" si="22"/>
        <v>0</v>
      </c>
      <c r="BJ28" s="24">
        <f t="shared" si="23"/>
        <v>0</v>
      </c>
      <c r="BK28" s="24"/>
      <c r="BL28" s="24">
        <v>721</v>
      </c>
      <c r="BW28" s="24">
        <v>12</v>
      </c>
      <c r="BX28" s="4" t="s">
        <v>107</v>
      </c>
    </row>
    <row r="29" spans="1:76" ht="14.4" x14ac:dyDescent="0.3">
      <c r="A29" s="2" t="s">
        <v>108</v>
      </c>
      <c r="B29" s="3" t="s">
        <v>64</v>
      </c>
      <c r="C29" s="76" t="s">
        <v>109</v>
      </c>
      <c r="D29" s="71"/>
      <c r="E29" s="3" t="s">
        <v>57</v>
      </c>
      <c r="F29" s="24">
        <v>6</v>
      </c>
      <c r="G29" s="24">
        <v>0</v>
      </c>
      <c r="H29" s="24">
        <f t="shared" si="0"/>
        <v>0</v>
      </c>
      <c r="I29" s="24">
        <f t="shared" si="1"/>
        <v>0</v>
      </c>
      <c r="J29" s="24">
        <f t="shared" si="2"/>
        <v>0</v>
      </c>
      <c r="K29" s="24">
        <v>0</v>
      </c>
      <c r="L29" s="25">
        <f t="shared" si="3"/>
        <v>0</v>
      </c>
      <c r="Z29" s="24">
        <f t="shared" si="4"/>
        <v>0</v>
      </c>
      <c r="AB29" s="24">
        <f t="shared" si="5"/>
        <v>0</v>
      </c>
      <c r="AC29" s="24">
        <f t="shared" si="6"/>
        <v>0</v>
      </c>
      <c r="AD29" s="24">
        <f t="shared" si="7"/>
        <v>0</v>
      </c>
      <c r="AE29" s="24">
        <f t="shared" si="8"/>
        <v>0</v>
      </c>
      <c r="AF29" s="24">
        <f t="shared" si="9"/>
        <v>0</v>
      </c>
      <c r="AG29" s="24">
        <f t="shared" si="10"/>
        <v>0</v>
      </c>
      <c r="AH29" s="24">
        <f t="shared" si="11"/>
        <v>0</v>
      </c>
      <c r="AI29" s="9" t="s">
        <v>51</v>
      </c>
      <c r="AJ29" s="24">
        <f t="shared" si="12"/>
        <v>0</v>
      </c>
      <c r="AK29" s="24">
        <f t="shared" si="13"/>
        <v>0</v>
      </c>
      <c r="AL29" s="24">
        <f t="shared" si="14"/>
        <v>0</v>
      </c>
      <c r="AN29" s="24">
        <v>12</v>
      </c>
      <c r="AO29" s="24">
        <f>G29*0</f>
        <v>0</v>
      </c>
      <c r="AP29" s="24">
        <f>G29*(1-0)</f>
        <v>0</v>
      </c>
      <c r="AQ29" s="26" t="s">
        <v>66</v>
      </c>
      <c r="AV29" s="24">
        <f t="shared" si="15"/>
        <v>0</v>
      </c>
      <c r="AW29" s="24">
        <f t="shared" si="16"/>
        <v>0</v>
      </c>
      <c r="AX29" s="24">
        <f t="shared" si="17"/>
        <v>0</v>
      </c>
      <c r="AY29" s="26" t="s">
        <v>67</v>
      </c>
      <c r="AZ29" s="26" t="s">
        <v>68</v>
      </c>
      <c r="BA29" s="9" t="s">
        <v>60</v>
      </c>
      <c r="BC29" s="24">
        <f t="shared" si="18"/>
        <v>0</v>
      </c>
      <c r="BD29" s="24">
        <f t="shared" si="19"/>
        <v>0</v>
      </c>
      <c r="BE29" s="24">
        <v>0</v>
      </c>
      <c r="BF29" s="24">
        <f t="shared" si="20"/>
        <v>0</v>
      </c>
      <c r="BH29" s="24">
        <f t="shared" si="21"/>
        <v>0</v>
      </c>
      <c r="BI29" s="24">
        <f t="shared" si="22"/>
        <v>0</v>
      </c>
      <c r="BJ29" s="24">
        <f t="shared" si="23"/>
        <v>0</v>
      </c>
      <c r="BK29" s="24"/>
      <c r="BL29" s="24">
        <v>721</v>
      </c>
      <c r="BW29" s="24">
        <v>12</v>
      </c>
      <c r="BX29" s="4" t="s">
        <v>109</v>
      </c>
    </row>
    <row r="30" spans="1:76" ht="14.4" x14ac:dyDescent="0.3">
      <c r="A30" s="2" t="s">
        <v>110</v>
      </c>
      <c r="B30" s="3" t="s">
        <v>111</v>
      </c>
      <c r="C30" s="76" t="s">
        <v>112</v>
      </c>
      <c r="D30" s="71"/>
      <c r="E30" s="3" t="s">
        <v>57</v>
      </c>
      <c r="F30" s="24">
        <v>2</v>
      </c>
      <c r="G30" s="24">
        <v>0</v>
      </c>
      <c r="H30" s="24">
        <f t="shared" si="0"/>
        <v>0</v>
      </c>
      <c r="I30" s="24">
        <f t="shared" si="1"/>
        <v>0</v>
      </c>
      <c r="J30" s="24">
        <f t="shared" si="2"/>
        <v>0</v>
      </c>
      <c r="K30" s="24">
        <v>2.7E-4</v>
      </c>
      <c r="L30" s="25">
        <f t="shared" si="3"/>
        <v>5.4000000000000001E-4</v>
      </c>
      <c r="Z30" s="24">
        <f t="shared" si="4"/>
        <v>0</v>
      </c>
      <c r="AB30" s="24">
        <f t="shared" si="5"/>
        <v>0</v>
      </c>
      <c r="AC30" s="24">
        <f t="shared" si="6"/>
        <v>0</v>
      </c>
      <c r="AD30" s="24">
        <f t="shared" si="7"/>
        <v>0</v>
      </c>
      <c r="AE30" s="24">
        <f t="shared" si="8"/>
        <v>0</v>
      </c>
      <c r="AF30" s="24">
        <f t="shared" si="9"/>
        <v>0</v>
      </c>
      <c r="AG30" s="24">
        <f t="shared" si="10"/>
        <v>0</v>
      </c>
      <c r="AH30" s="24">
        <f t="shared" si="11"/>
        <v>0</v>
      </c>
      <c r="AI30" s="9" t="s">
        <v>51</v>
      </c>
      <c r="AJ30" s="24">
        <f t="shared" si="12"/>
        <v>0</v>
      </c>
      <c r="AK30" s="24">
        <f t="shared" si="13"/>
        <v>0</v>
      </c>
      <c r="AL30" s="24">
        <f t="shared" si="14"/>
        <v>0</v>
      </c>
      <c r="AN30" s="24">
        <v>12</v>
      </c>
      <c r="AO30" s="24">
        <f>G30*0.809607073</f>
        <v>0</v>
      </c>
      <c r="AP30" s="24">
        <f>G30*(1-0.809607073)</f>
        <v>0</v>
      </c>
      <c r="AQ30" s="26" t="s">
        <v>66</v>
      </c>
      <c r="AV30" s="24">
        <f t="shared" si="15"/>
        <v>0</v>
      </c>
      <c r="AW30" s="24">
        <f t="shared" si="16"/>
        <v>0</v>
      </c>
      <c r="AX30" s="24">
        <f t="shared" si="17"/>
        <v>0</v>
      </c>
      <c r="AY30" s="26" t="s">
        <v>67</v>
      </c>
      <c r="AZ30" s="26" t="s">
        <v>68</v>
      </c>
      <c r="BA30" s="9" t="s">
        <v>60</v>
      </c>
      <c r="BC30" s="24">
        <f t="shared" si="18"/>
        <v>0</v>
      </c>
      <c r="BD30" s="24">
        <f t="shared" si="19"/>
        <v>0</v>
      </c>
      <c r="BE30" s="24">
        <v>0</v>
      </c>
      <c r="BF30" s="24">
        <f t="shared" si="20"/>
        <v>5.4000000000000001E-4</v>
      </c>
      <c r="BH30" s="24">
        <f t="shared" si="21"/>
        <v>0</v>
      </c>
      <c r="BI30" s="24">
        <f t="shared" si="22"/>
        <v>0</v>
      </c>
      <c r="BJ30" s="24">
        <f t="shared" si="23"/>
        <v>0</v>
      </c>
      <c r="BK30" s="24"/>
      <c r="BL30" s="24">
        <v>721</v>
      </c>
      <c r="BW30" s="24">
        <v>12</v>
      </c>
      <c r="BX30" s="4" t="s">
        <v>112</v>
      </c>
    </row>
    <row r="31" spans="1:76" ht="14.4" x14ac:dyDescent="0.3">
      <c r="A31" s="2" t="s">
        <v>113</v>
      </c>
      <c r="B31" s="3" t="s">
        <v>114</v>
      </c>
      <c r="C31" s="76" t="s">
        <v>115</v>
      </c>
      <c r="D31" s="71"/>
      <c r="E31" s="3" t="s">
        <v>57</v>
      </c>
      <c r="F31" s="24">
        <v>1</v>
      </c>
      <c r="G31" s="24">
        <v>0</v>
      </c>
      <c r="H31" s="24">
        <f t="shared" si="0"/>
        <v>0</v>
      </c>
      <c r="I31" s="24">
        <f t="shared" si="1"/>
        <v>0</v>
      </c>
      <c r="J31" s="24">
        <f t="shared" si="2"/>
        <v>0</v>
      </c>
      <c r="K31" s="24">
        <v>9.6000000000000002E-4</v>
      </c>
      <c r="L31" s="25">
        <f t="shared" si="3"/>
        <v>9.6000000000000002E-4</v>
      </c>
      <c r="Z31" s="24">
        <f t="shared" si="4"/>
        <v>0</v>
      </c>
      <c r="AB31" s="24">
        <f t="shared" si="5"/>
        <v>0</v>
      </c>
      <c r="AC31" s="24">
        <f t="shared" si="6"/>
        <v>0</v>
      </c>
      <c r="AD31" s="24">
        <f t="shared" si="7"/>
        <v>0</v>
      </c>
      <c r="AE31" s="24">
        <f t="shared" si="8"/>
        <v>0</v>
      </c>
      <c r="AF31" s="24">
        <f t="shared" si="9"/>
        <v>0</v>
      </c>
      <c r="AG31" s="24">
        <f t="shared" si="10"/>
        <v>0</v>
      </c>
      <c r="AH31" s="24">
        <f t="shared" si="11"/>
        <v>0</v>
      </c>
      <c r="AI31" s="9" t="s">
        <v>51</v>
      </c>
      <c r="AJ31" s="24">
        <f t="shared" si="12"/>
        <v>0</v>
      </c>
      <c r="AK31" s="24">
        <f t="shared" si="13"/>
        <v>0</v>
      </c>
      <c r="AL31" s="24">
        <f t="shared" si="14"/>
        <v>0</v>
      </c>
      <c r="AN31" s="24">
        <v>12</v>
      </c>
      <c r="AO31" s="24">
        <f>G31*0.939881797</f>
        <v>0</v>
      </c>
      <c r="AP31" s="24">
        <f>G31*(1-0.939881797)</f>
        <v>0</v>
      </c>
      <c r="AQ31" s="26" t="s">
        <v>66</v>
      </c>
      <c r="AV31" s="24">
        <f t="shared" si="15"/>
        <v>0</v>
      </c>
      <c r="AW31" s="24">
        <f t="shared" si="16"/>
        <v>0</v>
      </c>
      <c r="AX31" s="24">
        <f t="shared" si="17"/>
        <v>0</v>
      </c>
      <c r="AY31" s="26" t="s">
        <v>67</v>
      </c>
      <c r="AZ31" s="26" t="s">
        <v>68</v>
      </c>
      <c r="BA31" s="9" t="s">
        <v>60</v>
      </c>
      <c r="BC31" s="24">
        <f t="shared" si="18"/>
        <v>0</v>
      </c>
      <c r="BD31" s="24">
        <f t="shared" si="19"/>
        <v>0</v>
      </c>
      <c r="BE31" s="24">
        <v>0</v>
      </c>
      <c r="BF31" s="24">
        <f t="shared" si="20"/>
        <v>9.6000000000000002E-4</v>
      </c>
      <c r="BH31" s="24">
        <f t="shared" si="21"/>
        <v>0</v>
      </c>
      <c r="BI31" s="24">
        <f t="shared" si="22"/>
        <v>0</v>
      </c>
      <c r="BJ31" s="24">
        <f t="shared" si="23"/>
        <v>0</v>
      </c>
      <c r="BK31" s="24"/>
      <c r="BL31" s="24">
        <v>721</v>
      </c>
      <c r="BW31" s="24">
        <v>12</v>
      </c>
      <c r="BX31" s="4" t="s">
        <v>115</v>
      </c>
    </row>
    <row r="32" spans="1:76" ht="14.4" x14ac:dyDescent="0.3">
      <c r="A32" s="2" t="s">
        <v>116</v>
      </c>
      <c r="B32" s="3" t="s">
        <v>117</v>
      </c>
      <c r="C32" s="76" t="s">
        <v>118</v>
      </c>
      <c r="D32" s="71"/>
      <c r="E32" s="3" t="s">
        <v>57</v>
      </c>
      <c r="F32" s="24">
        <v>1</v>
      </c>
      <c r="G32" s="24">
        <v>0</v>
      </c>
      <c r="H32" s="24">
        <f t="shared" si="0"/>
        <v>0</v>
      </c>
      <c r="I32" s="24">
        <f t="shared" si="1"/>
        <v>0</v>
      </c>
      <c r="J32" s="24">
        <f t="shared" si="2"/>
        <v>0</v>
      </c>
      <c r="K32" s="24">
        <v>0</v>
      </c>
      <c r="L32" s="25">
        <f t="shared" si="3"/>
        <v>0</v>
      </c>
      <c r="Z32" s="24">
        <f t="shared" si="4"/>
        <v>0</v>
      </c>
      <c r="AB32" s="24">
        <f t="shared" si="5"/>
        <v>0</v>
      </c>
      <c r="AC32" s="24">
        <f t="shared" si="6"/>
        <v>0</v>
      </c>
      <c r="AD32" s="24">
        <f t="shared" si="7"/>
        <v>0</v>
      </c>
      <c r="AE32" s="24">
        <f t="shared" si="8"/>
        <v>0</v>
      </c>
      <c r="AF32" s="24">
        <f t="shared" si="9"/>
        <v>0</v>
      </c>
      <c r="AG32" s="24">
        <f t="shared" si="10"/>
        <v>0</v>
      </c>
      <c r="AH32" s="24">
        <f t="shared" si="11"/>
        <v>0</v>
      </c>
      <c r="AI32" s="9" t="s">
        <v>51</v>
      </c>
      <c r="AJ32" s="24">
        <f t="shared" si="12"/>
        <v>0</v>
      </c>
      <c r="AK32" s="24">
        <f t="shared" si="13"/>
        <v>0</v>
      </c>
      <c r="AL32" s="24">
        <f t="shared" si="14"/>
        <v>0</v>
      </c>
      <c r="AN32" s="24">
        <v>12</v>
      </c>
      <c r="AO32" s="24">
        <f>G32*0</f>
        <v>0</v>
      </c>
      <c r="AP32" s="24">
        <f>G32*(1-0)</f>
        <v>0</v>
      </c>
      <c r="AQ32" s="26" t="s">
        <v>66</v>
      </c>
      <c r="AV32" s="24">
        <f t="shared" si="15"/>
        <v>0</v>
      </c>
      <c r="AW32" s="24">
        <f t="shared" si="16"/>
        <v>0</v>
      </c>
      <c r="AX32" s="24">
        <f t="shared" si="17"/>
        <v>0</v>
      </c>
      <c r="AY32" s="26" t="s">
        <v>67</v>
      </c>
      <c r="AZ32" s="26" t="s">
        <v>68</v>
      </c>
      <c r="BA32" s="9" t="s">
        <v>60</v>
      </c>
      <c r="BC32" s="24">
        <f t="shared" si="18"/>
        <v>0</v>
      </c>
      <c r="BD32" s="24">
        <f t="shared" si="19"/>
        <v>0</v>
      </c>
      <c r="BE32" s="24">
        <v>0</v>
      </c>
      <c r="BF32" s="24">
        <f t="shared" si="20"/>
        <v>0</v>
      </c>
      <c r="BH32" s="24">
        <f t="shared" si="21"/>
        <v>0</v>
      </c>
      <c r="BI32" s="24">
        <f t="shared" si="22"/>
        <v>0</v>
      </c>
      <c r="BJ32" s="24">
        <f t="shared" si="23"/>
        <v>0</v>
      </c>
      <c r="BK32" s="24"/>
      <c r="BL32" s="24">
        <v>721</v>
      </c>
      <c r="BW32" s="24">
        <v>12</v>
      </c>
      <c r="BX32" s="4" t="s">
        <v>118</v>
      </c>
    </row>
    <row r="33" spans="1:76" ht="14.4" x14ac:dyDescent="0.3">
      <c r="A33" s="2" t="s">
        <v>119</v>
      </c>
      <c r="B33" s="3" t="s">
        <v>120</v>
      </c>
      <c r="C33" s="76" t="s">
        <v>121</v>
      </c>
      <c r="D33" s="71"/>
      <c r="E33" s="3" t="s">
        <v>57</v>
      </c>
      <c r="F33" s="24">
        <v>1</v>
      </c>
      <c r="G33" s="24">
        <v>0</v>
      </c>
      <c r="H33" s="24">
        <f t="shared" si="0"/>
        <v>0</v>
      </c>
      <c r="I33" s="24">
        <f t="shared" si="1"/>
        <v>0</v>
      </c>
      <c r="J33" s="24">
        <f t="shared" si="2"/>
        <v>0</v>
      </c>
      <c r="K33" s="24">
        <v>0</v>
      </c>
      <c r="L33" s="25">
        <f t="shared" si="3"/>
        <v>0</v>
      </c>
      <c r="Z33" s="24">
        <f t="shared" si="4"/>
        <v>0</v>
      </c>
      <c r="AB33" s="24">
        <f t="shared" si="5"/>
        <v>0</v>
      </c>
      <c r="AC33" s="24">
        <f t="shared" si="6"/>
        <v>0</v>
      </c>
      <c r="AD33" s="24">
        <f t="shared" si="7"/>
        <v>0</v>
      </c>
      <c r="AE33" s="24">
        <f t="shared" si="8"/>
        <v>0</v>
      </c>
      <c r="AF33" s="24">
        <f t="shared" si="9"/>
        <v>0</v>
      </c>
      <c r="AG33" s="24">
        <f t="shared" si="10"/>
        <v>0</v>
      </c>
      <c r="AH33" s="24">
        <f t="shared" si="11"/>
        <v>0</v>
      </c>
      <c r="AI33" s="9" t="s">
        <v>51</v>
      </c>
      <c r="AJ33" s="24">
        <f t="shared" si="12"/>
        <v>0</v>
      </c>
      <c r="AK33" s="24">
        <f t="shared" si="13"/>
        <v>0</v>
      </c>
      <c r="AL33" s="24">
        <f t="shared" si="14"/>
        <v>0</v>
      </c>
      <c r="AN33" s="24">
        <v>12</v>
      </c>
      <c r="AO33" s="24">
        <f>G33*0</f>
        <v>0</v>
      </c>
      <c r="AP33" s="24">
        <f>G33*(1-0)</f>
        <v>0</v>
      </c>
      <c r="AQ33" s="26" t="s">
        <v>66</v>
      </c>
      <c r="AV33" s="24">
        <f t="shared" si="15"/>
        <v>0</v>
      </c>
      <c r="AW33" s="24">
        <f t="shared" si="16"/>
        <v>0</v>
      </c>
      <c r="AX33" s="24">
        <f t="shared" si="17"/>
        <v>0</v>
      </c>
      <c r="AY33" s="26" t="s">
        <v>67</v>
      </c>
      <c r="AZ33" s="26" t="s">
        <v>68</v>
      </c>
      <c r="BA33" s="9" t="s">
        <v>60</v>
      </c>
      <c r="BC33" s="24">
        <f t="shared" si="18"/>
        <v>0</v>
      </c>
      <c r="BD33" s="24">
        <f t="shared" si="19"/>
        <v>0</v>
      </c>
      <c r="BE33" s="24">
        <v>0</v>
      </c>
      <c r="BF33" s="24">
        <f t="shared" si="20"/>
        <v>0</v>
      </c>
      <c r="BH33" s="24">
        <f t="shared" si="21"/>
        <v>0</v>
      </c>
      <c r="BI33" s="24">
        <f t="shared" si="22"/>
        <v>0</v>
      </c>
      <c r="BJ33" s="24">
        <f t="shared" si="23"/>
        <v>0</v>
      </c>
      <c r="BK33" s="24"/>
      <c r="BL33" s="24">
        <v>721</v>
      </c>
      <c r="BW33" s="24">
        <v>12</v>
      </c>
      <c r="BX33" s="4" t="s">
        <v>121</v>
      </c>
    </row>
    <row r="34" spans="1:76" ht="14.4" x14ac:dyDescent="0.3">
      <c r="A34" s="2" t="s">
        <v>122</v>
      </c>
      <c r="B34" s="3" t="s">
        <v>123</v>
      </c>
      <c r="C34" s="76" t="s">
        <v>124</v>
      </c>
      <c r="D34" s="71"/>
      <c r="E34" s="3" t="s">
        <v>57</v>
      </c>
      <c r="F34" s="24">
        <v>1</v>
      </c>
      <c r="G34" s="24">
        <v>0</v>
      </c>
      <c r="H34" s="24">
        <f t="shared" si="0"/>
        <v>0</v>
      </c>
      <c r="I34" s="24">
        <f t="shared" si="1"/>
        <v>0</v>
      </c>
      <c r="J34" s="24">
        <f t="shared" si="2"/>
        <v>0</v>
      </c>
      <c r="K34" s="24">
        <v>1.01E-3</v>
      </c>
      <c r="L34" s="25">
        <f t="shared" si="3"/>
        <v>1.01E-3</v>
      </c>
      <c r="Z34" s="24">
        <f t="shared" si="4"/>
        <v>0</v>
      </c>
      <c r="AB34" s="24">
        <f t="shared" si="5"/>
        <v>0</v>
      </c>
      <c r="AC34" s="24">
        <f t="shared" si="6"/>
        <v>0</v>
      </c>
      <c r="AD34" s="24">
        <f t="shared" si="7"/>
        <v>0</v>
      </c>
      <c r="AE34" s="24">
        <f t="shared" si="8"/>
        <v>0</v>
      </c>
      <c r="AF34" s="24">
        <f t="shared" si="9"/>
        <v>0</v>
      </c>
      <c r="AG34" s="24">
        <f t="shared" si="10"/>
        <v>0</v>
      </c>
      <c r="AH34" s="24">
        <f t="shared" si="11"/>
        <v>0</v>
      </c>
      <c r="AI34" s="9" t="s">
        <v>51</v>
      </c>
      <c r="AJ34" s="24">
        <f t="shared" si="12"/>
        <v>0</v>
      </c>
      <c r="AK34" s="24">
        <f t="shared" si="13"/>
        <v>0</v>
      </c>
      <c r="AL34" s="24">
        <f t="shared" si="14"/>
        <v>0</v>
      </c>
      <c r="AN34" s="24">
        <v>12</v>
      </c>
      <c r="AO34" s="24">
        <f>G34*0.125557809</f>
        <v>0</v>
      </c>
      <c r="AP34" s="24">
        <f>G34*(1-0.125557809)</f>
        <v>0</v>
      </c>
      <c r="AQ34" s="26" t="s">
        <v>66</v>
      </c>
      <c r="AV34" s="24">
        <f t="shared" si="15"/>
        <v>0</v>
      </c>
      <c r="AW34" s="24">
        <f t="shared" si="16"/>
        <v>0</v>
      </c>
      <c r="AX34" s="24">
        <f t="shared" si="17"/>
        <v>0</v>
      </c>
      <c r="AY34" s="26" t="s">
        <v>67</v>
      </c>
      <c r="AZ34" s="26" t="s">
        <v>68</v>
      </c>
      <c r="BA34" s="9" t="s">
        <v>60</v>
      </c>
      <c r="BC34" s="24">
        <f t="shared" si="18"/>
        <v>0</v>
      </c>
      <c r="BD34" s="24">
        <f t="shared" si="19"/>
        <v>0</v>
      </c>
      <c r="BE34" s="24">
        <v>0</v>
      </c>
      <c r="BF34" s="24">
        <f t="shared" si="20"/>
        <v>1.01E-3</v>
      </c>
      <c r="BH34" s="24">
        <f t="shared" si="21"/>
        <v>0</v>
      </c>
      <c r="BI34" s="24">
        <f t="shared" si="22"/>
        <v>0</v>
      </c>
      <c r="BJ34" s="24">
        <f t="shared" si="23"/>
        <v>0</v>
      </c>
      <c r="BK34" s="24"/>
      <c r="BL34" s="24">
        <v>721</v>
      </c>
      <c r="BW34" s="24">
        <v>12</v>
      </c>
      <c r="BX34" s="4" t="s">
        <v>124</v>
      </c>
    </row>
    <row r="35" spans="1:76" ht="14.4" x14ac:dyDescent="0.3">
      <c r="A35" s="2" t="s">
        <v>125</v>
      </c>
      <c r="B35" s="3" t="s">
        <v>126</v>
      </c>
      <c r="C35" s="76" t="s">
        <v>127</v>
      </c>
      <c r="D35" s="71"/>
      <c r="E35" s="3" t="s">
        <v>75</v>
      </c>
      <c r="F35" s="24">
        <v>20</v>
      </c>
      <c r="G35" s="24">
        <v>0</v>
      </c>
      <c r="H35" s="24">
        <f t="shared" si="0"/>
        <v>0</v>
      </c>
      <c r="I35" s="24">
        <f t="shared" si="1"/>
        <v>0</v>
      </c>
      <c r="J35" s="24">
        <f t="shared" si="2"/>
        <v>0</v>
      </c>
      <c r="K35" s="24">
        <v>0</v>
      </c>
      <c r="L35" s="25">
        <f t="shared" si="3"/>
        <v>0</v>
      </c>
      <c r="Z35" s="24">
        <f t="shared" si="4"/>
        <v>0</v>
      </c>
      <c r="AB35" s="24">
        <f t="shared" si="5"/>
        <v>0</v>
      </c>
      <c r="AC35" s="24">
        <f t="shared" si="6"/>
        <v>0</v>
      </c>
      <c r="AD35" s="24">
        <f t="shared" si="7"/>
        <v>0</v>
      </c>
      <c r="AE35" s="24">
        <f t="shared" si="8"/>
        <v>0</v>
      </c>
      <c r="AF35" s="24">
        <f t="shared" si="9"/>
        <v>0</v>
      </c>
      <c r="AG35" s="24">
        <f t="shared" si="10"/>
        <v>0</v>
      </c>
      <c r="AH35" s="24">
        <f t="shared" si="11"/>
        <v>0</v>
      </c>
      <c r="AI35" s="9" t="s">
        <v>51</v>
      </c>
      <c r="AJ35" s="24">
        <f t="shared" si="12"/>
        <v>0</v>
      </c>
      <c r="AK35" s="24">
        <f t="shared" si="13"/>
        <v>0</v>
      </c>
      <c r="AL35" s="24">
        <f t="shared" si="14"/>
        <v>0</v>
      </c>
      <c r="AN35" s="24">
        <v>12</v>
      </c>
      <c r="AO35" s="24">
        <f>G35*0</f>
        <v>0</v>
      </c>
      <c r="AP35" s="24">
        <f>G35*(1-0)</f>
        <v>0</v>
      </c>
      <c r="AQ35" s="26" t="s">
        <v>66</v>
      </c>
      <c r="AV35" s="24">
        <f t="shared" si="15"/>
        <v>0</v>
      </c>
      <c r="AW35" s="24">
        <f t="shared" si="16"/>
        <v>0</v>
      </c>
      <c r="AX35" s="24">
        <f t="shared" si="17"/>
        <v>0</v>
      </c>
      <c r="AY35" s="26" t="s">
        <v>67</v>
      </c>
      <c r="AZ35" s="26" t="s">
        <v>68</v>
      </c>
      <c r="BA35" s="9" t="s">
        <v>60</v>
      </c>
      <c r="BC35" s="24">
        <f t="shared" si="18"/>
        <v>0</v>
      </c>
      <c r="BD35" s="24">
        <f t="shared" si="19"/>
        <v>0</v>
      </c>
      <c r="BE35" s="24">
        <v>0</v>
      </c>
      <c r="BF35" s="24">
        <f t="shared" si="20"/>
        <v>0</v>
      </c>
      <c r="BH35" s="24">
        <f t="shared" si="21"/>
        <v>0</v>
      </c>
      <c r="BI35" s="24">
        <f t="shared" si="22"/>
        <v>0</v>
      </c>
      <c r="BJ35" s="24">
        <f t="shared" si="23"/>
        <v>0</v>
      </c>
      <c r="BK35" s="24"/>
      <c r="BL35" s="24">
        <v>721</v>
      </c>
      <c r="BW35" s="24">
        <v>12</v>
      </c>
      <c r="BX35" s="4" t="s">
        <v>127</v>
      </c>
    </row>
    <row r="36" spans="1:76" ht="14.4" x14ac:dyDescent="0.3">
      <c r="A36" s="2" t="s">
        <v>128</v>
      </c>
      <c r="B36" s="3" t="s">
        <v>129</v>
      </c>
      <c r="C36" s="76" t="s">
        <v>130</v>
      </c>
      <c r="D36" s="71"/>
      <c r="E36" s="3" t="s">
        <v>57</v>
      </c>
      <c r="F36" s="24">
        <v>6</v>
      </c>
      <c r="G36" s="24">
        <v>0</v>
      </c>
      <c r="H36" s="24">
        <f t="shared" si="0"/>
        <v>0</v>
      </c>
      <c r="I36" s="24">
        <f t="shared" si="1"/>
        <v>0</v>
      </c>
      <c r="J36" s="24">
        <f t="shared" si="2"/>
        <v>0</v>
      </c>
      <c r="K36" s="24">
        <v>5.0000000000000002E-5</v>
      </c>
      <c r="L36" s="25">
        <f t="shared" si="3"/>
        <v>3.0000000000000003E-4</v>
      </c>
      <c r="Z36" s="24">
        <f t="shared" si="4"/>
        <v>0</v>
      </c>
      <c r="AB36" s="24">
        <f t="shared" si="5"/>
        <v>0</v>
      </c>
      <c r="AC36" s="24">
        <f t="shared" si="6"/>
        <v>0</v>
      </c>
      <c r="AD36" s="24">
        <f t="shared" si="7"/>
        <v>0</v>
      </c>
      <c r="AE36" s="24">
        <f t="shared" si="8"/>
        <v>0</v>
      </c>
      <c r="AF36" s="24">
        <f t="shared" si="9"/>
        <v>0</v>
      </c>
      <c r="AG36" s="24">
        <f t="shared" si="10"/>
        <v>0</v>
      </c>
      <c r="AH36" s="24">
        <f t="shared" si="11"/>
        <v>0</v>
      </c>
      <c r="AI36" s="9" t="s">
        <v>51</v>
      </c>
      <c r="AJ36" s="24">
        <f t="shared" si="12"/>
        <v>0</v>
      </c>
      <c r="AK36" s="24">
        <f t="shared" si="13"/>
        <v>0</v>
      </c>
      <c r="AL36" s="24">
        <f t="shared" si="14"/>
        <v>0</v>
      </c>
      <c r="AN36" s="24">
        <v>12</v>
      </c>
      <c r="AO36" s="24">
        <f>G36*0.83572093</f>
        <v>0</v>
      </c>
      <c r="AP36" s="24">
        <f>G36*(1-0.83572093)</f>
        <v>0</v>
      </c>
      <c r="AQ36" s="26" t="s">
        <v>66</v>
      </c>
      <c r="AV36" s="24">
        <f t="shared" si="15"/>
        <v>0</v>
      </c>
      <c r="AW36" s="24">
        <f t="shared" si="16"/>
        <v>0</v>
      </c>
      <c r="AX36" s="24">
        <f t="shared" si="17"/>
        <v>0</v>
      </c>
      <c r="AY36" s="26" t="s">
        <v>67</v>
      </c>
      <c r="AZ36" s="26" t="s">
        <v>68</v>
      </c>
      <c r="BA36" s="9" t="s">
        <v>60</v>
      </c>
      <c r="BC36" s="24">
        <f t="shared" si="18"/>
        <v>0</v>
      </c>
      <c r="BD36" s="24">
        <f t="shared" si="19"/>
        <v>0</v>
      </c>
      <c r="BE36" s="24">
        <v>0</v>
      </c>
      <c r="BF36" s="24">
        <f t="shared" si="20"/>
        <v>3.0000000000000003E-4</v>
      </c>
      <c r="BH36" s="24">
        <f t="shared" si="21"/>
        <v>0</v>
      </c>
      <c r="BI36" s="24">
        <f t="shared" si="22"/>
        <v>0</v>
      </c>
      <c r="BJ36" s="24">
        <f t="shared" si="23"/>
        <v>0</v>
      </c>
      <c r="BK36" s="24"/>
      <c r="BL36" s="24">
        <v>721</v>
      </c>
      <c r="BW36" s="24">
        <v>12</v>
      </c>
      <c r="BX36" s="4" t="s">
        <v>130</v>
      </c>
    </row>
    <row r="37" spans="1:76" ht="14.4" x14ac:dyDescent="0.3">
      <c r="A37" s="2" t="s">
        <v>131</v>
      </c>
      <c r="B37" s="3" t="s">
        <v>132</v>
      </c>
      <c r="C37" s="76" t="s">
        <v>133</v>
      </c>
      <c r="D37" s="71"/>
      <c r="E37" s="3" t="s">
        <v>57</v>
      </c>
      <c r="F37" s="24">
        <v>6</v>
      </c>
      <c r="G37" s="24">
        <v>0</v>
      </c>
      <c r="H37" s="24">
        <f t="shared" si="0"/>
        <v>0</v>
      </c>
      <c r="I37" s="24">
        <f t="shared" si="1"/>
        <v>0</v>
      </c>
      <c r="J37" s="24">
        <f t="shared" si="2"/>
        <v>0</v>
      </c>
      <c r="K37" s="24">
        <v>5.0000000000000002E-5</v>
      </c>
      <c r="L37" s="25">
        <f t="shared" si="3"/>
        <v>3.0000000000000003E-4</v>
      </c>
      <c r="Z37" s="24">
        <f t="shared" si="4"/>
        <v>0</v>
      </c>
      <c r="AB37" s="24">
        <f t="shared" si="5"/>
        <v>0</v>
      </c>
      <c r="AC37" s="24">
        <f t="shared" si="6"/>
        <v>0</v>
      </c>
      <c r="AD37" s="24">
        <f t="shared" si="7"/>
        <v>0</v>
      </c>
      <c r="AE37" s="24">
        <f t="shared" si="8"/>
        <v>0</v>
      </c>
      <c r="AF37" s="24">
        <f t="shared" si="9"/>
        <v>0</v>
      </c>
      <c r="AG37" s="24">
        <f t="shared" si="10"/>
        <v>0</v>
      </c>
      <c r="AH37" s="24">
        <f t="shared" si="11"/>
        <v>0</v>
      </c>
      <c r="AI37" s="9" t="s">
        <v>51</v>
      </c>
      <c r="AJ37" s="24">
        <f t="shared" si="12"/>
        <v>0</v>
      </c>
      <c r="AK37" s="24">
        <f t="shared" si="13"/>
        <v>0</v>
      </c>
      <c r="AL37" s="24">
        <f t="shared" si="14"/>
        <v>0</v>
      </c>
      <c r="AN37" s="24">
        <v>12</v>
      </c>
      <c r="AO37" s="24">
        <f>G37*0.834279621</f>
        <v>0</v>
      </c>
      <c r="AP37" s="24">
        <f>G37*(1-0.834279621)</f>
        <v>0</v>
      </c>
      <c r="AQ37" s="26" t="s">
        <v>66</v>
      </c>
      <c r="AV37" s="24">
        <f t="shared" si="15"/>
        <v>0</v>
      </c>
      <c r="AW37" s="24">
        <f t="shared" si="16"/>
        <v>0</v>
      </c>
      <c r="AX37" s="24">
        <f t="shared" si="17"/>
        <v>0</v>
      </c>
      <c r="AY37" s="26" t="s">
        <v>67</v>
      </c>
      <c r="AZ37" s="26" t="s">
        <v>68</v>
      </c>
      <c r="BA37" s="9" t="s">
        <v>60</v>
      </c>
      <c r="BC37" s="24">
        <f t="shared" si="18"/>
        <v>0</v>
      </c>
      <c r="BD37" s="24">
        <f t="shared" si="19"/>
        <v>0</v>
      </c>
      <c r="BE37" s="24">
        <v>0</v>
      </c>
      <c r="BF37" s="24">
        <f t="shared" si="20"/>
        <v>3.0000000000000003E-4</v>
      </c>
      <c r="BH37" s="24">
        <f t="shared" si="21"/>
        <v>0</v>
      </c>
      <c r="BI37" s="24">
        <f t="shared" si="22"/>
        <v>0</v>
      </c>
      <c r="BJ37" s="24">
        <f t="shared" si="23"/>
        <v>0</v>
      </c>
      <c r="BK37" s="24"/>
      <c r="BL37" s="24">
        <v>721</v>
      </c>
      <c r="BW37" s="24">
        <v>12</v>
      </c>
      <c r="BX37" s="4" t="s">
        <v>133</v>
      </c>
    </row>
    <row r="38" spans="1:76" ht="14.4" x14ac:dyDescent="0.3">
      <c r="A38" s="2" t="s">
        <v>134</v>
      </c>
      <c r="B38" s="3" t="s">
        <v>135</v>
      </c>
      <c r="C38" s="76" t="s">
        <v>136</v>
      </c>
      <c r="D38" s="71"/>
      <c r="E38" s="3" t="s">
        <v>137</v>
      </c>
      <c r="F38" s="24">
        <v>12</v>
      </c>
      <c r="G38" s="24">
        <v>0</v>
      </c>
      <c r="H38" s="24">
        <f t="shared" si="0"/>
        <v>0</v>
      </c>
      <c r="I38" s="24">
        <f t="shared" si="1"/>
        <v>0</v>
      </c>
      <c r="J38" s="24">
        <f t="shared" si="2"/>
        <v>0</v>
      </c>
      <c r="K38" s="24">
        <v>0</v>
      </c>
      <c r="L38" s="25">
        <f t="shared" si="3"/>
        <v>0</v>
      </c>
      <c r="Z38" s="24">
        <f t="shared" si="4"/>
        <v>0</v>
      </c>
      <c r="AB38" s="24">
        <f t="shared" si="5"/>
        <v>0</v>
      </c>
      <c r="AC38" s="24">
        <f t="shared" si="6"/>
        <v>0</v>
      </c>
      <c r="AD38" s="24">
        <f t="shared" si="7"/>
        <v>0</v>
      </c>
      <c r="AE38" s="24">
        <f t="shared" si="8"/>
        <v>0</v>
      </c>
      <c r="AF38" s="24">
        <f t="shared" si="9"/>
        <v>0</v>
      </c>
      <c r="AG38" s="24">
        <f t="shared" si="10"/>
        <v>0</v>
      </c>
      <c r="AH38" s="24">
        <f t="shared" si="11"/>
        <v>0</v>
      </c>
      <c r="AI38" s="9" t="s">
        <v>51</v>
      </c>
      <c r="AJ38" s="24">
        <f t="shared" si="12"/>
        <v>0</v>
      </c>
      <c r="AK38" s="24">
        <f t="shared" si="13"/>
        <v>0</v>
      </c>
      <c r="AL38" s="24">
        <f t="shared" si="14"/>
        <v>0</v>
      </c>
      <c r="AN38" s="24">
        <v>12</v>
      </c>
      <c r="AO38" s="24">
        <f>G38*0.4</f>
        <v>0</v>
      </c>
      <c r="AP38" s="24">
        <f>G38*(1-0.4)</f>
        <v>0</v>
      </c>
      <c r="AQ38" s="26" t="s">
        <v>66</v>
      </c>
      <c r="AV38" s="24">
        <f t="shared" si="15"/>
        <v>0</v>
      </c>
      <c r="AW38" s="24">
        <f t="shared" si="16"/>
        <v>0</v>
      </c>
      <c r="AX38" s="24">
        <f t="shared" si="17"/>
        <v>0</v>
      </c>
      <c r="AY38" s="26" t="s">
        <v>67</v>
      </c>
      <c r="AZ38" s="26" t="s">
        <v>68</v>
      </c>
      <c r="BA38" s="9" t="s">
        <v>60</v>
      </c>
      <c r="BC38" s="24">
        <f t="shared" si="18"/>
        <v>0</v>
      </c>
      <c r="BD38" s="24">
        <f t="shared" si="19"/>
        <v>0</v>
      </c>
      <c r="BE38" s="24">
        <v>0</v>
      </c>
      <c r="BF38" s="24">
        <f t="shared" si="20"/>
        <v>0</v>
      </c>
      <c r="BH38" s="24">
        <f t="shared" si="21"/>
        <v>0</v>
      </c>
      <c r="BI38" s="24">
        <f t="shared" si="22"/>
        <v>0</v>
      </c>
      <c r="BJ38" s="24">
        <f t="shared" si="23"/>
        <v>0</v>
      </c>
      <c r="BK38" s="24"/>
      <c r="BL38" s="24">
        <v>721</v>
      </c>
      <c r="BW38" s="24">
        <v>12</v>
      </c>
      <c r="BX38" s="4" t="s">
        <v>136</v>
      </c>
    </row>
    <row r="39" spans="1:76" ht="14.4" x14ac:dyDescent="0.3">
      <c r="A39" s="2" t="s">
        <v>138</v>
      </c>
      <c r="B39" s="3" t="s">
        <v>139</v>
      </c>
      <c r="C39" s="76" t="s">
        <v>140</v>
      </c>
      <c r="D39" s="71"/>
      <c r="E39" s="3" t="s">
        <v>75</v>
      </c>
      <c r="F39" s="24">
        <v>92</v>
      </c>
      <c r="G39" s="24">
        <v>0</v>
      </c>
      <c r="H39" s="24">
        <f t="shared" si="0"/>
        <v>0</v>
      </c>
      <c r="I39" s="24">
        <f t="shared" si="1"/>
        <v>0</v>
      </c>
      <c r="J39" s="24">
        <f t="shared" si="2"/>
        <v>0</v>
      </c>
      <c r="K39" s="24">
        <v>0</v>
      </c>
      <c r="L39" s="25">
        <f t="shared" si="3"/>
        <v>0</v>
      </c>
      <c r="Z39" s="24">
        <f t="shared" si="4"/>
        <v>0</v>
      </c>
      <c r="AB39" s="24">
        <f t="shared" si="5"/>
        <v>0</v>
      </c>
      <c r="AC39" s="24">
        <f t="shared" si="6"/>
        <v>0</v>
      </c>
      <c r="AD39" s="24">
        <f t="shared" si="7"/>
        <v>0</v>
      </c>
      <c r="AE39" s="24">
        <f t="shared" si="8"/>
        <v>0</v>
      </c>
      <c r="AF39" s="24">
        <f t="shared" si="9"/>
        <v>0</v>
      </c>
      <c r="AG39" s="24">
        <f t="shared" si="10"/>
        <v>0</v>
      </c>
      <c r="AH39" s="24">
        <f t="shared" si="11"/>
        <v>0</v>
      </c>
      <c r="AI39" s="9" t="s">
        <v>51</v>
      </c>
      <c r="AJ39" s="24">
        <f t="shared" si="12"/>
        <v>0</v>
      </c>
      <c r="AK39" s="24">
        <f t="shared" si="13"/>
        <v>0</v>
      </c>
      <c r="AL39" s="24">
        <f t="shared" si="14"/>
        <v>0</v>
      </c>
      <c r="AN39" s="24">
        <v>12</v>
      </c>
      <c r="AO39" s="24">
        <f>G39*0.026576041</f>
        <v>0</v>
      </c>
      <c r="AP39" s="24">
        <f>G39*(1-0.026576041)</f>
        <v>0</v>
      </c>
      <c r="AQ39" s="26" t="s">
        <v>66</v>
      </c>
      <c r="AV39" s="24">
        <f t="shared" si="15"/>
        <v>0</v>
      </c>
      <c r="AW39" s="24">
        <f t="shared" si="16"/>
        <v>0</v>
      </c>
      <c r="AX39" s="24">
        <f t="shared" si="17"/>
        <v>0</v>
      </c>
      <c r="AY39" s="26" t="s">
        <v>67</v>
      </c>
      <c r="AZ39" s="26" t="s">
        <v>68</v>
      </c>
      <c r="BA39" s="9" t="s">
        <v>60</v>
      </c>
      <c r="BC39" s="24">
        <f t="shared" si="18"/>
        <v>0</v>
      </c>
      <c r="BD39" s="24">
        <f t="shared" si="19"/>
        <v>0</v>
      </c>
      <c r="BE39" s="24">
        <v>0</v>
      </c>
      <c r="BF39" s="24">
        <f t="shared" si="20"/>
        <v>0</v>
      </c>
      <c r="BH39" s="24">
        <f t="shared" si="21"/>
        <v>0</v>
      </c>
      <c r="BI39" s="24">
        <f t="shared" si="22"/>
        <v>0</v>
      </c>
      <c r="BJ39" s="24">
        <f t="shared" si="23"/>
        <v>0</v>
      </c>
      <c r="BK39" s="24"/>
      <c r="BL39" s="24">
        <v>721</v>
      </c>
      <c r="BW39" s="24">
        <v>12</v>
      </c>
      <c r="BX39" s="4" t="s">
        <v>140</v>
      </c>
    </row>
    <row r="40" spans="1:76" ht="14.4" x14ac:dyDescent="0.3">
      <c r="A40" s="2" t="s">
        <v>141</v>
      </c>
      <c r="B40" s="3" t="s">
        <v>142</v>
      </c>
      <c r="C40" s="76" t="s">
        <v>143</v>
      </c>
      <c r="D40" s="71"/>
      <c r="E40" s="3" t="s">
        <v>144</v>
      </c>
      <c r="F40" s="24">
        <v>0.68</v>
      </c>
      <c r="G40" s="24">
        <v>0</v>
      </c>
      <c r="H40" s="24">
        <f t="shared" si="0"/>
        <v>0</v>
      </c>
      <c r="I40" s="24">
        <f t="shared" si="1"/>
        <v>0</v>
      </c>
      <c r="J40" s="24">
        <f t="shared" si="2"/>
        <v>0</v>
      </c>
      <c r="K40" s="24">
        <v>0</v>
      </c>
      <c r="L40" s="25">
        <f t="shared" si="3"/>
        <v>0</v>
      </c>
      <c r="Z40" s="24">
        <f t="shared" si="4"/>
        <v>0</v>
      </c>
      <c r="AB40" s="24">
        <f t="shared" si="5"/>
        <v>0</v>
      </c>
      <c r="AC40" s="24">
        <f t="shared" si="6"/>
        <v>0</v>
      </c>
      <c r="AD40" s="24">
        <f t="shared" si="7"/>
        <v>0</v>
      </c>
      <c r="AE40" s="24">
        <f t="shared" si="8"/>
        <v>0</v>
      </c>
      <c r="AF40" s="24">
        <f t="shared" si="9"/>
        <v>0</v>
      </c>
      <c r="AG40" s="24">
        <f t="shared" si="10"/>
        <v>0</v>
      </c>
      <c r="AH40" s="24">
        <f t="shared" si="11"/>
        <v>0</v>
      </c>
      <c r="AI40" s="9" t="s">
        <v>51</v>
      </c>
      <c r="AJ40" s="24">
        <f t="shared" si="12"/>
        <v>0</v>
      </c>
      <c r="AK40" s="24">
        <f t="shared" si="13"/>
        <v>0</v>
      </c>
      <c r="AL40" s="24">
        <f t="shared" si="14"/>
        <v>0</v>
      </c>
      <c r="AN40" s="24">
        <v>12</v>
      </c>
      <c r="AO40" s="24">
        <f>G40*0</f>
        <v>0</v>
      </c>
      <c r="AP40" s="24">
        <f>G40*(1-0)</f>
        <v>0</v>
      </c>
      <c r="AQ40" s="26" t="s">
        <v>66</v>
      </c>
      <c r="AV40" s="24">
        <f t="shared" si="15"/>
        <v>0</v>
      </c>
      <c r="AW40" s="24">
        <f t="shared" si="16"/>
        <v>0</v>
      </c>
      <c r="AX40" s="24">
        <f t="shared" si="17"/>
        <v>0</v>
      </c>
      <c r="AY40" s="26" t="s">
        <v>67</v>
      </c>
      <c r="AZ40" s="26" t="s">
        <v>68</v>
      </c>
      <c r="BA40" s="9" t="s">
        <v>60</v>
      </c>
      <c r="BC40" s="24">
        <f t="shared" si="18"/>
        <v>0</v>
      </c>
      <c r="BD40" s="24">
        <f t="shared" si="19"/>
        <v>0</v>
      </c>
      <c r="BE40" s="24">
        <v>0</v>
      </c>
      <c r="BF40" s="24">
        <f t="shared" si="20"/>
        <v>0</v>
      </c>
      <c r="BH40" s="24">
        <f t="shared" si="21"/>
        <v>0</v>
      </c>
      <c r="BI40" s="24">
        <f t="shared" si="22"/>
        <v>0</v>
      </c>
      <c r="BJ40" s="24">
        <f t="shared" si="23"/>
        <v>0</v>
      </c>
      <c r="BK40" s="24"/>
      <c r="BL40" s="24">
        <v>721</v>
      </c>
      <c r="BW40" s="24">
        <v>12</v>
      </c>
      <c r="BX40" s="4" t="s">
        <v>143</v>
      </c>
    </row>
    <row r="41" spans="1:76" ht="14.4" x14ac:dyDescent="0.3">
      <c r="A41" s="2" t="s">
        <v>145</v>
      </c>
      <c r="B41" s="3" t="s">
        <v>146</v>
      </c>
      <c r="C41" s="76" t="s">
        <v>147</v>
      </c>
      <c r="D41" s="71"/>
      <c r="E41" s="3" t="s">
        <v>57</v>
      </c>
      <c r="F41" s="24">
        <v>2</v>
      </c>
      <c r="G41" s="24">
        <v>0</v>
      </c>
      <c r="H41" s="24">
        <f t="shared" si="0"/>
        <v>0</v>
      </c>
      <c r="I41" s="24">
        <f t="shared" si="1"/>
        <v>0</v>
      </c>
      <c r="J41" s="24">
        <f t="shared" si="2"/>
        <v>0</v>
      </c>
      <c r="K41" s="24">
        <v>2.0000000000000001E-4</v>
      </c>
      <c r="L41" s="25">
        <f t="shared" si="3"/>
        <v>4.0000000000000002E-4</v>
      </c>
      <c r="Z41" s="24">
        <f t="shared" si="4"/>
        <v>0</v>
      </c>
      <c r="AB41" s="24">
        <f t="shared" si="5"/>
        <v>0</v>
      </c>
      <c r="AC41" s="24">
        <f t="shared" si="6"/>
        <v>0</v>
      </c>
      <c r="AD41" s="24">
        <f t="shared" si="7"/>
        <v>0</v>
      </c>
      <c r="AE41" s="24">
        <f t="shared" si="8"/>
        <v>0</v>
      </c>
      <c r="AF41" s="24">
        <f t="shared" si="9"/>
        <v>0</v>
      </c>
      <c r="AG41" s="24">
        <f t="shared" si="10"/>
        <v>0</v>
      </c>
      <c r="AH41" s="24">
        <f t="shared" si="11"/>
        <v>0</v>
      </c>
      <c r="AI41" s="9" t="s">
        <v>51</v>
      </c>
      <c r="AJ41" s="24">
        <f t="shared" si="12"/>
        <v>0</v>
      </c>
      <c r="AK41" s="24">
        <f t="shared" si="13"/>
        <v>0</v>
      </c>
      <c r="AL41" s="24">
        <f t="shared" si="14"/>
        <v>0</v>
      </c>
      <c r="AN41" s="24">
        <v>12</v>
      </c>
      <c r="AO41" s="24">
        <f>G41*1</f>
        <v>0</v>
      </c>
      <c r="AP41" s="24">
        <f>G41*(1-1)</f>
        <v>0</v>
      </c>
      <c r="AQ41" s="26" t="s">
        <v>66</v>
      </c>
      <c r="AV41" s="24">
        <f t="shared" si="15"/>
        <v>0</v>
      </c>
      <c r="AW41" s="24">
        <f t="shared" si="16"/>
        <v>0</v>
      </c>
      <c r="AX41" s="24">
        <f t="shared" si="17"/>
        <v>0</v>
      </c>
      <c r="AY41" s="26" t="s">
        <v>67</v>
      </c>
      <c r="AZ41" s="26" t="s">
        <v>68</v>
      </c>
      <c r="BA41" s="9" t="s">
        <v>60</v>
      </c>
      <c r="BC41" s="24">
        <f t="shared" si="18"/>
        <v>0</v>
      </c>
      <c r="BD41" s="24">
        <f t="shared" si="19"/>
        <v>0</v>
      </c>
      <c r="BE41" s="24">
        <v>0</v>
      </c>
      <c r="BF41" s="24">
        <f t="shared" si="20"/>
        <v>4.0000000000000002E-4</v>
      </c>
      <c r="BH41" s="24">
        <f t="shared" si="21"/>
        <v>0</v>
      </c>
      <c r="BI41" s="24">
        <f t="shared" si="22"/>
        <v>0</v>
      </c>
      <c r="BJ41" s="24">
        <f t="shared" si="23"/>
        <v>0</v>
      </c>
      <c r="BK41" s="24"/>
      <c r="BL41" s="24">
        <v>721</v>
      </c>
      <c r="BW41" s="24">
        <v>12</v>
      </c>
      <c r="BX41" s="4" t="s">
        <v>147</v>
      </c>
    </row>
    <row r="42" spans="1:76" ht="14.4" x14ac:dyDescent="0.3">
      <c r="A42" s="2" t="s">
        <v>148</v>
      </c>
      <c r="B42" s="3" t="s">
        <v>70</v>
      </c>
      <c r="C42" s="76" t="s">
        <v>149</v>
      </c>
      <c r="D42" s="71"/>
      <c r="E42" s="3" t="s">
        <v>57</v>
      </c>
      <c r="F42" s="24">
        <v>2</v>
      </c>
      <c r="G42" s="24">
        <v>0</v>
      </c>
      <c r="H42" s="24">
        <f t="shared" si="0"/>
        <v>0</v>
      </c>
      <c r="I42" s="24">
        <f t="shared" si="1"/>
        <v>0</v>
      </c>
      <c r="J42" s="24">
        <f t="shared" si="2"/>
        <v>0</v>
      </c>
      <c r="K42" s="24">
        <v>3.8000000000000002E-4</v>
      </c>
      <c r="L42" s="25">
        <f t="shared" si="3"/>
        <v>7.6000000000000004E-4</v>
      </c>
      <c r="Z42" s="24">
        <f t="shared" si="4"/>
        <v>0</v>
      </c>
      <c r="AB42" s="24">
        <f t="shared" si="5"/>
        <v>0</v>
      </c>
      <c r="AC42" s="24">
        <f t="shared" si="6"/>
        <v>0</v>
      </c>
      <c r="AD42" s="24">
        <f t="shared" si="7"/>
        <v>0</v>
      </c>
      <c r="AE42" s="24">
        <f t="shared" si="8"/>
        <v>0</v>
      </c>
      <c r="AF42" s="24">
        <f t="shared" si="9"/>
        <v>0</v>
      </c>
      <c r="AG42" s="24">
        <f t="shared" si="10"/>
        <v>0</v>
      </c>
      <c r="AH42" s="24">
        <f t="shared" si="11"/>
        <v>0</v>
      </c>
      <c r="AI42" s="9" t="s">
        <v>51</v>
      </c>
      <c r="AJ42" s="24">
        <f t="shared" si="12"/>
        <v>0</v>
      </c>
      <c r="AK42" s="24">
        <f t="shared" si="13"/>
        <v>0</v>
      </c>
      <c r="AL42" s="24">
        <f t="shared" si="14"/>
        <v>0</v>
      </c>
      <c r="AN42" s="24">
        <v>12</v>
      </c>
      <c r="AO42" s="24">
        <f>G42*1</f>
        <v>0</v>
      </c>
      <c r="AP42" s="24">
        <f>G42*(1-1)</f>
        <v>0</v>
      </c>
      <c r="AQ42" s="26" t="s">
        <v>66</v>
      </c>
      <c r="AV42" s="24">
        <f t="shared" si="15"/>
        <v>0</v>
      </c>
      <c r="AW42" s="24">
        <f t="shared" si="16"/>
        <v>0</v>
      </c>
      <c r="AX42" s="24">
        <f t="shared" si="17"/>
        <v>0</v>
      </c>
      <c r="AY42" s="26" t="s">
        <v>67</v>
      </c>
      <c r="AZ42" s="26" t="s">
        <v>68</v>
      </c>
      <c r="BA42" s="9" t="s">
        <v>60</v>
      </c>
      <c r="BC42" s="24">
        <f t="shared" si="18"/>
        <v>0</v>
      </c>
      <c r="BD42" s="24">
        <f t="shared" si="19"/>
        <v>0</v>
      </c>
      <c r="BE42" s="24">
        <v>0</v>
      </c>
      <c r="BF42" s="24">
        <f t="shared" si="20"/>
        <v>7.6000000000000004E-4</v>
      </c>
      <c r="BH42" s="24">
        <f t="shared" si="21"/>
        <v>0</v>
      </c>
      <c r="BI42" s="24">
        <f t="shared" si="22"/>
        <v>0</v>
      </c>
      <c r="BJ42" s="24">
        <f t="shared" si="23"/>
        <v>0</v>
      </c>
      <c r="BK42" s="24"/>
      <c r="BL42" s="24">
        <v>721</v>
      </c>
      <c r="BW42" s="24">
        <v>12</v>
      </c>
      <c r="BX42" s="4" t="s">
        <v>149</v>
      </c>
    </row>
    <row r="43" spans="1:76" ht="14.4" x14ac:dyDescent="0.3">
      <c r="A43" s="2" t="s">
        <v>150</v>
      </c>
      <c r="B43" s="3" t="s">
        <v>151</v>
      </c>
      <c r="C43" s="76" t="s">
        <v>152</v>
      </c>
      <c r="D43" s="71"/>
      <c r="E43" s="3" t="s">
        <v>57</v>
      </c>
      <c r="F43" s="24">
        <v>2</v>
      </c>
      <c r="G43" s="24">
        <v>0</v>
      </c>
      <c r="H43" s="24">
        <f t="shared" si="0"/>
        <v>0</v>
      </c>
      <c r="I43" s="24">
        <f t="shared" si="1"/>
        <v>0</v>
      </c>
      <c r="J43" s="24">
        <f t="shared" si="2"/>
        <v>0</v>
      </c>
      <c r="K43" s="24">
        <v>5.9000000000000003E-4</v>
      </c>
      <c r="L43" s="25">
        <f t="shared" si="3"/>
        <v>1.1800000000000001E-3</v>
      </c>
      <c r="Z43" s="24">
        <f t="shared" si="4"/>
        <v>0</v>
      </c>
      <c r="AB43" s="24">
        <f t="shared" si="5"/>
        <v>0</v>
      </c>
      <c r="AC43" s="24">
        <f t="shared" si="6"/>
        <v>0</v>
      </c>
      <c r="AD43" s="24">
        <f t="shared" si="7"/>
        <v>0</v>
      </c>
      <c r="AE43" s="24">
        <f t="shared" si="8"/>
        <v>0</v>
      </c>
      <c r="AF43" s="24">
        <f t="shared" si="9"/>
        <v>0</v>
      </c>
      <c r="AG43" s="24">
        <f t="shared" si="10"/>
        <v>0</v>
      </c>
      <c r="AH43" s="24">
        <f t="shared" si="11"/>
        <v>0</v>
      </c>
      <c r="AI43" s="9" t="s">
        <v>51</v>
      </c>
      <c r="AJ43" s="24">
        <f t="shared" si="12"/>
        <v>0</v>
      </c>
      <c r="AK43" s="24">
        <f t="shared" si="13"/>
        <v>0</v>
      </c>
      <c r="AL43" s="24">
        <f t="shared" si="14"/>
        <v>0</v>
      </c>
      <c r="AN43" s="24">
        <v>12</v>
      </c>
      <c r="AO43" s="24">
        <f>G43*1</f>
        <v>0</v>
      </c>
      <c r="AP43" s="24">
        <f>G43*(1-1)</f>
        <v>0</v>
      </c>
      <c r="AQ43" s="26" t="s">
        <v>66</v>
      </c>
      <c r="AV43" s="24">
        <f t="shared" si="15"/>
        <v>0</v>
      </c>
      <c r="AW43" s="24">
        <f t="shared" si="16"/>
        <v>0</v>
      </c>
      <c r="AX43" s="24">
        <f t="shared" si="17"/>
        <v>0</v>
      </c>
      <c r="AY43" s="26" t="s">
        <v>67</v>
      </c>
      <c r="AZ43" s="26" t="s">
        <v>68</v>
      </c>
      <c r="BA43" s="9" t="s">
        <v>60</v>
      </c>
      <c r="BC43" s="24">
        <f t="shared" si="18"/>
        <v>0</v>
      </c>
      <c r="BD43" s="24">
        <f t="shared" si="19"/>
        <v>0</v>
      </c>
      <c r="BE43" s="24">
        <v>0</v>
      </c>
      <c r="BF43" s="24">
        <f t="shared" si="20"/>
        <v>1.1800000000000001E-3</v>
      </c>
      <c r="BH43" s="24">
        <f t="shared" si="21"/>
        <v>0</v>
      </c>
      <c r="BI43" s="24">
        <f t="shared" si="22"/>
        <v>0</v>
      </c>
      <c r="BJ43" s="24">
        <f t="shared" si="23"/>
        <v>0</v>
      </c>
      <c r="BK43" s="24"/>
      <c r="BL43" s="24">
        <v>721</v>
      </c>
      <c r="BW43" s="24">
        <v>12</v>
      </c>
      <c r="BX43" s="4" t="s">
        <v>152</v>
      </c>
    </row>
    <row r="44" spans="1:76" ht="14.4" x14ac:dyDescent="0.3">
      <c r="A44" s="27" t="s">
        <v>51</v>
      </c>
      <c r="B44" s="28" t="s">
        <v>153</v>
      </c>
      <c r="C44" s="94" t="s">
        <v>154</v>
      </c>
      <c r="D44" s="95"/>
      <c r="E44" s="29" t="s">
        <v>18</v>
      </c>
      <c r="F44" s="29" t="s">
        <v>18</v>
      </c>
      <c r="G44" s="29" t="s">
        <v>18</v>
      </c>
      <c r="H44" s="1">
        <f>SUM(H45:H83)</f>
        <v>0</v>
      </c>
      <c r="I44" s="1">
        <f>SUM(I45:I83)</f>
        <v>0</v>
      </c>
      <c r="J44" s="1">
        <f>SUM(J45:J83)</f>
        <v>0</v>
      </c>
      <c r="K44" s="9" t="s">
        <v>51</v>
      </c>
      <c r="L44" s="30">
        <f>SUM(L45:L83)</f>
        <v>0.19295000000000007</v>
      </c>
      <c r="AI44" s="9" t="s">
        <v>51</v>
      </c>
      <c r="AS44" s="1">
        <f>SUM(AJ45:AJ83)</f>
        <v>0</v>
      </c>
      <c r="AT44" s="1">
        <f>SUM(AK45:AK83)</f>
        <v>0</v>
      </c>
      <c r="AU44" s="1">
        <f>SUM(AL45:AL83)</f>
        <v>0</v>
      </c>
    </row>
    <row r="45" spans="1:76" ht="14.4" x14ac:dyDescent="0.3">
      <c r="A45" s="2" t="s">
        <v>155</v>
      </c>
      <c r="B45" s="3" t="s">
        <v>156</v>
      </c>
      <c r="C45" s="76" t="s">
        <v>157</v>
      </c>
      <c r="D45" s="71"/>
      <c r="E45" s="3" t="s">
        <v>75</v>
      </c>
      <c r="F45" s="24">
        <v>20</v>
      </c>
      <c r="G45" s="24">
        <v>0</v>
      </c>
      <c r="H45" s="24">
        <f t="shared" ref="H45:H83" si="24">ROUND(F45*AO45,2)</f>
        <v>0</v>
      </c>
      <c r="I45" s="24">
        <f t="shared" ref="I45:I83" si="25">ROUND(F45*AP45,2)</f>
        <v>0</v>
      </c>
      <c r="J45" s="24">
        <f t="shared" ref="J45:J83" si="26">ROUND(F45*G45,2)</f>
        <v>0</v>
      </c>
      <c r="K45" s="24">
        <v>4.0000000000000003E-5</v>
      </c>
      <c r="L45" s="25">
        <f t="shared" ref="L45:L83" si="27">F45*K45</f>
        <v>8.0000000000000004E-4</v>
      </c>
      <c r="Z45" s="24">
        <f t="shared" ref="Z45:Z83" si="28">ROUND(IF(AQ45="5",BJ45,0),2)</f>
        <v>0</v>
      </c>
      <c r="AB45" s="24">
        <f t="shared" ref="AB45:AB83" si="29">ROUND(IF(AQ45="1",BH45,0),2)</f>
        <v>0</v>
      </c>
      <c r="AC45" s="24">
        <f t="shared" ref="AC45:AC83" si="30">ROUND(IF(AQ45="1",BI45,0),2)</f>
        <v>0</v>
      </c>
      <c r="AD45" s="24">
        <f t="shared" ref="AD45:AD83" si="31">ROUND(IF(AQ45="7",BH45,0),2)</f>
        <v>0</v>
      </c>
      <c r="AE45" s="24">
        <f t="shared" ref="AE45:AE83" si="32">ROUND(IF(AQ45="7",BI45,0),2)</f>
        <v>0</v>
      </c>
      <c r="AF45" s="24">
        <f t="shared" ref="AF45:AF83" si="33">ROUND(IF(AQ45="2",BH45,0),2)</f>
        <v>0</v>
      </c>
      <c r="AG45" s="24">
        <f t="shared" ref="AG45:AG83" si="34">ROUND(IF(AQ45="2",BI45,0),2)</f>
        <v>0</v>
      </c>
      <c r="AH45" s="24">
        <f t="shared" ref="AH45:AH83" si="35">ROUND(IF(AQ45="0",BJ45,0),2)</f>
        <v>0</v>
      </c>
      <c r="AI45" s="9" t="s">
        <v>51</v>
      </c>
      <c r="AJ45" s="24">
        <f t="shared" ref="AJ45:AJ83" si="36">IF(AN45=0,J45,0)</f>
        <v>0</v>
      </c>
      <c r="AK45" s="24">
        <f t="shared" ref="AK45:AK83" si="37">IF(AN45=12,J45,0)</f>
        <v>0</v>
      </c>
      <c r="AL45" s="24">
        <f t="shared" ref="AL45:AL83" si="38">IF(AN45=21,J45,0)</f>
        <v>0</v>
      </c>
      <c r="AN45" s="24">
        <v>12</v>
      </c>
      <c r="AO45" s="24">
        <f>G45*0.3143379</f>
        <v>0</v>
      </c>
      <c r="AP45" s="24">
        <f>G45*(1-0.3143379)</f>
        <v>0</v>
      </c>
      <c r="AQ45" s="26" t="s">
        <v>66</v>
      </c>
      <c r="AV45" s="24">
        <f t="shared" ref="AV45:AV83" si="39">ROUND(AW45+AX45,2)</f>
        <v>0</v>
      </c>
      <c r="AW45" s="24">
        <f t="shared" ref="AW45:AW83" si="40">ROUND(F45*AO45,2)</f>
        <v>0</v>
      </c>
      <c r="AX45" s="24">
        <f t="shared" ref="AX45:AX83" si="41">ROUND(F45*AP45,2)</f>
        <v>0</v>
      </c>
      <c r="AY45" s="26" t="s">
        <v>158</v>
      </c>
      <c r="AZ45" s="26" t="s">
        <v>68</v>
      </c>
      <c r="BA45" s="9" t="s">
        <v>60</v>
      </c>
      <c r="BC45" s="24">
        <f t="shared" ref="BC45:BC83" si="42">AW45+AX45</f>
        <v>0</v>
      </c>
      <c r="BD45" s="24">
        <f t="shared" ref="BD45:BD83" si="43">G45/(100-BE45)*100</f>
        <v>0</v>
      </c>
      <c r="BE45" s="24">
        <v>0</v>
      </c>
      <c r="BF45" s="24">
        <f t="shared" ref="BF45:BF83" si="44">L45</f>
        <v>8.0000000000000004E-4</v>
      </c>
      <c r="BH45" s="24">
        <f t="shared" ref="BH45:BH83" si="45">F45*AO45</f>
        <v>0</v>
      </c>
      <c r="BI45" s="24">
        <f t="shared" ref="BI45:BI83" si="46">F45*AP45</f>
        <v>0</v>
      </c>
      <c r="BJ45" s="24">
        <f t="shared" ref="BJ45:BJ83" si="47">F45*G45</f>
        <v>0</v>
      </c>
      <c r="BK45" s="24"/>
      <c r="BL45" s="24">
        <v>722</v>
      </c>
      <c r="BW45" s="24">
        <v>12</v>
      </c>
      <c r="BX45" s="4" t="s">
        <v>157</v>
      </c>
    </row>
    <row r="46" spans="1:76" ht="14.4" x14ac:dyDescent="0.3">
      <c r="A46" s="2" t="s">
        <v>159</v>
      </c>
      <c r="B46" s="3" t="s">
        <v>160</v>
      </c>
      <c r="C46" s="76" t="s">
        <v>161</v>
      </c>
      <c r="D46" s="71"/>
      <c r="E46" s="3" t="s">
        <v>75</v>
      </c>
      <c r="F46" s="24">
        <v>52</v>
      </c>
      <c r="G46" s="24">
        <v>0</v>
      </c>
      <c r="H46" s="24">
        <f t="shared" si="24"/>
        <v>0</v>
      </c>
      <c r="I46" s="24">
        <f t="shared" si="25"/>
        <v>0</v>
      </c>
      <c r="J46" s="24">
        <f t="shared" si="26"/>
        <v>0</v>
      </c>
      <c r="K46" s="24">
        <v>4.0000000000000003E-5</v>
      </c>
      <c r="L46" s="25">
        <f t="shared" si="27"/>
        <v>2.0800000000000003E-3</v>
      </c>
      <c r="Z46" s="24">
        <f t="shared" si="28"/>
        <v>0</v>
      </c>
      <c r="AB46" s="24">
        <f t="shared" si="29"/>
        <v>0</v>
      </c>
      <c r="AC46" s="24">
        <f t="shared" si="30"/>
        <v>0</v>
      </c>
      <c r="AD46" s="24">
        <f t="shared" si="31"/>
        <v>0</v>
      </c>
      <c r="AE46" s="24">
        <f t="shared" si="32"/>
        <v>0</v>
      </c>
      <c r="AF46" s="24">
        <f t="shared" si="33"/>
        <v>0</v>
      </c>
      <c r="AG46" s="24">
        <f t="shared" si="34"/>
        <v>0</v>
      </c>
      <c r="AH46" s="24">
        <f t="shared" si="35"/>
        <v>0</v>
      </c>
      <c r="AI46" s="9" t="s">
        <v>51</v>
      </c>
      <c r="AJ46" s="24">
        <f t="shared" si="36"/>
        <v>0</v>
      </c>
      <c r="AK46" s="24">
        <f t="shared" si="37"/>
        <v>0</v>
      </c>
      <c r="AL46" s="24">
        <f t="shared" si="38"/>
        <v>0</v>
      </c>
      <c r="AN46" s="24">
        <v>12</v>
      </c>
      <c r="AO46" s="24">
        <f>G46*0.352700149</f>
        <v>0</v>
      </c>
      <c r="AP46" s="24">
        <f>G46*(1-0.352700149)</f>
        <v>0</v>
      </c>
      <c r="AQ46" s="26" t="s">
        <v>66</v>
      </c>
      <c r="AV46" s="24">
        <f t="shared" si="39"/>
        <v>0</v>
      </c>
      <c r="AW46" s="24">
        <f t="shared" si="40"/>
        <v>0</v>
      </c>
      <c r="AX46" s="24">
        <f t="shared" si="41"/>
        <v>0</v>
      </c>
      <c r="AY46" s="26" t="s">
        <v>158</v>
      </c>
      <c r="AZ46" s="26" t="s">
        <v>68</v>
      </c>
      <c r="BA46" s="9" t="s">
        <v>60</v>
      </c>
      <c r="BC46" s="24">
        <f t="shared" si="42"/>
        <v>0</v>
      </c>
      <c r="BD46" s="24">
        <f t="shared" si="43"/>
        <v>0</v>
      </c>
      <c r="BE46" s="24">
        <v>0</v>
      </c>
      <c r="BF46" s="24">
        <f t="shared" si="44"/>
        <v>2.0800000000000003E-3</v>
      </c>
      <c r="BH46" s="24">
        <f t="shared" si="45"/>
        <v>0</v>
      </c>
      <c r="BI46" s="24">
        <f t="shared" si="46"/>
        <v>0</v>
      </c>
      <c r="BJ46" s="24">
        <f t="shared" si="47"/>
        <v>0</v>
      </c>
      <c r="BK46" s="24"/>
      <c r="BL46" s="24">
        <v>722</v>
      </c>
      <c r="BW46" s="24">
        <v>12</v>
      </c>
      <c r="BX46" s="4" t="s">
        <v>161</v>
      </c>
    </row>
    <row r="47" spans="1:76" ht="14.4" x14ac:dyDescent="0.3">
      <c r="A47" s="2" t="s">
        <v>162</v>
      </c>
      <c r="B47" s="3" t="s">
        <v>163</v>
      </c>
      <c r="C47" s="76" t="s">
        <v>164</v>
      </c>
      <c r="D47" s="71"/>
      <c r="E47" s="3" t="s">
        <v>75</v>
      </c>
      <c r="F47" s="24">
        <v>20</v>
      </c>
      <c r="G47" s="24">
        <v>0</v>
      </c>
      <c r="H47" s="24">
        <f t="shared" si="24"/>
        <v>0</v>
      </c>
      <c r="I47" s="24">
        <f t="shared" si="25"/>
        <v>0</v>
      </c>
      <c r="J47" s="24">
        <f t="shared" si="26"/>
        <v>0</v>
      </c>
      <c r="K47" s="24">
        <v>5.0000000000000002E-5</v>
      </c>
      <c r="L47" s="25">
        <f t="shared" si="27"/>
        <v>1E-3</v>
      </c>
      <c r="Z47" s="24">
        <f t="shared" si="28"/>
        <v>0</v>
      </c>
      <c r="AB47" s="24">
        <f t="shared" si="29"/>
        <v>0</v>
      </c>
      <c r="AC47" s="24">
        <f t="shared" si="30"/>
        <v>0</v>
      </c>
      <c r="AD47" s="24">
        <f t="shared" si="31"/>
        <v>0</v>
      </c>
      <c r="AE47" s="24">
        <f t="shared" si="32"/>
        <v>0</v>
      </c>
      <c r="AF47" s="24">
        <f t="shared" si="33"/>
        <v>0</v>
      </c>
      <c r="AG47" s="24">
        <f t="shared" si="34"/>
        <v>0</v>
      </c>
      <c r="AH47" s="24">
        <f t="shared" si="35"/>
        <v>0</v>
      </c>
      <c r="AI47" s="9" t="s">
        <v>51</v>
      </c>
      <c r="AJ47" s="24">
        <f t="shared" si="36"/>
        <v>0</v>
      </c>
      <c r="AK47" s="24">
        <f t="shared" si="37"/>
        <v>0</v>
      </c>
      <c r="AL47" s="24">
        <f t="shared" si="38"/>
        <v>0</v>
      </c>
      <c r="AN47" s="24">
        <v>12</v>
      </c>
      <c r="AO47" s="24">
        <f>G47*0.355307692</f>
        <v>0</v>
      </c>
      <c r="AP47" s="24">
        <f>G47*(1-0.355307692)</f>
        <v>0</v>
      </c>
      <c r="AQ47" s="26" t="s">
        <v>66</v>
      </c>
      <c r="AV47" s="24">
        <f t="shared" si="39"/>
        <v>0</v>
      </c>
      <c r="AW47" s="24">
        <f t="shared" si="40"/>
        <v>0</v>
      </c>
      <c r="AX47" s="24">
        <f t="shared" si="41"/>
        <v>0</v>
      </c>
      <c r="AY47" s="26" t="s">
        <v>158</v>
      </c>
      <c r="AZ47" s="26" t="s">
        <v>68</v>
      </c>
      <c r="BA47" s="9" t="s">
        <v>60</v>
      </c>
      <c r="BC47" s="24">
        <f t="shared" si="42"/>
        <v>0</v>
      </c>
      <c r="BD47" s="24">
        <f t="shared" si="43"/>
        <v>0</v>
      </c>
      <c r="BE47" s="24">
        <v>0</v>
      </c>
      <c r="BF47" s="24">
        <f t="shared" si="44"/>
        <v>1E-3</v>
      </c>
      <c r="BH47" s="24">
        <f t="shared" si="45"/>
        <v>0</v>
      </c>
      <c r="BI47" s="24">
        <f t="shared" si="46"/>
        <v>0</v>
      </c>
      <c r="BJ47" s="24">
        <f t="shared" si="47"/>
        <v>0</v>
      </c>
      <c r="BK47" s="24"/>
      <c r="BL47" s="24">
        <v>722</v>
      </c>
      <c r="BW47" s="24">
        <v>12</v>
      </c>
      <c r="BX47" s="4" t="s">
        <v>164</v>
      </c>
    </row>
    <row r="48" spans="1:76" ht="14.4" x14ac:dyDescent="0.3">
      <c r="A48" s="2" t="s">
        <v>165</v>
      </c>
      <c r="B48" s="3" t="s">
        <v>166</v>
      </c>
      <c r="C48" s="76" t="s">
        <v>167</v>
      </c>
      <c r="D48" s="71"/>
      <c r="E48" s="3" t="s">
        <v>75</v>
      </c>
      <c r="F48" s="24">
        <v>18</v>
      </c>
      <c r="G48" s="24">
        <v>0</v>
      </c>
      <c r="H48" s="24">
        <f t="shared" si="24"/>
        <v>0</v>
      </c>
      <c r="I48" s="24">
        <f t="shared" si="25"/>
        <v>0</v>
      </c>
      <c r="J48" s="24">
        <f t="shared" si="26"/>
        <v>0</v>
      </c>
      <c r="K48" s="24">
        <v>6.9999999999999994E-5</v>
      </c>
      <c r="L48" s="25">
        <f t="shared" si="27"/>
        <v>1.2599999999999998E-3</v>
      </c>
      <c r="Z48" s="24">
        <f t="shared" si="28"/>
        <v>0</v>
      </c>
      <c r="AB48" s="24">
        <f t="shared" si="29"/>
        <v>0</v>
      </c>
      <c r="AC48" s="24">
        <f t="shared" si="30"/>
        <v>0</v>
      </c>
      <c r="AD48" s="24">
        <f t="shared" si="31"/>
        <v>0</v>
      </c>
      <c r="AE48" s="24">
        <f t="shared" si="32"/>
        <v>0</v>
      </c>
      <c r="AF48" s="24">
        <f t="shared" si="33"/>
        <v>0</v>
      </c>
      <c r="AG48" s="24">
        <f t="shared" si="34"/>
        <v>0</v>
      </c>
      <c r="AH48" s="24">
        <f t="shared" si="35"/>
        <v>0</v>
      </c>
      <c r="AI48" s="9" t="s">
        <v>51</v>
      </c>
      <c r="AJ48" s="24">
        <f t="shared" si="36"/>
        <v>0</v>
      </c>
      <c r="AK48" s="24">
        <f t="shared" si="37"/>
        <v>0</v>
      </c>
      <c r="AL48" s="24">
        <f t="shared" si="38"/>
        <v>0</v>
      </c>
      <c r="AN48" s="24">
        <v>12</v>
      </c>
      <c r="AO48" s="24">
        <f>G48*0.374109589</f>
        <v>0</v>
      </c>
      <c r="AP48" s="24">
        <f>G48*(1-0.374109589)</f>
        <v>0</v>
      </c>
      <c r="AQ48" s="26" t="s">
        <v>66</v>
      </c>
      <c r="AV48" s="24">
        <f t="shared" si="39"/>
        <v>0</v>
      </c>
      <c r="AW48" s="24">
        <f t="shared" si="40"/>
        <v>0</v>
      </c>
      <c r="AX48" s="24">
        <f t="shared" si="41"/>
        <v>0</v>
      </c>
      <c r="AY48" s="26" t="s">
        <v>158</v>
      </c>
      <c r="AZ48" s="26" t="s">
        <v>68</v>
      </c>
      <c r="BA48" s="9" t="s">
        <v>60</v>
      </c>
      <c r="BC48" s="24">
        <f t="shared" si="42"/>
        <v>0</v>
      </c>
      <c r="BD48" s="24">
        <f t="shared" si="43"/>
        <v>0</v>
      </c>
      <c r="BE48" s="24">
        <v>0</v>
      </c>
      <c r="BF48" s="24">
        <f t="shared" si="44"/>
        <v>1.2599999999999998E-3</v>
      </c>
      <c r="BH48" s="24">
        <f t="shared" si="45"/>
        <v>0</v>
      </c>
      <c r="BI48" s="24">
        <f t="shared" si="46"/>
        <v>0</v>
      </c>
      <c r="BJ48" s="24">
        <f t="shared" si="47"/>
        <v>0</v>
      </c>
      <c r="BK48" s="24"/>
      <c r="BL48" s="24">
        <v>722</v>
      </c>
      <c r="BW48" s="24">
        <v>12</v>
      </c>
      <c r="BX48" s="4" t="s">
        <v>167</v>
      </c>
    </row>
    <row r="49" spans="1:76" ht="14.4" x14ac:dyDescent="0.3">
      <c r="A49" s="2" t="s">
        <v>168</v>
      </c>
      <c r="B49" s="3" t="s">
        <v>169</v>
      </c>
      <c r="C49" s="76" t="s">
        <v>170</v>
      </c>
      <c r="D49" s="71"/>
      <c r="E49" s="3" t="s">
        <v>75</v>
      </c>
      <c r="F49" s="24">
        <v>50</v>
      </c>
      <c r="G49" s="24">
        <v>0</v>
      </c>
      <c r="H49" s="24">
        <f t="shared" si="24"/>
        <v>0</v>
      </c>
      <c r="I49" s="24">
        <f t="shared" si="25"/>
        <v>0</v>
      </c>
      <c r="J49" s="24">
        <f t="shared" si="26"/>
        <v>0</v>
      </c>
      <c r="K49" s="24">
        <v>4.0000000000000003E-5</v>
      </c>
      <c r="L49" s="25">
        <f t="shared" si="27"/>
        <v>2E-3</v>
      </c>
      <c r="Z49" s="24">
        <f t="shared" si="28"/>
        <v>0</v>
      </c>
      <c r="AB49" s="24">
        <f t="shared" si="29"/>
        <v>0</v>
      </c>
      <c r="AC49" s="24">
        <f t="shared" si="30"/>
        <v>0</v>
      </c>
      <c r="AD49" s="24">
        <f t="shared" si="31"/>
        <v>0</v>
      </c>
      <c r="AE49" s="24">
        <f t="shared" si="32"/>
        <v>0</v>
      </c>
      <c r="AF49" s="24">
        <f t="shared" si="33"/>
        <v>0</v>
      </c>
      <c r="AG49" s="24">
        <f t="shared" si="34"/>
        <v>0</v>
      </c>
      <c r="AH49" s="24">
        <f t="shared" si="35"/>
        <v>0</v>
      </c>
      <c r="AI49" s="9" t="s">
        <v>51</v>
      </c>
      <c r="AJ49" s="24">
        <f t="shared" si="36"/>
        <v>0</v>
      </c>
      <c r="AK49" s="24">
        <f t="shared" si="37"/>
        <v>0</v>
      </c>
      <c r="AL49" s="24">
        <f t="shared" si="38"/>
        <v>0</v>
      </c>
      <c r="AN49" s="24">
        <v>12</v>
      </c>
      <c r="AO49" s="24">
        <f>G49*0.387038851</f>
        <v>0</v>
      </c>
      <c r="AP49" s="24">
        <f>G49*(1-0.387038851)</f>
        <v>0</v>
      </c>
      <c r="AQ49" s="26" t="s">
        <v>66</v>
      </c>
      <c r="AV49" s="24">
        <f t="shared" si="39"/>
        <v>0</v>
      </c>
      <c r="AW49" s="24">
        <f t="shared" si="40"/>
        <v>0</v>
      </c>
      <c r="AX49" s="24">
        <f t="shared" si="41"/>
        <v>0</v>
      </c>
      <c r="AY49" s="26" t="s">
        <v>158</v>
      </c>
      <c r="AZ49" s="26" t="s">
        <v>68</v>
      </c>
      <c r="BA49" s="9" t="s">
        <v>60</v>
      </c>
      <c r="BC49" s="24">
        <f t="shared" si="42"/>
        <v>0</v>
      </c>
      <c r="BD49" s="24">
        <f t="shared" si="43"/>
        <v>0</v>
      </c>
      <c r="BE49" s="24">
        <v>0</v>
      </c>
      <c r="BF49" s="24">
        <f t="shared" si="44"/>
        <v>2E-3</v>
      </c>
      <c r="BH49" s="24">
        <f t="shared" si="45"/>
        <v>0</v>
      </c>
      <c r="BI49" s="24">
        <f t="shared" si="46"/>
        <v>0</v>
      </c>
      <c r="BJ49" s="24">
        <f t="shared" si="47"/>
        <v>0</v>
      </c>
      <c r="BK49" s="24"/>
      <c r="BL49" s="24">
        <v>722</v>
      </c>
      <c r="BW49" s="24">
        <v>12</v>
      </c>
      <c r="BX49" s="4" t="s">
        <v>170</v>
      </c>
    </row>
    <row r="50" spans="1:76" ht="14.4" x14ac:dyDescent="0.3">
      <c r="A50" s="2" t="s">
        <v>171</v>
      </c>
      <c r="B50" s="3" t="s">
        <v>172</v>
      </c>
      <c r="C50" s="76" t="s">
        <v>173</v>
      </c>
      <c r="D50" s="71"/>
      <c r="E50" s="3" t="s">
        <v>75</v>
      </c>
      <c r="F50" s="24">
        <v>40</v>
      </c>
      <c r="G50" s="24">
        <v>0</v>
      </c>
      <c r="H50" s="24">
        <f t="shared" si="24"/>
        <v>0</v>
      </c>
      <c r="I50" s="24">
        <f t="shared" si="25"/>
        <v>0</v>
      </c>
      <c r="J50" s="24">
        <f t="shared" si="26"/>
        <v>0</v>
      </c>
      <c r="K50" s="24">
        <v>4.0000000000000003E-5</v>
      </c>
      <c r="L50" s="25">
        <f t="shared" si="27"/>
        <v>1.6000000000000001E-3</v>
      </c>
      <c r="Z50" s="24">
        <f t="shared" si="28"/>
        <v>0</v>
      </c>
      <c r="AB50" s="24">
        <f t="shared" si="29"/>
        <v>0</v>
      </c>
      <c r="AC50" s="24">
        <f t="shared" si="30"/>
        <v>0</v>
      </c>
      <c r="AD50" s="24">
        <f t="shared" si="31"/>
        <v>0</v>
      </c>
      <c r="AE50" s="24">
        <f t="shared" si="32"/>
        <v>0</v>
      </c>
      <c r="AF50" s="24">
        <f t="shared" si="33"/>
        <v>0</v>
      </c>
      <c r="AG50" s="24">
        <f t="shared" si="34"/>
        <v>0</v>
      </c>
      <c r="AH50" s="24">
        <f t="shared" si="35"/>
        <v>0</v>
      </c>
      <c r="AI50" s="9" t="s">
        <v>51</v>
      </c>
      <c r="AJ50" s="24">
        <f t="shared" si="36"/>
        <v>0</v>
      </c>
      <c r="AK50" s="24">
        <f t="shared" si="37"/>
        <v>0</v>
      </c>
      <c r="AL50" s="24">
        <f t="shared" si="38"/>
        <v>0</v>
      </c>
      <c r="AN50" s="24">
        <v>12</v>
      </c>
      <c r="AO50" s="24">
        <f>G50*0.509281046</f>
        <v>0</v>
      </c>
      <c r="AP50" s="24">
        <f>G50*(1-0.509281046)</f>
        <v>0</v>
      </c>
      <c r="AQ50" s="26" t="s">
        <v>66</v>
      </c>
      <c r="AV50" s="24">
        <f t="shared" si="39"/>
        <v>0</v>
      </c>
      <c r="AW50" s="24">
        <f t="shared" si="40"/>
        <v>0</v>
      </c>
      <c r="AX50" s="24">
        <f t="shared" si="41"/>
        <v>0</v>
      </c>
      <c r="AY50" s="26" t="s">
        <v>158</v>
      </c>
      <c r="AZ50" s="26" t="s">
        <v>68</v>
      </c>
      <c r="BA50" s="9" t="s">
        <v>60</v>
      </c>
      <c r="BC50" s="24">
        <f t="shared" si="42"/>
        <v>0</v>
      </c>
      <c r="BD50" s="24">
        <f t="shared" si="43"/>
        <v>0</v>
      </c>
      <c r="BE50" s="24">
        <v>0</v>
      </c>
      <c r="BF50" s="24">
        <f t="shared" si="44"/>
        <v>1.6000000000000001E-3</v>
      </c>
      <c r="BH50" s="24">
        <f t="shared" si="45"/>
        <v>0</v>
      </c>
      <c r="BI50" s="24">
        <f t="shared" si="46"/>
        <v>0</v>
      </c>
      <c r="BJ50" s="24">
        <f t="shared" si="47"/>
        <v>0</v>
      </c>
      <c r="BK50" s="24"/>
      <c r="BL50" s="24">
        <v>722</v>
      </c>
      <c r="BW50" s="24">
        <v>12</v>
      </c>
      <c r="BX50" s="4" t="s">
        <v>173</v>
      </c>
    </row>
    <row r="51" spans="1:76" ht="14.4" x14ac:dyDescent="0.3">
      <c r="A51" s="2" t="s">
        <v>174</v>
      </c>
      <c r="B51" s="3" t="s">
        <v>175</v>
      </c>
      <c r="C51" s="76" t="s">
        <v>176</v>
      </c>
      <c r="D51" s="71"/>
      <c r="E51" s="3" t="s">
        <v>75</v>
      </c>
      <c r="F51" s="24">
        <v>28</v>
      </c>
      <c r="G51" s="24">
        <v>0</v>
      </c>
      <c r="H51" s="24">
        <f t="shared" si="24"/>
        <v>0</v>
      </c>
      <c r="I51" s="24">
        <f t="shared" si="25"/>
        <v>0</v>
      </c>
      <c r="J51" s="24">
        <f t="shared" si="26"/>
        <v>0</v>
      </c>
      <c r="K51" s="24">
        <v>5.0000000000000002E-5</v>
      </c>
      <c r="L51" s="25">
        <f t="shared" si="27"/>
        <v>1.4E-3</v>
      </c>
      <c r="Z51" s="24">
        <f t="shared" si="28"/>
        <v>0</v>
      </c>
      <c r="AB51" s="24">
        <f t="shared" si="29"/>
        <v>0</v>
      </c>
      <c r="AC51" s="24">
        <f t="shared" si="30"/>
        <v>0</v>
      </c>
      <c r="AD51" s="24">
        <f t="shared" si="31"/>
        <v>0</v>
      </c>
      <c r="AE51" s="24">
        <f t="shared" si="32"/>
        <v>0</v>
      </c>
      <c r="AF51" s="24">
        <f t="shared" si="33"/>
        <v>0</v>
      </c>
      <c r="AG51" s="24">
        <f t="shared" si="34"/>
        <v>0</v>
      </c>
      <c r="AH51" s="24">
        <f t="shared" si="35"/>
        <v>0</v>
      </c>
      <c r="AI51" s="9" t="s">
        <v>51</v>
      </c>
      <c r="AJ51" s="24">
        <f t="shared" si="36"/>
        <v>0</v>
      </c>
      <c r="AK51" s="24">
        <f t="shared" si="37"/>
        <v>0</v>
      </c>
      <c r="AL51" s="24">
        <f t="shared" si="38"/>
        <v>0</v>
      </c>
      <c r="AN51" s="24">
        <v>12</v>
      </c>
      <c r="AO51" s="24">
        <f>G51*0.542195122</f>
        <v>0</v>
      </c>
      <c r="AP51" s="24">
        <f>G51*(1-0.542195122)</f>
        <v>0</v>
      </c>
      <c r="AQ51" s="26" t="s">
        <v>66</v>
      </c>
      <c r="AV51" s="24">
        <f t="shared" si="39"/>
        <v>0</v>
      </c>
      <c r="AW51" s="24">
        <f t="shared" si="40"/>
        <v>0</v>
      </c>
      <c r="AX51" s="24">
        <f t="shared" si="41"/>
        <v>0</v>
      </c>
      <c r="AY51" s="26" t="s">
        <v>158</v>
      </c>
      <c r="AZ51" s="26" t="s">
        <v>68</v>
      </c>
      <c r="BA51" s="9" t="s">
        <v>60</v>
      </c>
      <c r="BC51" s="24">
        <f t="shared" si="42"/>
        <v>0</v>
      </c>
      <c r="BD51" s="24">
        <f t="shared" si="43"/>
        <v>0</v>
      </c>
      <c r="BE51" s="24">
        <v>0</v>
      </c>
      <c r="BF51" s="24">
        <f t="shared" si="44"/>
        <v>1.4E-3</v>
      </c>
      <c r="BH51" s="24">
        <f t="shared" si="45"/>
        <v>0</v>
      </c>
      <c r="BI51" s="24">
        <f t="shared" si="46"/>
        <v>0</v>
      </c>
      <c r="BJ51" s="24">
        <f t="shared" si="47"/>
        <v>0</v>
      </c>
      <c r="BK51" s="24"/>
      <c r="BL51" s="24">
        <v>722</v>
      </c>
      <c r="BW51" s="24">
        <v>12</v>
      </c>
      <c r="BX51" s="4" t="s">
        <v>176</v>
      </c>
    </row>
    <row r="52" spans="1:76" ht="14.4" x14ac:dyDescent="0.3">
      <c r="A52" s="2" t="s">
        <v>177</v>
      </c>
      <c r="B52" s="3" t="s">
        <v>178</v>
      </c>
      <c r="C52" s="76" t="s">
        <v>179</v>
      </c>
      <c r="D52" s="71"/>
      <c r="E52" s="3" t="s">
        <v>75</v>
      </c>
      <c r="F52" s="24">
        <v>8</v>
      </c>
      <c r="G52" s="24">
        <v>0</v>
      </c>
      <c r="H52" s="24">
        <f t="shared" si="24"/>
        <v>0</v>
      </c>
      <c r="I52" s="24">
        <f t="shared" si="25"/>
        <v>0</v>
      </c>
      <c r="J52" s="24">
        <f t="shared" si="26"/>
        <v>0</v>
      </c>
      <c r="K52" s="24">
        <v>6.0000000000000002E-5</v>
      </c>
      <c r="L52" s="25">
        <f t="shared" si="27"/>
        <v>4.8000000000000001E-4</v>
      </c>
      <c r="Z52" s="24">
        <f t="shared" si="28"/>
        <v>0</v>
      </c>
      <c r="AB52" s="24">
        <f t="shared" si="29"/>
        <v>0</v>
      </c>
      <c r="AC52" s="24">
        <f t="shared" si="30"/>
        <v>0</v>
      </c>
      <c r="AD52" s="24">
        <f t="shared" si="31"/>
        <v>0</v>
      </c>
      <c r="AE52" s="24">
        <f t="shared" si="32"/>
        <v>0</v>
      </c>
      <c r="AF52" s="24">
        <f t="shared" si="33"/>
        <v>0</v>
      </c>
      <c r="AG52" s="24">
        <f t="shared" si="34"/>
        <v>0</v>
      </c>
      <c r="AH52" s="24">
        <f t="shared" si="35"/>
        <v>0</v>
      </c>
      <c r="AI52" s="9" t="s">
        <v>51</v>
      </c>
      <c r="AJ52" s="24">
        <f t="shared" si="36"/>
        <v>0</v>
      </c>
      <c r="AK52" s="24">
        <f t="shared" si="37"/>
        <v>0</v>
      </c>
      <c r="AL52" s="24">
        <f t="shared" si="38"/>
        <v>0</v>
      </c>
      <c r="AN52" s="24">
        <v>12</v>
      </c>
      <c r="AO52" s="24">
        <f>G52*0.54451087</f>
        <v>0</v>
      </c>
      <c r="AP52" s="24">
        <f>G52*(1-0.54451087)</f>
        <v>0</v>
      </c>
      <c r="AQ52" s="26" t="s">
        <v>66</v>
      </c>
      <c r="AV52" s="24">
        <f t="shared" si="39"/>
        <v>0</v>
      </c>
      <c r="AW52" s="24">
        <f t="shared" si="40"/>
        <v>0</v>
      </c>
      <c r="AX52" s="24">
        <f t="shared" si="41"/>
        <v>0</v>
      </c>
      <c r="AY52" s="26" t="s">
        <v>158</v>
      </c>
      <c r="AZ52" s="26" t="s">
        <v>68</v>
      </c>
      <c r="BA52" s="9" t="s">
        <v>60</v>
      </c>
      <c r="BC52" s="24">
        <f t="shared" si="42"/>
        <v>0</v>
      </c>
      <c r="BD52" s="24">
        <f t="shared" si="43"/>
        <v>0</v>
      </c>
      <c r="BE52" s="24">
        <v>0</v>
      </c>
      <c r="BF52" s="24">
        <f t="shared" si="44"/>
        <v>4.8000000000000001E-4</v>
      </c>
      <c r="BH52" s="24">
        <f t="shared" si="45"/>
        <v>0</v>
      </c>
      <c r="BI52" s="24">
        <f t="shared" si="46"/>
        <v>0</v>
      </c>
      <c r="BJ52" s="24">
        <f t="shared" si="47"/>
        <v>0</v>
      </c>
      <c r="BK52" s="24"/>
      <c r="BL52" s="24">
        <v>722</v>
      </c>
      <c r="BW52" s="24">
        <v>12</v>
      </c>
      <c r="BX52" s="4" t="s">
        <v>179</v>
      </c>
    </row>
    <row r="53" spans="1:76" ht="14.4" x14ac:dyDescent="0.3">
      <c r="A53" s="2" t="s">
        <v>180</v>
      </c>
      <c r="B53" s="3" t="s">
        <v>181</v>
      </c>
      <c r="C53" s="76" t="s">
        <v>182</v>
      </c>
      <c r="D53" s="71"/>
      <c r="E53" s="3" t="s">
        <v>57</v>
      </c>
      <c r="F53" s="24">
        <v>54</v>
      </c>
      <c r="G53" s="24">
        <v>0</v>
      </c>
      <c r="H53" s="24">
        <f t="shared" si="24"/>
        <v>0</v>
      </c>
      <c r="I53" s="24">
        <f t="shared" si="25"/>
        <v>0</v>
      </c>
      <c r="J53" s="24">
        <f t="shared" si="26"/>
        <v>0</v>
      </c>
      <c r="K53" s="24">
        <v>0</v>
      </c>
      <c r="L53" s="25">
        <f t="shared" si="27"/>
        <v>0</v>
      </c>
      <c r="Z53" s="24">
        <f t="shared" si="28"/>
        <v>0</v>
      </c>
      <c r="AB53" s="24">
        <f t="shared" si="29"/>
        <v>0</v>
      </c>
      <c r="AC53" s="24">
        <f t="shared" si="30"/>
        <v>0</v>
      </c>
      <c r="AD53" s="24">
        <f t="shared" si="31"/>
        <v>0</v>
      </c>
      <c r="AE53" s="24">
        <f t="shared" si="32"/>
        <v>0</v>
      </c>
      <c r="AF53" s="24">
        <f t="shared" si="33"/>
        <v>0</v>
      </c>
      <c r="AG53" s="24">
        <f t="shared" si="34"/>
        <v>0</v>
      </c>
      <c r="AH53" s="24">
        <f t="shared" si="35"/>
        <v>0</v>
      </c>
      <c r="AI53" s="9" t="s">
        <v>51</v>
      </c>
      <c r="AJ53" s="24">
        <f t="shared" si="36"/>
        <v>0</v>
      </c>
      <c r="AK53" s="24">
        <f t="shared" si="37"/>
        <v>0</v>
      </c>
      <c r="AL53" s="24">
        <f t="shared" si="38"/>
        <v>0</v>
      </c>
      <c r="AN53" s="24">
        <v>12</v>
      </c>
      <c r="AO53" s="24">
        <f>G53*0</f>
        <v>0</v>
      </c>
      <c r="AP53" s="24">
        <f>G53*(1-0)</f>
        <v>0</v>
      </c>
      <c r="AQ53" s="26" t="s">
        <v>66</v>
      </c>
      <c r="AV53" s="24">
        <f t="shared" si="39"/>
        <v>0</v>
      </c>
      <c r="AW53" s="24">
        <f t="shared" si="40"/>
        <v>0</v>
      </c>
      <c r="AX53" s="24">
        <f t="shared" si="41"/>
        <v>0</v>
      </c>
      <c r="AY53" s="26" t="s">
        <v>158</v>
      </c>
      <c r="AZ53" s="26" t="s">
        <v>68</v>
      </c>
      <c r="BA53" s="9" t="s">
        <v>60</v>
      </c>
      <c r="BC53" s="24">
        <f t="shared" si="42"/>
        <v>0</v>
      </c>
      <c r="BD53" s="24">
        <f t="shared" si="43"/>
        <v>0</v>
      </c>
      <c r="BE53" s="24">
        <v>0</v>
      </c>
      <c r="BF53" s="24">
        <f t="shared" si="44"/>
        <v>0</v>
      </c>
      <c r="BH53" s="24">
        <f t="shared" si="45"/>
        <v>0</v>
      </c>
      <c r="BI53" s="24">
        <f t="shared" si="46"/>
        <v>0</v>
      </c>
      <c r="BJ53" s="24">
        <f t="shared" si="47"/>
        <v>0</v>
      </c>
      <c r="BK53" s="24"/>
      <c r="BL53" s="24">
        <v>722</v>
      </c>
      <c r="BW53" s="24">
        <v>12</v>
      </c>
      <c r="BX53" s="4" t="s">
        <v>182</v>
      </c>
    </row>
    <row r="54" spans="1:76" ht="14.4" x14ac:dyDescent="0.3">
      <c r="A54" s="2" t="s">
        <v>183</v>
      </c>
      <c r="B54" s="3" t="s">
        <v>184</v>
      </c>
      <c r="C54" s="76" t="s">
        <v>185</v>
      </c>
      <c r="D54" s="71"/>
      <c r="E54" s="3" t="s">
        <v>57</v>
      </c>
      <c r="F54" s="24">
        <v>36</v>
      </c>
      <c r="G54" s="24">
        <v>0</v>
      </c>
      <c r="H54" s="24">
        <f t="shared" si="24"/>
        <v>0</v>
      </c>
      <c r="I54" s="24">
        <f t="shared" si="25"/>
        <v>0</v>
      </c>
      <c r="J54" s="24">
        <f t="shared" si="26"/>
        <v>0</v>
      </c>
      <c r="K54" s="24">
        <v>6.3000000000000003E-4</v>
      </c>
      <c r="L54" s="25">
        <f t="shared" si="27"/>
        <v>2.2680000000000002E-2</v>
      </c>
      <c r="Z54" s="24">
        <f t="shared" si="28"/>
        <v>0</v>
      </c>
      <c r="AB54" s="24">
        <f t="shared" si="29"/>
        <v>0</v>
      </c>
      <c r="AC54" s="24">
        <f t="shared" si="30"/>
        <v>0</v>
      </c>
      <c r="AD54" s="24">
        <f t="shared" si="31"/>
        <v>0</v>
      </c>
      <c r="AE54" s="24">
        <f t="shared" si="32"/>
        <v>0</v>
      </c>
      <c r="AF54" s="24">
        <f t="shared" si="33"/>
        <v>0</v>
      </c>
      <c r="AG54" s="24">
        <f t="shared" si="34"/>
        <v>0</v>
      </c>
      <c r="AH54" s="24">
        <f t="shared" si="35"/>
        <v>0</v>
      </c>
      <c r="AI54" s="9" t="s">
        <v>51</v>
      </c>
      <c r="AJ54" s="24">
        <f t="shared" si="36"/>
        <v>0</v>
      </c>
      <c r="AK54" s="24">
        <f t="shared" si="37"/>
        <v>0</v>
      </c>
      <c r="AL54" s="24">
        <f t="shared" si="38"/>
        <v>0</v>
      </c>
      <c r="AN54" s="24">
        <v>12</v>
      </c>
      <c r="AO54" s="24">
        <f>G54*0.521373802</f>
        <v>0</v>
      </c>
      <c r="AP54" s="24">
        <f>G54*(1-0.521373802)</f>
        <v>0</v>
      </c>
      <c r="AQ54" s="26" t="s">
        <v>66</v>
      </c>
      <c r="AV54" s="24">
        <f t="shared" si="39"/>
        <v>0</v>
      </c>
      <c r="AW54" s="24">
        <f t="shared" si="40"/>
        <v>0</v>
      </c>
      <c r="AX54" s="24">
        <f t="shared" si="41"/>
        <v>0</v>
      </c>
      <c r="AY54" s="26" t="s">
        <v>158</v>
      </c>
      <c r="AZ54" s="26" t="s">
        <v>68</v>
      </c>
      <c r="BA54" s="9" t="s">
        <v>60</v>
      </c>
      <c r="BC54" s="24">
        <f t="shared" si="42"/>
        <v>0</v>
      </c>
      <c r="BD54" s="24">
        <f t="shared" si="43"/>
        <v>0</v>
      </c>
      <c r="BE54" s="24">
        <v>0</v>
      </c>
      <c r="BF54" s="24">
        <f t="shared" si="44"/>
        <v>2.2680000000000002E-2</v>
      </c>
      <c r="BH54" s="24">
        <f t="shared" si="45"/>
        <v>0</v>
      </c>
      <c r="BI54" s="24">
        <f t="shared" si="46"/>
        <v>0</v>
      </c>
      <c r="BJ54" s="24">
        <f t="shared" si="47"/>
        <v>0</v>
      </c>
      <c r="BK54" s="24"/>
      <c r="BL54" s="24">
        <v>722</v>
      </c>
      <c r="BW54" s="24">
        <v>12</v>
      </c>
      <c r="BX54" s="4" t="s">
        <v>185</v>
      </c>
    </row>
    <row r="55" spans="1:76" ht="14.4" x14ac:dyDescent="0.3">
      <c r="A55" s="2" t="s">
        <v>186</v>
      </c>
      <c r="B55" s="3" t="s">
        <v>187</v>
      </c>
      <c r="C55" s="76" t="s">
        <v>188</v>
      </c>
      <c r="D55" s="71"/>
      <c r="E55" s="3" t="s">
        <v>189</v>
      </c>
      <c r="F55" s="24">
        <v>6</v>
      </c>
      <c r="G55" s="24">
        <v>0</v>
      </c>
      <c r="H55" s="24">
        <f t="shared" si="24"/>
        <v>0</v>
      </c>
      <c r="I55" s="24">
        <f t="shared" si="25"/>
        <v>0</v>
      </c>
      <c r="J55" s="24">
        <f t="shared" si="26"/>
        <v>0</v>
      </c>
      <c r="K55" s="24">
        <v>1.48E-3</v>
      </c>
      <c r="L55" s="25">
        <f t="shared" si="27"/>
        <v>8.879999999999999E-3</v>
      </c>
      <c r="Z55" s="24">
        <f t="shared" si="28"/>
        <v>0</v>
      </c>
      <c r="AB55" s="24">
        <f t="shared" si="29"/>
        <v>0</v>
      </c>
      <c r="AC55" s="24">
        <f t="shared" si="30"/>
        <v>0</v>
      </c>
      <c r="AD55" s="24">
        <f t="shared" si="31"/>
        <v>0</v>
      </c>
      <c r="AE55" s="24">
        <f t="shared" si="32"/>
        <v>0</v>
      </c>
      <c r="AF55" s="24">
        <f t="shared" si="33"/>
        <v>0</v>
      </c>
      <c r="AG55" s="24">
        <f t="shared" si="34"/>
        <v>0</v>
      </c>
      <c r="AH55" s="24">
        <f t="shared" si="35"/>
        <v>0</v>
      </c>
      <c r="AI55" s="9" t="s">
        <v>51</v>
      </c>
      <c r="AJ55" s="24">
        <f t="shared" si="36"/>
        <v>0</v>
      </c>
      <c r="AK55" s="24">
        <f t="shared" si="37"/>
        <v>0</v>
      </c>
      <c r="AL55" s="24">
        <f t="shared" si="38"/>
        <v>0</v>
      </c>
      <c r="AN55" s="24">
        <v>12</v>
      </c>
      <c r="AO55" s="24">
        <f>G55*0.527217806</f>
        <v>0</v>
      </c>
      <c r="AP55" s="24">
        <f>G55*(1-0.527217806)</f>
        <v>0</v>
      </c>
      <c r="AQ55" s="26" t="s">
        <v>66</v>
      </c>
      <c r="AV55" s="24">
        <f t="shared" si="39"/>
        <v>0</v>
      </c>
      <c r="AW55" s="24">
        <f t="shared" si="40"/>
        <v>0</v>
      </c>
      <c r="AX55" s="24">
        <f t="shared" si="41"/>
        <v>0</v>
      </c>
      <c r="AY55" s="26" t="s">
        <v>158</v>
      </c>
      <c r="AZ55" s="26" t="s">
        <v>68</v>
      </c>
      <c r="BA55" s="9" t="s">
        <v>60</v>
      </c>
      <c r="BC55" s="24">
        <f t="shared" si="42"/>
        <v>0</v>
      </c>
      <c r="BD55" s="24">
        <f t="shared" si="43"/>
        <v>0</v>
      </c>
      <c r="BE55" s="24">
        <v>0</v>
      </c>
      <c r="BF55" s="24">
        <f t="shared" si="44"/>
        <v>8.879999999999999E-3</v>
      </c>
      <c r="BH55" s="24">
        <f t="shared" si="45"/>
        <v>0</v>
      </c>
      <c r="BI55" s="24">
        <f t="shared" si="46"/>
        <v>0</v>
      </c>
      <c r="BJ55" s="24">
        <f t="shared" si="47"/>
        <v>0</v>
      </c>
      <c r="BK55" s="24"/>
      <c r="BL55" s="24">
        <v>722</v>
      </c>
      <c r="BW55" s="24">
        <v>12</v>
      </c>
      <c r="BX55" s="4" t="s">
        <v>188</v>
      </c>
    </row>
    <row r="56" spans="1:76" ht="14.4" x14ac:dyDescent="0.3">
      <c r="A56" s="2" t="s">
        <v>190</v>
      </c>
      <c r="B56" s="3" t="s">
        <v>191</v>
      </c>
      <c r="C56" s="76" t="s">
        <v>192</v>
      </c>
      <c r="D56" s="71"/>
      <c r="E56" s="3" t="s">
        <v>57</v>
      </c>
      <c r="F56" s="24">
        <v>1</v>
      </c>
      <c r="G56" s="24">
        <v>0</v>
      </c>
      <c r="H56" s="24">
        <f t="shared" si="24"/>
        <v>0</v>
      </c>
      <c r="I56" s="24">
        <f t="shared" si="25"/>
        <v>0</v>
      </c>
      <c r="J56" s="24">
        <f t="shared" si="26"/>
        <v>0</v>
      </c>
      <c r="K56" s="24">
        <v>8.0000000000000004E-4</v>
      </c>
      <c r="L56" s="25">
        <f t="shared" si="27"/>
        <v>8.0000000000000004E-4</v>
      </c>
      <c r="Z56" s="24">
        <f t="shared" si="28"/>
        <v>0</v>
      </c>
      <c r="AB56" s="24">
        <f t="shared" si="29"/>
        <v>0</v>
      </c>
      <c r="AC56" s="24">
        <f t="shared" si="30"/>
        <v>0</v>
      </c>
      <c r="AD56" s="24">
        <f t="shared" si="31"/>
        <v>0</v>
      </c>
      <c r="AE56" s="24">
        <f t="shared" si="32"/>
        <v>0</v>
      </c>
      <c r="AF56" s="24">
        <f t="shared" si="33"/>
        <v>0</v>
      </c>
      <c r="AG56" s="24">
        <f t="shared" si="34"/>
        <v>0</v>
      </c>
      <c r="AH56" s="24">
        <f t="shared" si="35"/>
        <v>0</v>
      </c>
      <c r="AI56" s="9" t="s">
        <v>51</v>
      </c>
      <c r="AJ56" s="24">
        <f t="shared" si="36"/>
        <v>0</v>
      </c>
      <c r="AK56" s="24">
        <f t="shared" si="37"/>
        <v>0</v>
      </c>
      <c r="AL56" s="24">
        <f t="shared" si="38"/>
        <v>0</v>
      </c>
      <c r="AN56" s="24">
        <v>12</v>
      </c>
      <c r="AO56" s="24">
        <f>G56*0.859002473</f>
        <v>0</v>
      </c>
      <c r="AP56" s="24">
        <f>G56*(1-0.859002473)</f>
        <v>0</v>
      </c>
      <c r="AQ56" s="26" t="s">
        <v>66</v>
      </c>
      <c r="AV56" s="24">
        <f t="shared" si="39"/>
        <v>0</v>
      </c>
      <c r="AW56" s="24">
        <f t="shared" si="40"/>
        <v>0</v>
      </c>
      <c r="AX56" s="24">
        <f t="shared" si="41"/>
        <v>0</v>
      </c>
      <c r="AY56" s="26" t="s">
        <v>158</v>
      </c>
      <c r="AZ56" s="26" t="s">
        <v>68</v>
      </c>
      <c r="BA56" s="9" t="s">
        <v>60</v>
      </c>
      <c r="BC56" s="24">
        <f t="shared" si="42"/>
        <v>0</v>
      </c>
      <c r="BD56" s="24">
        <f t="shared" si="43"/>
        <v>0</v>
      </c>
      <c r="BE56" s="24">
        <v>0</v>
      </c>
      <c r="BF56" s="24">
        <f t="shared" si="44"/>
        <v>8.0000000000000004E-4</v>
      </c>
      <c r="BH56" s="24">
        <f t="shared" si="45"/>
        <v>0</v>
      </c>
      <c r="BI56" s="24">
        <f t="shared" si="46"/>
        <v>0</v>
      </c>
      <c r="BJ56" s="24">
        <f t="shared" si="47"/>
        <v>0</v>
      </c>
      <c r="BK56" s="24"/>
      <c r="BL56" s="24">
        <v>722</v>
      </c>
      <c r="BW56" s="24">
        <v>12</v>
      </c>
      <c r="BX56" s="4" t="s">
        <v>192</v>
      </c>
    </row>
    <row r="57" spans="1:76" ht="14.4" x14ac:dyDescent="0.3">
      <c r="A57" s="2" t="s">
        <v>193</v>
      </c>
      <c r="B57" s="3" t="s">
        <v>194</v>
      </c>
      <c r="C57" s="76" t="s">
        <v>195</v>
      </c>
      <c r="D57" s="71"/>
      <c r="E57" s="3" t="s">
        <v>57</v>
      </c>
      <c r="F57" s="24">
        <v>1</v>
      </c>
      <c r="G57" s="24">
        <v>0</v>
      </c>
      <c r="H57" s="24">
        <f t="shared" si="24"/>
        <v>0</v>
      </c>
      <c r="I57" s="24">
        <f t="shared" si="25"/>
        <v>0</v>
      </c>
      <c r="J57" s="24">
        <f t="shared" si="26"/>
        <v>0</v>
      </c>
      <c r="K57" s="24">
        <v>5.5000000000000003E-4</v>
      </c>
      <c r="L57" s="25">
        <f t="shared" si="27"/>
        <v>5.5000000000000003E-4</v>
      </c>
      <c r="Z57" s="24">
        <f t="shared" si="28"/>
        <v>0</v>
      </c>
      <c r="AB57" s="24">
        <f t="shared" si="29"/>
        <v>0</v>
      </c>
      <c r="AC57" s="24">
        <f t="shared" si="30"/>
        <v>0</v>
      </c>
      <c r="AD57" s="24">
        <f t="shared" si="31"/>
        <v>0</v>
      </c>
      <c r="AE57" s="24">
        <f t="shared" si="32"/>
        <v>0</v>
      </c>
      <c r="AF57" s="24">
        <f t="shared" si="33"/>
        <v>0</v>
      </c>
      <c r="AG57" s="24">
        <f t="shared" si="34"/>
        <v>0</v>
      </c>
      <c r="AH57" s="24">
        <f t="shared" si="35"/>
        <v>0</v>
      </c>
      <c r="AI57" s="9" t="s">
        <v>51</v>
      </c>
      <c r="AJ57" s="24">
        <f t="shared" si="36"/>
        <v>0</v>
      </c>
      <c r="AK57" s="24">
        <f t="shared" si="37"/>
        <v>0</v>
      </c>
      <c r="AL57" s="24">
        <f t="shared" si="38"/>
        <v>0</v>
      </c>
      <c r="AN57" s="24">
        <v>12</v>
      </c>
      <c r="AO57" s="24">
        <f>G57*0.849445423</f>
        <v>0</v>
      </c>
      <c r="AP57" s="24">
        <f>G57*(1-0.849445423)</f>
        <v>0</v>
      </c>
      <c r="AQ57" s="26" t="s">
        <v>66</v>
      </c>
      <c r="AV57" s="24">
        <f t="shared" si="39"/>
        <v>0</v>
      </c>
      <c r="AW57" s="24">
        <f t="shared" si="40"/>
        <v>0</v>
      </c>
      <c r="AX57" s="24">
        <f t="shared" si="41"/>
        <v>0</v>
      </c>
      <c r="AY57" s="26" t="s">
        <v>158</v>
      </c>
      <c r="AZ57" s="26" t="s">
        <v>68</v>
      </c>
      <c r="BA57" s="9" t="s">
        <v>60</v>
      </c>
      <c r="BC57" s="24">
        <f t="shared" si="42"/>
        <v>0</v>
      </c>
      <c r="BD57" s="24">
        <f t="shared" si="43"/>
        <v>0</v>
      </c>
      <c r="BE57" s="24">
        <v>0</v>
      </c>
      <c r="BF57" s="24">
        <f t="shared" si="44"/>
        <v>5.5000000000000003E-4</v>
      </c>
      <c r="BH57" s="24">
        <f t="shared" si="45"/>
        <v>0</v>
      </c>
      <c r="BI57" s="24">
        <f t="shared" si="46"/>
        <v>0</v>
      </c>
      <c r="BJ57" s="24">
        <f t="shared" si="47"/>
        <v>0</v>
      </c>
      <c r="BK57" s="24"/>
      <c r="BL57" s="24">
        <v>722</v>
      </c>
      <c r="BW57" s="24">
        <v>12</v>
      </c>
      <c r="BX57" s="4" t="s">
        <v>195</v>
      </c>
    </row>
    <row r="58" spans="1:76" ht="14.4" x14ac:dyDescent="0.3">
      <c r="A58" s="2" t="s">
        <v>196</v>
      </c>
      <c r="B58" s="3" t="s">
        <v>197</v>
      </c>
      <c r="C58" s="76" t="s">
        <v>198</v>
      </c>
      <c r="D58" s="71"/>
      <c r="E58" s="3" t="s">
        <v>57</v>
      </c>
      <c r="F58" s="24">
        <v>1</v>
      </c>
      <c r="G58" s="24">
        <v>0</v>
      </c>
      <c r="H58" s="24">
        <f t="shared" si="24"/>
        <v>0</v>
      </c>
      <c r="I58" s="24">
        <f t="shared" si="25"/>
        <v>0</v>
      </c>
      <c r="J58" s="24">
        <f t="shared" si="26"/>
        <v>0</v>
      </c>
      <c r="K58" s="24">
        <v>2.5999999999999999E-3</v>
      </c>
      <c r="L58" s="25">
        <f t="shared" si="27"/>
        <v>2.5999999999999999E-3</v>
      </c>
      <c r="Z58" s="24">
        <f t="shared" si="28"/>
        <v>0</v>
      </c>
      <c r="AB58" s="24">
        <f t="shared" si="29"/>
        <v>0</v>
      </c>
      <c r="AC58" s="24">
        <f t="shared" si="30"/>
        <v>0</v>
      </c>
      <c r="AD58" s="24">
        <f t="shared" si="31"/>
        <v>0</v>
      </c>
      <c r="AE58" s="24">
        <f t="shared" si="32"/>
        <v>0</v>
      </c>
      <c r="AF58" s="24">
        <f t="shared" si="33"/>
        <v>0</v>
      </c>
      <c r="AG58" s="24">
        <f t="shared" si="34"/>
        <v>0</v>
      </c>
      <c r="AH58" s="24">
        <f t="shared" si="35"/>
        <v>0</v>
      </c>
      <c r="AI58" s="9" t="s">
        <v>51</v>
      </c>
      <c r="AJ58" s="24">
        <f t="shared" si="36"/>
        <v>0</v>
      </c>
      <c r="AK58" s="24">
        <f t="shared" si="37"/>
        <v>0</v>
      </c>
      <c r="AL58" s="24">
        <f t="shared" si="38"/>
        <v>0</v>
      </c>
      <c r="AN58" s="24">
        <v>12</v>
      </c>
      <c r="AO58" s="24">
        <f>G58*0.961651818</f>
        <v>0</v>
      </c>
      <c r="AP58" s="24">
        <f>G58*(1-0.961651818)</f>
        <v>0</v>
      </c>
      <c r="AQ58" s="26" t="s">
        <v>66</v>
      </c>
      <c r="AV58" s="24">
        <f t="shared" si="39"/>
        <v>0</v>
      </c>
      <c r="AW58" s="24">
        <f t="shared" si="40"/>
        <v>0</v>
      </c>
      <c r="AX58" s="24">
        <f t="shared" si="41"/>
        <v>0</v>
      </c>
      <c r="AY58" s="26" t="s">
        <v>158</v>
      </c>
      <c r="AZ58" s="26" t="s">
        <v>68</v>
      </c>
      <c r="BA58" s="9" t="s">
        <v>60</v>
      </c>
      <c r="BC58" s="24">
        <f t="shared" si="42"/>
        <v>0</v>
      </c>
      <c r="BD58" s="24">
        <f t="shared" si="43"/>
        <v>0</v>
      </c>
      <c r="BE58" s="24">
        <v>0</v>
      </c>
      <c r="BF58" s="24">
        <f t="shared" si="44"/>
        <v>2.5999999999999999E-3</v>
      </c>
      <c r="BH58" s="24">
        <f t="shared" si="45"/>
        <v>0</v>
      </c>
      <c r="BI58" s="24">
        <f t="shared" si="46"/>
        <v>0</v>
      </c>
      <c r="BJ58" s="24">
        <f t="shared" si="47"/>
        <v>0</v>
      </c>
      <c r="BK58" s="24"/>
      <c r="BL58" s="24">
        <v>722</v>
      </c>
      <c r="BW58" s="24">
        <v>12</v>
      </c>
      <c r="BX58" s="4" t="s">
        <v>198</v>
      </c>
    </row>
    <row r="59" spans="1:76" ht="14.4" x14ac:dyDescent="0.3">
      <c r="A59" s="2" t="s">
        <v>199</v>
      </c>
      <c r="B59" s="3" t="s">
        <v>200</v>
      </c>
      <c r="C59" s="76" t="s">
        <v>201</v>
      </c>
      <c r="D59" s="71"/>
      <c r="E59" s="3" t="s">
        <v>57</v>
      </c>
      <c r="F59" s="24">
        <v>18</v>
      </c>
      <c r="G59" s="24">
        <v>0</v>
      </c>
      <c r="H59" s="24">
        <f t="shared" si="24"/>
        <v>0</v>
      </c>
      <c r="I59" s="24">
        <f t="shared" si="25"/>
        <v>0</v>
      </c>
      <c r="J59" s="24">
        <f t="shared" si="26"/>
        <v>0</v>
      </c>
      <c r="K59" s="24">
        <v>0</v>
      </c>
      <c r="L59" s="25">
        <f t="shared" si="27"/>
        <v>0</v>
      </c>
      <c r="Z59" s="24">
        <f t="shared" si="28"/>
        <v>0</v>
      </c>
      <c r="AB59" s="24">
        <f t="shared" si="29"/>
        <v>0</v>
      </c>
      <c r="AC59" s="24">
        <f t="shared" si="30"/>
        <v>0</v>
      </c>
      <c r="AD59" s="24">
        <f t="shared" si="31"/>
        <v>0</v>
      </c>
      <c r="AE59" s="24">
        <f t="shared" si="32"/>
        <v>0</v>
      </c>
      <c r="AF59" s="24">
        <f t="shared" si="33"/>
        <v>0</v>
      </c>
      <c r="AG59" s="24">
        <f t="shared" si="34"/>
        <v>0</v>
      </c>
      <c r="AH59" s="24">
        <f t="shared" si="35"/>
        <v>0</v>
      </c>
      <c r="AI59" s="9" t="s">
        <v>51</v>
      </c>
      <c r="AJ59" s="24">
        <f t="shared" si="36"/>
        <v>0</v>
      </c>
      <c r="AK59" s="24">
        <f t="shared" si="37"/>
        <v>0</v>
      </c>
      <c r="AL59" s="24">
        <f t="shared" si="38"/>
        <v>0</v>
      </c>
      <c r="AN59" s="24">
        <v>12</v>
      </c>
      <c r="AO59" s="24">
        <f>G59*0.5</f>
        <v>0</v>
      </c>
      <c r="AP59" s="24">
        <f>G59*(1-0.5)</f>
        <v>0</v>
      </c>
      <c r="AQ59" s="26" t="s">
        <v>66</v>
      </c>
      <c r="AV59" s="24">
        <f t="shared" si="39"/>
        <v>0</v>
      </c>
      <c r="AW59" s="24">
        <f t="shared" si="40"/>
        <v>0</v>
      </c>
      <c r="AX59" s="24">
        <f t="shared" si="41"/>
        <v>0</v>
      </c>
      <c r="AY59" s="26" t="s">
        <v>158</v>
      </c>
      <c r="AZ59" s="26" t="s">
        <v>68</v>
      </c>
      <c r="BA59" s="9" t="s">
        <v>60</v>
      </c>
      <c r="BC59" s="24">
        <f t="shared" si="42"/>
        <v>0</v>
      </c>
      <c r="BD59" s="24">
        <f t="shared" si="43"/>
        <v>0</v>
      </c>
      <c r="BE59" s="24">
        <v>0</v>
      </c>
      <c r="BF59" s="24">
        <f t="shared" si="44"/>
        <v>0</v>
      </c>
      <c r="BH59" s="24">
        <f t="shared" si="45"/>
        <v>0</v>
      </c>
      <c r="BI59" s="24">
        <f t="shared" si="46"/>
        <v>0</v>
      </c>
      <c r="BJ59" s="24">
        <f t="shared" si="47"/>
        <v>0</v>
      </c>
      <c r="BK59" s="24"/>
      <c r="BL59" s="24">
        <v>722</v>
      </c>
      <c r="BW59" s="24">
        <v>12</v>
      </c>
      <c r="BX59" s="4" t="s">
        <v>201</v>
      </c>
    </row>
    <row r="60" spans="1:76" ht="14.4" x14ac:dyDescent="0.3">
      <c r="A60" s="2" t="s">
        <v>202</v>
      </c>
      <c r="B60" s="3" t="s">
        <v>203</v>
      </c>
      <c r="C60" s="76" t="s">
        <v>204</v>
      </c>
      <c r="D60" s="71"/>
      <c r="E60" s="3" t="s">
        <v>75</v>
      </c>
      <c r="F60" s="24">
        <v>252</v>
      </c>
      <c r="G60" s="24">
        <v>0</v>
      </c>
      <c r="H60" s="24">
        <f t="shared" si="24"/>
        <v>0</v>
      </c>
      <c r="I60" s="24">
        <f t="shared" si="25"/>
        <v>0</v>
      </c>
      <c r="J60" s="24">
        <f t="shared" si="26"/>
        <v>0</v>
      </c>
      <c r="K60" s="24">
        <v>0</v>
      </c>
      <c r="L60" s="25">
        <f t="shared" si="27"/>
        <v>0</v>
      </c>
      <c r="Z60" s="24">
        <f t="shared" si="28"/>
        <v>0</v>
      </c>
      <c r="AB60" s="24">
        <f t="shared" si="29"/>
        <v>0</v>
      </c>
      <c r="AC60" s="24">
        <f t="shared" si="30"/>
        <v>0</v>
      </c>
      <c r="AD60" s="24">
        <f t="shared" si="31"/>
        <v>0</v>
      </c>
      <c r="AE60" s="24">
        <f t="shared" si="32"/>
        <v>0</v>
      </c>
      <c r="AF60" s="24">
        <f t="shared" si="33"/>
        <v>0</v>
      </c>
      <c r="AG60" s="24">
        <f t="shared" si="34"/>
        <v>0</v>
      </c>
      <c r="AH60" s="24">
        <f t="shared" si="35"/>
        <v>0</v>
      </c>
      <c r="AI60" s="9" t="s">
        <v>51</v>
      </c>
      <c r="AJ60" s="24">
        <f t="shared" si="36"/>
        <v>0</v>
      </c>
      <c r="AK60" s="24">
        <f t="shared" si="37"/>
        <v>0</v>
      </c>
      <c r="AL60" s="24">
        <f t="shared" si="38"/>
        <v>0</v>
      </c>
      <c r="AN60" s="24">
        <v>12</v>
      </c>
      <c r="AO60" s="24">
        <f>G60*0.01489236</f>
        <v>0</v>
      </c>
      <c r="AP60" s="24">
        <f>G60*(1-0.01489236)</f>
        <v>0</v>
      </c>
      <c r="AQ60" s="26" t="s">
        <v>66</v>
      </c>
      <c r="AV60" s="24">
        <f t="shared" si="39"/>
        <v>0</v>
      </c>
      <c r="AW60" s="24">
        <f t="shared" si="40"/>
        <v>0</v>
      </c>
      <c r="AX60" s="24">
        <f t="shared" si="41"/>
        <v>0</v>
      </c>
      <c r="AY60" s="26" t="s">
        <v>158</v>
      </c>
      <c r="AZ60" s="26" t="s">
        <v>68</v>
      </c>
      <c r="BA60" s="9" t="s">
        <v>60</v>
      </c>
      <c r="BC60" s="24">
        <f t="shared" si="42"/>
        <v>0</v>
      </c>
      <c r="BD60" s="24">
        <f t="shared" si="43"/>
        <v>0</v>
      </c>
      <c r="BE60" s="24">
        <v>0</v>
      </c>
      <c r="BF60" s="24">
        <f t="shared" si="44"/>
        <v>0</v>
      </c>
      <c r="BH60" s="24">
        <f t="shared" si="45"/>
        <v>0</v>
      </c>
      <c r="BI60" s="24">
        <f t="shared" si="46"/>
        <v>0</v>
      </c>
      <c r="BJ60" s="24">
        <f t="shared" si="47"/>
        <v>0</v>
      </c>
      <c r="BK60" s="24"/>
      <c r="BL60" s="24">
        <v>722</v>
      </c>
      <c r="BW60" s="24">
        <v>12</v>
      </c>
      <c r="BX60" s="4" t="s">
        <v>204</v>
      </c>
    </row>
    <row r="61" spans="1:76" ht="14.4" x14ac:dyDescent="0.3">
      <c r="A61" s="2" t="s">
        <v>205</v>
      </c>
      <c r="B61" s="3" t="s">
        <v>206</v>
      </c>
      <c r="C61" s="76" t="s">
        <v>207</v>
      </c>
      <c r="D61" s="71"/>
      <c r="E61" s="3" t="s">
        <v>75</v>
      </c>
      <c r="F61" s="24">
        <v>252</v>
      </c>
      <c r="G61" s="24">
        <v>0</v>
      </c>
      <c r="H61" s="24">
        <f t="shared" si="24"/>
        <v>0</v>
      </c>
      <c r="I61" s="24">
        <f t="shared" si="25"/>
        <v>0</v>
      </c>
      <c r="J61" s="24">
        <f t="shared" si="26"/>
        <v>0</v>
      </c>
      <c r="K61" s="24">
        <v>1.0000000000000001E-5</v>
      </c>
      <c r="L61" s="25">
        <f t="shared" si="27"/>
        <v>2.5200000000000001E-3</v>
      </c>
      <c r="Z61" s="24">
        <f t="shared" si="28"/>
        <v>0</v>
      </c>
      <c r="AB61" s="24">
        <f t="shared" si="29"/>
        <v>0</v>
      </c>
      <c r="AC61" s="24">
        <f t="shared" si="30"/>
        <v>0</v>
      </c>
      <c r="AD61" s="24">
        <f t="shared" si="31"/>
        <v>0</v>
      </c>
      <c r="AE61" s="24">
        <f t="shared" si="32"/>
        <v>0</v>
      </c>
      <c r="AF61" s="24">
        <f t="shared" si="33"/>
        <v>0</v>
      </c>
      <c r="AG61" s="24">
        <f t="shared" si="34"/>
        <v>0</v>
      </c>
      <c r="AH61" s="24">
        <f t="shared" si="35"/>
        <v>0</v>
      </c>
      <c r="AI61" s="9" t="s">
        <v>51</v>
      </c>
      <c r="AJ61" s="24">
        <f t="shared" si="36"/>
        <v>0</v>
      </c>
      <c r="AK61" s="24">
        <f t="shared" si="37"/>
        <v>0</v>
      </c>
      <c r="AL61" s="24">
        <f t="shared" si="38"/>
        <v>0</v>
      </c>
      <c r="AN61" s="24">
        <v>12</v>
      </c>
      <c r="AO61" s="24">
        <f>G61*0.051683678</f>
        <v>0</v>
      </c>
      <c r="AP61" s="24">
        <f>G61*(1-0.051683678)</f>
        <v>0</v>
      </c>
      <c r="AQ61" s="26" t="s">
        <v>66</v>
      </c>
      <c r="AV61" s="24">
        <f t="shared" si="39"/>
        <v>0</v>
      </c>
      <c r="AW61" s="24">
        <f t="shared" si="40"/>
        <v>0</v>
      </c>
      <c r="AX61" s="24">
        <f t="shared" si="41"/>
        <v>0</v>
      </c>
      <c r="AY61" s="26" t="s">
        <v>158</v>
      </c>
      <c r="AZ61" s="26" t="s">
        <v>68</v>
      </c>
      <c r="BA61" s="9" t="s">
        <v>60</v>
      </c>
      <c r="BC61" s="24">
        <f t="shared" si="42"/>
        <v>0</v>
      </c>
      <c r="BD61" s="24">
        <f t="shared" si="43"/>
        <v>0</v>
      </c>
      <c r="BE61" s="24">
        <v>0</v>
      </c>
      <c r="BF61" s="24">
        <f t="shared" si="44"/>
        <v>2.5200000000000001E-3</v>
      </c>
      <c r="BH61" s="24">
        <f t="shared" si="45"/>
        <v>0</v>
      </c>
      <c r="BI61" s="24">
        <f t="shared" si="46"/>
        <v>0</v>
      </c>
      <c r="BJ61" s="24">
        <f t="shared" si="47"/>
        <v>0</v>
      </c>
      <c r="BK61" s="24"/>
      <c r="BL61" s="24">
        <v>722</v>
      </c>
      <c r="BW61" s="24">
        <v>12</v>
      </c>
      <c r="BX61" s="4" t="s">
        <v>207</v>
      </c>
    </row>
    <row r="62" spans="1:76" ht="14.4" x14ac:dyDescent="0.3">
      <c r="A62" s="2" t="s">
        <v>208</v>
      </c>
      <c r="B62" s="3" t="s">
        <v>209</v>
      </c>
      <c r="C62" s="76" t="s">
        <v>210</v>
      </c>
      <c r="D62" s="71"/>
      <c r="E62" s="3" t="s">
        <v>57</v>
      </c>
      <c r="F62" s="24">
        <v>12</v>
      </c>
      <c r="G62" s="24">
        <v>0</v>
      </c>
      <c r="H62" s="24">
        <f t="shared" si="24"/>
        <v>0</v>
      </c>
      <c r="I62" s="24">
        <f t="shared" si="25"/>
        <v>0</v>
      </c>
      <c r="J62" s="24">
        <f t="shared" si="26"/>
        <v>0</v>
      </c>
      <c r="K62" s="24">
        <v>8.0000000000000007E-5</v>
      </c>
      <c r="L62" s="25">
        <f t="shared" si="27"/>
        <v>9.6000000000000013E-4</v>
      </c>
      <c r="Z62" s="24">
        <f t="shared" si="28"/>
        <v>0</v>
      </c>
      <c r="AB62" s="24">
        <f t="shared" si="29"/>
        <v>0</v>
      </c>
      <c r="AC62" s="24">
        <f t="shared" si="30"/>
        <v>0</v>
      </c>
      <c r="AD62" s="24">
        <f t="shared" si="31"/>
        <v>0</v>
      </c>
      <c r="AE62" s="24">
        <f t="shared" si="32"/>
        <v>0</v>
      </c>
      <c r="AF62" s="24">
        <f t="shared" si="33"/>
        <v>0</v>
      </c>
      <c r="AG62" s="24">
        <f t="shared" si="34"/>
        <v>0</v>
      </c>
      <c r="AH62" s="24">
        <f t="shared" si="35"/>
        <v>0</v>
      </c>
      <c r="AI62" s="9" t="s">
        <v>51</v>
      </c>
      <c r="AJ62" s="24">
        <f t="shared" si="36"/>
        <v>0</v>
      </c>
      <c r="AK62" s="24">
        <f t="shared" si="37"/>
        <v>0</v>
      </c>
      <c r="AL62" s="24">
        <f t="shared" si="38"/>
        <v>0</v>
      </c>
      <c r="AN62" s="24">
        <v>12</v>
      </c>
      <c r="AO62" s="24">
        <f t="shared" ref="AO62:AO68" si="48">G62*1</f>
        <v>0</v>
      </c>
      <c r="AP62" s="24">
        <f t="shared" ref="AP62:AP68" si="49">G62*(1-1)</f>
        <v>0</v>
      </c>
      <c r="AQ62" s="26" t="s">
        <v>66</v>
      </c>
      <c r="AV62" s="24">
        <f t="shared" si="39"/>
        <v>0</v>
      </c>
      <c r="AW62" s="24">
        <f t="shared" si="40"/>
        <v>0</v>
      </c>
      <c r="AX62" s="24">
        <f t="shared" si="41"/>
        <v>0</v>
      </c>
      <c r="AY62" s="26" t="s">
        <v>158</v>
      </c>
      <c r="AZ62" s="26" t="s">
        <v>68</v>
      </c>
      <c r="BA62" s="9" t="s">
        <v>60</v>
      </c>
      <c r="BC62" s="24">
        <f t="shared" si="42"/>
        <v>0</v>
      </c>
      <c r="BD62" s="24">
        <f t="shared" si="43"/>
        <v>0</v>
      </c>
      <c r="BE62" s="24">
        <v>0</v>
      </c>
      <c r="BF62" s="24">
        <f t="shared" si="44"/>
        <v>9.6000000000000013E-4</v>
      </c>
      <c r="BH62" s="24">
        <f t="shared" si="45"/>
        <v>0</v>
      </c>
      <c r="BI62" s="24">
        <f t="shared" si="46"/>
        <v>0</v>
      </c>
      <c r="BJ62" s="24">
        <f t="shared" si="47"/>
        <v>0</v>
      </c>
      <c r="BK62" s="24"/>
      <c r="BL62" s="24">
        <v>722</v>
      </c>
      <c r="BW62" s="24">
        <v>12</v>
      </c>
      <c r="BX62" s="4" t="s">
        <v>210</v>
      </c>
    </row>
    <row r="63" spans="1:76" ht="14.4" x14ac:dyDescent="0.3">
      <c r="A63" s="2" t="s">
        <v>211</v>
      </c>
      <c r="B63" s="3" t="s">
        <v>212</v>
      </c>
      <c r="C63" s="76" t="s">
        <v>213</v>
      </c>
      <c r="D63" s="71"/>
      <c r="E63" s="3" t="s">
        <v>57</v>
      </c>
      <c r="F63" s="24">
        <v>12</v>
      </c>
      <c r="G63" s="24">
        <v>0</v>
      </c>
      <c r="H63" s="24">
        <f t="shared" si="24"/>
        <v>0</v>
      </c>
      <c r="I63" s="24">
        <f t="shared" si="25"/>
        <v>0</v>
      </c>
      <c r="J63" s="24">
        <f t="shared" si="26"/>
        <v>0</v>
      </c>
      <c r="K63" s="24">
        <v>1.2E-4</v>
      </c>
      <c r="L63" s="25">
        <f t="shared" si="27"/>
        <v>1.4400000000000001E-3</v>
      </c>
      <c r="Z63" s="24">
        <f t="shared" si="28"/>
        <v>0</v>
      </c>
      <c r="AB63" s="24">
        <f t="shared" si="29"/>
        <v>0</v>
      </c>
      <c r="AC63" s="24">
        <f t="shared" si="30"/>
        <v>0</v>
      </c>
      <c r="AD63" s="24">
        <f t="shared" si="31"/>
        <v>0</v>
      </c>
      <c r="AE63" s="24">
        <f t="shared" si="32"/>
        <v>0</v>
      </c>
      <c r="AF63" s="24">
        <f t="shared" si="33"/>
        <v>0</v>
      </c>
      <c r="AG63" s="24">
        <f t="shared" si="34"/>
        <v>0</v>
      </c>
      <c r="AH63" s="24">
        <f t="shared" si="35"/>
        <v>0</v>
      </c>
      <c r="AI63" s="9" t="s">
        <v>51</v>
      </c>
      <c r="AJ63" s="24">
        <f t="shared" si="36"/>
        <v>0</v>
      </c>
      <c r="AK63" s="24">
        <f t="shared" si="37"/>
        <v>0</v>
      </c>
      <c r="AL63" s="24">
        <f t="shared" si="38"/>
        <v>0</v>
      </c>
      <c r="AN63" s="24">
        <v>12</v>
      </c>
      <c r="AO63" s="24">
        <f t="shared" si="48"/>
        <v>0</v>
      </c>
      <c r="AP63" s="24">
        <f t="shared" si="49"/>
        <v>0</v>
      </c>
      <c r="AQ63" s="26" t="s">
        <v>66</v>
      </c>
      <c r="AV63" s="24">
        <f t="shared" si="39"/>
        <v>0</v>
      </c>
      <c r="AW63" s="24">
        <f t="shared" si="40"/>
        <v>0</v>
      </c>
      <c r="AX63" s="24">
        <f t="shared" si="41"/>
        <v>0</v>
      </c>
      <c r="AY63" s="26" t="s">
        <v>158</v>
      </c>
      <c r="AZ63" s="26" t="s">
        <v>68</v>
      </c>
      <c r="BA63" s="9" t="s">
        <v>60</v>
      </c>
      <c r="BC63" s="24">
        <f t="shared" si="42"/>
        <v>0</v>
      </c>
      <c r="BD63" s="24">
        <f t="shared" si="43"/>
        <v>0</v>
      </c>
      <c r="BE63" s="24">
        <v>0</v>
      </c>
      <c r="BF63" s="24">
        <f t="shared" si="44"/>
        <v>1.4400000000000001E-3</v>
      </c>
      <c r="BH63" s="24">
        <f t="shared" si="45"/>
        <v>0</v>
      </c>
      <c r="BI63" s="24">
        <f t="shared" si="46"/>
        <v>0</v>
      </c>
      <c r="BJ63" s="24">
        <f t="shared" si="47"/>
        <v>0</v>
      </c>
      <c r="BK63" s="24"/>
      <c r="BL63" s="24">
        <v>722</v>
      </c>
      <c r="BW63" s="24">
        <v>12</v>
      </c>
      <c r="BX63" s="4" t="s">
        <v>213</v>
      </c>
    </row>
    <row r="64" spans="1:76" ht="14.4" x14ac:dyDescent="0.3">
      <c r="A64" s="2" t="s">
        <v>214</v>
      </c>
      <c r="B64" s="3" t="s">
        <v>215</v>
      </c>
      <c r="C64" s="76" t="s">
        <v>216</v>
      </c>
      <c r="D64" s="71"/>
      <c r="E64" s="3" t="s">
        <v>57</v>
      </c>
      <c r="F64" s="24">
        <v>1</v>
      </c>
      <c r="G64" s="24">
        <v>0</v>
      </c>
      <c r="H64" s="24">
        <f t="shared" si="24"/>
        <v>0</v>
      </c>
      <c r="I64" s="24">
        <f t="shared" si="25"/>
        <v>0</v>
      </c>
      <c r="J64" s="24">
        <f t="shared" si="26"/>
        <v>0</v>
      </c>
      <c r="K64" s="24">
        <v>1.8000000000000001E-4</v>
      </c>
      <c r="L64" s="25">
        <f t="shared" si="27"/>
        <v>1.8000000000000001E-4</v>
      </c>
      <c r="Z64" s="24">
        <f t="shared" si="28"/>
        <v>0</v>
      </c>
      <c r="AB64" s="24">
        <f t="shared" si="29"/>
        <v>0</v>
      </c>
      <c r="AC64" s="24">
        <f t="shared" si="30"/>
        <v>0</v>
      </c>
      <c r="AD64" s="24">
        <f t="shared" si="31"/>
        <v>0</v>
      </c>
      <c r="AE64" s="24">
        <f t="shared" si="32"/>
        <v>0</v>
      </c>
      <c r="AF64" s="24">
        <f t="shared" si="33"/>
        <v>0</v>
      </c>
      <c r="AG64" s="24">
        <f t="shared" si="34"/>
        <v>0</v>
      </c>
      <c r="AH64" s="24">
        <f t="shared" si="35"/>
        <v>0</v>
      </c>
      <c r="AI64" s="9" t="s">
        <v>51</v>
      </c>
      <c r="AJ64" s="24">
        <f t="shared" si="36"/>
        <v>0</v>
      </c>
      <c r="AK64" s="24">
        <f t="shared" si="37"/>
        <v>0</v>
      </c>
      <c r="AL64" s="24">
        <f t="shared" si="38"/>
        <v>0</v>
      </c>
      <c r="AN64" s="24">
        <v>12</v>
      </c>
      <c r="AO64" s="24">
        <f t="shared" si="48"/>
        <v>0</v>
      </c>
      <c r="AP64" s="24">
        <f t="shared" si="49"/>
        <v>0</v>
      </c>
      <c r="AQ64" s="26" t="s">
        <v>66</v>
      </c>
      <c r="AV64" s="24">
        <f t="shared" si="39"/>
        <v>0</v>
      </c>
      <c r="AW64" s="24">
        <f t="shared" si="40"/>
        <v>0</v>
      </c>
      <c r="AX64" s="24">
        <f t="shared" si="41"/>
        <v>0</v>
      </c>
      <c r="AY64" s="26" t="s">
        <v>158</v>
      </c>
      <c r="AZ64" s="26" t="s">
        <v>68</v>
      </c>
      <c r="BA64" s="9" t="s">
        <v>60</v>
      </c>
      <c r="BC64" s="24">
        <f t="shared" si="42"/>
        <v>0</v>
      </c>
      <c r="BD64" s="24">
        <f t="shared" si="43"/>
        <v>0</v>
      </c>
      <c r="BE64" s="24">
        <v>0</v>
      </c>
      <c r="BF64" s="24">
        <f t="shared" si="44"/>
        <v>1.8000000000000001E-4</v>
      </c>
      <c r="BH64" s="24">
        <f t="shared" si="45"/>
        <v>0</v>
      </c>
      <c r="BI64" s="24">
        <f t="shared" si="46"/>
        <v>0</v>
      </c>
      <c r="BJ64" s="24">
        <f t="shared" si="47"/>
        <v>0</v>
      </c>
      <c r="BK64" s="24"/>
      <c r="BL64" s="24">
        <v>722</v>
      </c>
      <c r="BW64" s="24">
        <v>12</v>
      </c>
      <c r="BX64" s="4" t="s">
        <v>216</v>
      </c>
    </row>
    <row r="65" spans="1:76" ht="14.4" x14ac:dyDescent="0.3">
      <c r="A65" s="2" t="s">
        <v>217</v>
      </c>
      <c r="B65" s="3" t="s">
        <v>215</v>
      </c>
      <c r="C65" s="76" t="s">
        <v>218</v>
      </c>
      <c r="D65" s="71"/>
      <c r="E65" s="3" t="s">
        <v>57</v>
      </c>
      <c r="F65" s="24">
        <v>1</v>
      </c>
      <c r="G65" s="24">
        <v>0</v>
      </c>
      <c r="H65" s="24">
        <f t="shared" si="24"/>
        <v>0</v>
      </c>
      <c r="I65" s="24">
        <f t="shared" si="25"/>
        <v>0</v>
      </c>
      <c r="J65" s="24">
        <f t="shared" si="26"/>
        <v>0</v>
      </c>
      <c r="K65" s="24">
        <v>1.8000000000000001E-4</v>
      </c>
      <c r="L65" s="25">
        <f t="shared" si="27"/>
        <v>1.8000000000000001E-4</v>
      </c>
      <c r="Z65" s="24">
        <f t="shared" si="28"/>
        <v>0</v>
      </c>
      <c r="AB65" s="24">
        <f t="shared" si="29"/>
        <v>0</v>
      </c>
      <c r="AC65" s="24">
        <f t="shared" si="30"/>
        <v>0</v>
      </c>
      <c r="AD65" s="24">
        <f t="shared" si="31"/>
        <v>0</v>
      </c>
      <c r="AE65" s="24">
        <f t="shared" si="32"/>
        <v>0</v>
      </c>
      <c r="AF65" s="24">
        <f t="shared" si="33"/>
        <v>0</v>
      </c>
      <c r="AG65" s="24">
        <f t="shared" si="34"/>
        <v>0</v>
      </c>
      <c r="AH65" s="24">
        <f t="shared" si="35"/>
        <v>0</v>
      </c>
      <c r="AI65" s="9" t="s">
        <v>51</v>
      </c>
      <c r="AJ65" s="24">
        <f t="shared" si="36"/>
        <v>0</v>
      </c>
      <c r="AK65" s="24">
        <f t="shared" si="37"/>
        <v>0</v>
      </c>
      <c r="AL65" s="24">
        <f t="shared" si="38"/>
        <v>0</v>
      </c>
      <c r="AN65" s="24">
        <v>12</v>
      </c>
      <c r="AO65" s="24">
        <f t="shared" si="48"/>
        <v>0</v>
      </c>
      <c r="AP65" s="24">
        <f t="shared" si="49"/>
        <v>0</v>
      </c>
      <c r="AQ65" s="26" t="s">
        <v>66</v>
      </c>
      <c r="AV65" s="24">
        <f t="shared" si="39"/>
        <v>0</v>
      </c>
      <c r="AW65" s="24">
        <f t="shared" si="40"/>
        <v>0</v>
      </c>
      <c r="AX65" s="24">
        <f t="shared" si="41"/>
        <v>0</v>
      </c>
      <c r="AY65" s="26" t="s">
        <v>158</v>
      </c>
      <c r="AZ65" s="26" t="s">
        <v>68</v>
      </c>
      <c r="BA65" s="9" t="s">
        <v>60</v>
      </c>
      <c r="BC65" s="24">
        <f t="shared" si="42"/>
        <v>0</v>
      </c>
      <c r="BD65" s="24">
        <f t="shared" si="43"/>
        <v>0</v>
      </c>
      <c r="BE65" s="24">
        <v>0</v>
      </c>
      <c r="BF65" s="24">
        <f t="shared" si="44"/>
        <v>1.8000000000000001E-4</v>
      </c>
      <c r="BH65" s="24">
        <f t="shared" si="45"/>
        <v>0</v>
      </c>
      <c r="BI65" s="24">
        <f t="shared" si="46"/>
        <v>0</v>
      </c>
      <c r="BJ65" s="24">
        <f t="shared" si="47"/>
        <v>0</v>
      </c>
      <c r="BK65" s="24"/>
      <c r="BL65" s="24">
        <v>722</v>
      </c>
      <c r="BW65" s="24">
        <v>12</v>
      </c>
      <c r="BX65" s="4" t="s">
        <v>218</v>
      </c>
    </row>
    <row r="66" spans="1:76" ht="14.4" x14ac:dyDescent="0.3">
      <c r="A66" s="2" t="s">
        <v>219</v>
      </c>
      <c r="B66" s="3" t="s">
        <v>220</v>
      </c>
      <c r="C66" s="76" t="s">
        <v>221</v>
      </c>
      <c r="D66" s="71"/>
      <c r="E66" s="3" t="s">
        <v>57</v>
      </c>
      <c r="F66" s="24">
        <v>1</v>
      </c>
      <c r="G66" s="24">
        <v>0</v>
      </c>
      <c r="H66" s="24">
        <f t="shared" si="24"/>
        <v>0</v>
      </c>
      <c r="I66" s="24">
        <f t="shared" si="25"/>
        <v>0</v>
      </c>
      <c r="J66" s="24">
        <f t="shared" si="26"/>
        <v>0</v>
      </c>
      <c r="K66" s="24">
        <v>3.4000000000000002E-4</v>
      </c>
      <c r="L66" s="25">
        <f t="shared" si="27"/>
        <v>3.4000000000000002E-4</v>
      </c>
      <c r="Z66" s="24">
        <f t="shared" si="28"/>
        <v>0</v>
      </c>
      <c r="AB66" s="24">
        <f t="shared" si="29"/>
        <v>0</v>
      </c>
      <c r="AC66" s="24">
        <f t="shared" si="30"/>
        <v>0</v>
      </c>
      <c r="AD66" s="24">
        <f t="shared" si="31"/>
        <v>0</v>
      </c>
      <c r="AE66" s="24">
        <f t="shared" si="32"/>
        <v>0</v>
      </c>
      <c r="AF66" s="24">
        <f t="shared" si="33"/>
        <v>0</v>
      </c>
      <c r="AG66" s="24">
        <f t="shared" si="34"/>
        <v>0</v>
      </c>
      <c r="AH66" s="24">
        <f t="shared" si="35"/>
        <v>0</v>
      </c>
      <c r="AI66" s="9" t="s">
        <v>51</v>
      </c>
      <c r="AJ66" s="24">
        <f t="shared" si="36"/>
        <v>0</v>
      </c>
      <c r="AK66" s="24">
        <f t="shared" si="37"/>
        <v>0</v>
      </c>
      <c r="AL66" s="24">
        <f t="shared" si="38"/>
        <v>0</v>
      </c>
      <c r="AN66" s="24">
        <v>12</v>
      </c>
      <c r="AO66" s="24">
        <f t="shared" si="48"/>
        <v>0</v>
      </c>
      <c r="AP66" s="24">
        <f t="shared" si="49"/>
        <v>0</v>
      </c>
      <c r="AQ66" s="26" t="s">
        <v>66</v>
      </c>
      <c r="AV66" s="24">
        <f t="shared" si="39"/>
        <v>0</v>
      </c>
      <c r="AW66" s="24">
        <f t="shared" si="40"/>
        <v>0</v>
      </c>
      <c r="AX66" s="24">
        <f t="shared" si="41"/>
        <v>0</v>
      </c>
      <c r="AY66" s="26" t="s">
        <v>158</v>
      </c>
      <c r="AZ66" s="26" t="s">
        <v>68</v>
      </c>
      <c r="BA66" s="9" t="s">
        <v>60</v>
      </c>
      <c r="BC66" s="24">
        <f t="shared" si="42"/>
        <v>0</v>
      </c>
      <c r="BD66" s="24">
        <f t="shared" si="43"/>
        <v>0</v>
      </c>
      <c r="BE66" s="24">
        <v>0</v>
      </c>
      <c r="BF66" s="24">
        <f t="shared" si="44"/>
        <v>3.4000000000000002E-4</v>
      </c>
      <c r="BH66" s="24">
        <f t="shared" si="45"/>
        <v>0</v>
      </c>
      <c r="BI66" s="24">
        <f t="shared" si="46"/>
        <v>0</v>
      </c>
      <c r="BJ66" s="24">
        <f t="shared" si="47"/>
        <v>0</v>
      </c>
      <c r="BK66" s="24"/>
      <c r="BL66" s="24">
        <v>722</v>
      </c>
      <c r="BW66" s="24">
        <v>12</v>
      </c>
      <c r="BX66" s="4" t="s">
        <v>221</v>
      </c>
    </row>
    <row r="67" spans="1:76" ht="14.4" x14ac:dyDescent="0.3">
      <c r="A67" s="2" t="s">
        <v>222</v>
      </c>
      <c r="B67" s="3" t="s">
        <v>220</v>
      </c>
      <c r="C67" s="76" t="s">
        <v>223</v>
      </c>
      <c r="D67" s="71"/>
      <c r="E67" s="3" t="s">
        <v>57</v>
      </c>
      <c r="F67" s="24">
        <v>1</v>
      </c>
      <c r="G67" s="24">
        <v>0</v>
      </c>
      <c r="H67" s="24">
        <f t="shared" si="24"/>
        <v>0</v>
      </c>
      <c r="I67" s="24">
        <f t="shared" si="25"/>
        <v>0</v>
      </c>
      <c r="J67" s="24">
        <f t="shared" si="26"/>
        <v>0</v>
      </c>
      <c r="K67" s="24">
        <v>3.4000000000000002E-4</v>
      </c>
      <c r="L67" s="25">
        <f t="shared" si="27"/>
        <v>3.4000000000000002E-4</v>
      </c>
      <c r="Z67" s="24">
        <f t="shared" si="28"/>
        <v>0</v>
      </c>
      <c r="AB67" s="24">
        <f t="shared" si="29"/>
        <v>0</v>
      </c>
      <c r="AC67" s="24">
        <f t="shared" si="30"/>
        <v>0</v>
      </c>
      <c r="AD67" s="24">
        <f t="shared" si="31"/>
        <v>0</v>
      </c>
      <c r="AE67" s="24">
        <f t="shared" si="32"/>
        <v>0</v>
      </c>
      <c r="AF67" s="24">
        <f t="shared" si="33"/>
        <v>0</v>
      </c>
      <c r="AG67" s="24">
        <f t="shared" si="34"/>
        <v>0</v>
      </c>
      <c r="AH67" s="24">
        <f t="shared" si="35"/>
        <v>0</v>
      </c>
      <c r="AI67" s="9" t="s">
        <v>51</v>
      </c>
      <c r="AJ67" s="24">
        <f t="shared" si="36"/>
        <v>0</v>
      </c>
      <c r="AK67" s="24">
        <f t="shared" si="37"/>
        <v>0</v>
      </c>
      <c r="AL67" s="24">
        <f t="shared" si="38"/>
        <v>0</v>
      </c>
      <c r="AN67" s="24">
        <v>12</v>
      </c>
      <c r="AO67" s="24">
        <f t="shared" si="48"/>
        <v>0</v>
      </c>
      <c r="AP67" s="24">
        <f t="shared" si="49"/>
        <v>0</v>
      </c>
      <c r="AQ67" s="26" t="s">
        <v>66</v>
      </c>
      <c r="AV67" s="24">
        <f t="shared" si="39"/>
        <v>0</v>
      </c>
      <c r="AW67" s="24">
        <f t="shared" si="40"/>
        <v>0</v>
      </c>
      <c r="AX67" s="24">
        <f t="shared" si="41"/>
        <v>0</v>
      </c>
      <c r="AY67" s="26" t="s">
        <v>158</v>
      </c>
      <c r="AZ67" s="26" t="s">
        <v>68</v>
      </c>
      <c r="BA67" s="9" t="s">
        <v>60</v>
      </c>
      <c r="BC67" s="24">
        <f t="shared" si="42"/>
        <v>0</v>
      </c>
      <c r="BD67" s="24">
        <f t="shared" si="43"/>
        <v>0</v>
      </c>
      <c r="BE67" s="24">
        <v>0</v>
      </c>
      <c r="BF67" s="24">
        <f t="shared" si="44"/>
        <v>3.4000000000000002E-4</v>
      </c>
      <c r="BH67" s="24">
        <f t="shared" si="45"/>
        <v>0</v>
      </c>
      <c r="BI67" s="24">
        <f t="shared" si="46"/>
        <v>0</v>
      </c>
      <c r="BJ67" s="24">
        <f t="shared" si="47"/>
        <v>0</v>
      </c>
      <c r="BK67" s="24"/>
      <c r="BL67" s="24">
        <v>722</v>
      </c>
      <c r="BW67" s="24">
        <v>12</v>
      </c>
      <c r="BX67" s="4" t="s">
        <v>223</v>
      </c>
    </row>
    <row r="68" spans="1:76" ht="14.4" x14ac:dyDescent="0.3">
      <c r="A68" s="2" t="s">
        <v>224</v>
      </c>
      <c r="B68" s="3" t="s">
        <v>225</v>
      </c>
      <c r="C68" s="76" t="s">
        <v>226</v>
      </c>
      <c r="D68" s="71"/>
      <c r="E68" s="3" t="s">
        <v>57</v>
      </c>
      <c r="F68" s="24">
        <v>1</v>
      </c>
      <c r="G68" s="24">
        <v>0</v>
      </c>
      <c r="H68" s="24">
        <f t="shared" si="24"/>
        <v>0</v>
      </c>
      <c r="I68" s="24">
        <f t="shared" si="25"/>
        <v>0</v>
      </c>
      <c r="J68" s="24">
        <f t="shared" si="26"/>
        <v>0</v>
      </c>
      <c r="K68" s="24">
        <v>4.4000000000000002E-4</v>
      </c>
      <c r="L68" s="25">
        <f t="shared" si="27"/>
        <v>4.4000000000000002E-4</v>
      </c>
      <c r="Z68" s="24">
        <f t="shared" si="28"/>
        <v>0</v>
      </c>
      <c r="AB68" s="24">
        <f t="shared" si="29"/>
        <v>0</v>
      </c>
      <c r="AC68" s="24">
        <f t="shared" si="30"/>
        <v>0</v>
      </c>
      <c r="AD68" s="24">
        <f t="shared" si="31"/>
        <v>0</v>
      </c>
      <c r="AE68" s="24">
        <f t="shared" si="32"/>
        <v>0</v>
      </c>
      <c r="AF68" s="24">
        <f t="shared" si="33"/>
        <v>0</v>
      </c>
      <c r="AG68" s="24">
        <f t="shared" si="34"/>
        <v>0</v>
      </c>
      <c r="AH68" s="24">
        <f t="shared" si="35"/>
        <v>0</v>
      </c>
      <c r="AI68" s="9" t="s">
        <v>51</v>
      </c>
      <c r="AJ68" s="24">
        <f t="shared" si="36"/>
        <v>0</v>
      </c>
      <c r="AK68" s="24">
        <f t="shared" si="37"/>
        <v>0</v>
      </c>
      <c r="AL68" s="24">
        <f t="shared" si="38"/>
        <v>0</v>
      </c>
      <c r="AN68" s="24">
        <v>12</v>
      </c>
      <c r="AO68" s="24">
        <f t="shared" si="48"/>
        <v>0</v>
      </c>
      <c r="AP68" s="24">
        <f t="shared" si="49"/>
        <v>0</v>
      </c>
      <c r="AQ68" s="26" t="s">
        <v>66</v>
      </c>
      <c r="AV68" s="24">
        <f t="shared" si="39"/>
        <v>0</v>
      </c>
      <c r="AW68" s="24">
        <f t="shared" si="40"/>
        <v>0</v>
      </c>
      <c r="AX68" s="24">
        <f t="shared" si="41"/>
        <v>0</v>
      </c>
      <c r="AY68" s="26" t="s">
        <v>158</v>
      </c>
      <c r="AZ68" s="26" t="s">
        <v>68</v>
      </c>
      <c r="BA68" s="9" t="s">
        <v>60</v>
      </c>
      <c r="BC68" s="24">
        <f t="shared" si="42"/>
        <v>0</v>
      </c>
      <c r="BD68" s="24">
        <f t="shared" si="43"/>
        <v>0</v>
      </c>
      <c r="BE68" s="24">
        <v>0</v>
      </c>
      <c r="BF68" s="24">
        <f t="shared" si="44"/>
        <v>4.4000000000000002E-4</v>
      </c>
      <c r="BH68" s="24">
        <f t="shared" si="45"/>
        <v>0</v>
      </c>
      <c r="BI68" s="24">
        <f t="shared" si="46"/>
        <v>0</v>
      </c>
      <c r="BJ68" s="24">
        <f t="shared" si="47"/>
        <v>0</v>
      </c>
      <c r="BK68" s="24"/>
      <c r="BL68" s="24">
        <v>722</v>
      </c>
      <c r="BW68" s="24">
        <v>12</v>
      </c>
      <c r="BX68" s="4" t="s">
        <v>226</v>
      </c>
    </row>
    <row r="69" spans="1:76" ht="14.4" x14ac:dyDescent="0.3">
      <c r="A69" s="2" t="s">
        <v>227</v>
      </c>
      <c r="B69" s="3" t="s">
        <v>228</v>
      </c>
      <c r="C69" s="76" t="s">
        <v>229</v>
      </c>
      <c r="D69" s="71"/>
      <c r="E69" s="3" t="s">
        <v>75</v>
      </c>
      <c r="F69" s="24">
        <v>114</v>
      </c>
      <c r="G69" s="24">
        <v>0</v>
      </c>
      <c r="H69" s="24">
        <f t="shared" si="24"/>
        <v>0</v>
      </c>
      <c r="I69" s="24">
        <f t="shared" si="25"/>
        <v>0</v>
      </c>
      <c r="J69" s="24">
        <f t="shared" si="26"/>
        <v>0</v>
      </c>
      <c r="K69" s="24">
        <v>2.4000000000000001E-4</v>
      </c>
      <c r="L69" s="25">
        <f t="shared" si="27"/>
        <v>2.7360000000000002E-2</v>
      </c>
      <c r="Z69" s="24">
        <f t="shared" si="28"/>
        <v>0</v>
      </c>
      <c r="AB69" s="24">
        <f t="shared" si="29"/>
        <v>0</v>
      </c>
      <c r="AC69" s="24">
        <f t="shared" si="30"/>
        <v>0</v>
      </c>
      <c r="AD69" s="24">
        <f t="shared" si="31"/>
        <v>0</v>
      </c>
      <c r="AE69" s="24">
        <f t="shared" si="32"/>
        <v>0</v>
      </c>
      <c r="AF69" s="24">
        <f t="shared" si="33"/>
        <v>0</v>
      </c>
      <c r="AG69" s="24">
        <f t="shared" si="34"/>
        <v>0</v>
      </c>
      <c r="AH69" s="24">
        <f t="shared" si="35"/>
        <v>0</v>
      </c>
      <c r="AI69" s="9" t="s">
        <v>51</v>
      </c>
      <c r="AJ69" s="24">
        <f t="shared" si="36"/>
        <v>0</v>
      </c>
      <c r="AK69" s="24">
        <f t="shared" si="37"/>
        <v>0</v>
      </c>
      <c r="AL69" s="24">
        <f t="shared" si="38"/>
        <v>0</v>
      </c>
      <c r="AN69" s="24">
        <v>12</v>
      </c>
      <c r="AO69" s="24">
        <f>G69*0.41172524</f>
        <v>0</v>
      </c>
      <c r="AP69" s="24">
        <f>G69*(1-0.41172524)</f>
        <v>0</v>
      </c>
      <c r="AQ69" s="26" t="s">
        <v>66</v>
      </c>
      <c r="AV69" s="24">
        <f t="shared" si="39"/>
        <v>0</v>
      </c>
      <c r="AW69" s="24">
        <f t="shared" si="40"/>
        <v>0</v>
      </c>
      <c r="AX69" s="24">
        <f t="shared" si="41"/>
        <v>0</v>
      </c>
      <c r="AY69" s="26" t="s">
        <v>158</v>
      </c>
      <c r="AZ69" s="26" t="s">
        <v>68</v>
      </c>
      <c r="BA69" s="9" t="s">
        <v>60</v>
      </c>
      <c r="BC69" s="24">
        <f t="shared" si="42"/>
        <v>0</v>
      </c>
      <c r="BD69" s="24">
        <f t="shared" si="43"/>
        <v>0</v>
      </c>
      <c r="BE69" s="24">
        <v>0</v>
      </c>
      <c r="BF69" s="24">
        <f t="shared" si="44"/>
        <v>2.7360000000000002E-2</v>
      </c>
      <c r="BH69" s="24">
        <f t="shared" si="45"/>
        <v>0</v>
      </c>
      <c r="BI69" s="24">
        <f t="shared" si="46"/>
        <v>0</v>
      </c>
      <c r="BJ69" s="24">
        <f t="shared" si="47"/>
        <v>0</v>
      </c>
      <c r="BK69" s="24"/>
      <c r="BL69" s="24">
        <v>722</v>
      </c>
      <c r="BW69" s="24">
        <v>12</v>
      </c>
      <c r="BX69" s="4" t="s">
        <v>229</v>
      </c>
    </row>
    <row r="70" spans="1:76" ht="14.4" x14ac:dyDescent="0.3">
      <c r="A70" s="2" t="s">
        <v>230</v>
      </c>
      <c r="B70" s="3" t="s">
        <v>231</v>
      </c>
      <c r="C70" s="76" t="s">
        <v>232</v>
      </c>
      <c r="D70" s="71"/>
      <c r="E70" s="3" t="s">
        <v>75</v>
      </c>
      <c r="F70" s="24">
        <v>80</v>
      </c>
      <c r="G70" s="24">
        <v>0</v>
      </c>
      <c r="H70" s="24">
        <f t="shared" si="24"/>
        <v>0</v>
      </c>
      <c r="I70" s="24">
        <f t="shared" si="25"/>
        <v>0</v>
      </c>
      <c r="J70" s="24">
        <f t="shared" si="26"/>
        <v>0</v>
      </c>
      <c r="K70" s="24">
        <v>5.9000000000000003E-4</v>
      </c>
      <c r="L70" s="25">
        <f t="shared" si="27"/>
        <v>4.7200000000000006E-2</v>
      </c>
      <c r="Z70" s="24">
        <f t="shared" si="28"/>
        <v>0</v>
      </c>
      <c r="AB70" s="24">
        <f t="shared" si="29"/>
        <v>0</v>
      </c>
      <c r="AC70" s="24">
        <f t="shared" si="30"/>
        <v>0</v>
      </c>
      <c r="AD70" s="24">
        <f t="shared" si="31"/>
        <v>0</v>
      </c>
      <c r="AE70" s="24">
        <f t="shared" si="32"/>
        <v>0</v>
      </c>
      <c r="AF70" s="24">
        <f t="shared" si="33"/>
        <v>0</v>
      </c>
      <c r="AG70" s="24">
        <f t="shared" si="34"/>
        <v>0</v>
      </c>
      <c r="AH70" s="24">
        <f t="shared" si="35"/>
        <v>0</v>
      </c>
      <c r="AI70" s="9" t="s">
        <v>51</v>
      </c>
      <c r="AJ70" s="24">
        <f t="shared" si="36"/>
        <v>0</v>
      </c>
      <c r="AK70" s="24">
        <f t="shared" si="37"/>
        <v>0</v>
      </c>
      <c r="AL70" s="24">
        <f t="shared" si="38"/>
        <v>0</v>
      </c>
      <c r="AN70" s="24">
        <v>12</v>
      </c>
      <c r="AO70" s="24">
        <f>G70*0.481176471</f>
        <v>0</v>
      </c>
      <c r="AP70" s="24">
        <f>G70*(1-0.481176471)</f>
        <v>0</v>
      </c>
      <c r="AQ70" s="26" t="s">
        <v>66</v>
      </c>
      <c r="AV70" s="24">
        <f t="shared" si="39"/>
        <v>0</v>
      </c>
      <c r="AW70" s="24">
        <f t="shared" si="40"/>
        <v>0</v>
      </c>
      <c r="AX70" s="24">
        <f t="shared" si="41"/>
        <v>0</v>
      </c>
      <c r="AY70" s="26" t="s">
        <v>158</v>
      </c>
      <c r="AZ70" s="26" t="s">
        <v>68</v>
      </c>
      <c r="BA70" s="9" t="s">
        <v>60</v>
      </c>
      <c r="BC70" s="24">
        <f t="shared" si="42"/>
        <v>0</v>
      </c>
      <c r="BD70" s="24">
        <f t="shared" si="43"/>
        <v>0</v>
      </c>
      <c r="BE70" s="24">
        <v>0</v>
      </c>
      <c r="BF70" s="24">
        <f t="shared" si="44"/>
        <v>4.7200000000000006E-2</v>
      </c>
      <c r="BH70" s="24">
        <f t="shared" si="45"/>
        <v>0</v>
      </c>
      <c r="BI70" s="24">
        <f t="shared" si="46"/>
        <v>0</v>
      </c>
      <c r="BJ70" s="24">
        <f t="shared" si="47"/>
        <v>0</v>
      </c>
      <c r="BK70" s="24"/>
      <c r="BL70" s="24">
        <v>722</v>
      </c>
      <c r="BW70" s="24">
        <v>12</v>
      </c>
      <c r="BX70" s="4" t="s">
        <v>232</v>
      </c>
    </row>
    <row r="71" spans="1:76" ht="14.4" x14ac:dyDescent="0.3">
      <c r="A71" s="2" t="s">
        <v>233</v>
      </c>
      <c r="B71" s="3" t="s">
        <v>234</v>
      </c>
      <c r="C71" s="76" t="s">
        <v>235</v>
      </c>
      <c r="D71" s="71"/>
      <c r="E71" s="3" t="s">
        <v>75</v>
      </c>
      <c r="F71" s="24">
        <v>28</v>
      </c>
      <c r="G71" s="24">
        <v>0</v>
      </c>
      <c r="H71" s="24">
        <f t="shared" si="24"/>
        <v>0</v>
      </c>
      <c r="I71" s="24">
        <f t="shared" si="25"/>
        <v>0</v>
      </c>
      <c r="J71" s="24">
        <f t="shared" si="26"/>
        <v>0</v>
      </c>
      <c r="K71" s="24">
        <v>7.7999999999999999E-4</v>
      </c>
      <c r="L71" s="25">
        <f t="shared" si="27"/>
        <v>2.1839999999999998E-2</v>
      </c>
      <c r="Z71" s="24">
        <f t="shared" si="28"/>
        <v>0</v>
      </c>
      <c r="AB71" s="24">
        <f t="shared" si="29"/>
        <v>0</v>
      </c>
      <c r="AC71" s="24">
        <f t="shared" si="30"/>
        <v>0</v>
      </c>
      <c r="AD71" s="24">
        <f t="shared" si="31"/>
        <v>0</v>
      </c>
      <c r="AE71" s="24">
        <f t="shared" si="32"/>
        <v>0</v>
      </c>
      <c r="AF71" s="24">
        <f t="shared" si="33"/>
        <v>0</v>
      </c>
      <c r="AG71" s="24">
        <f t="shared" si="34"/>
        <v>0</v>
      </c>
      <c r="AH71" s="24">
        <f t="shared" si="35"/>
        <v>0</v>
      </c>
      <c r="AI71" s="9" t="s">
        <v>51</v>
      </c>
      <c r="AJ71" s="24">
        <f t="shared" si="36"/>
        <v>0</v>
      </c>
      <c r="AK71" s="24">
        <f t="shared" si="37"/>
        <v>0</v>
      </c>
      <c r="AL71" s="24">
        <f t="shared" si="38"/>
        <v>0</v>
      </c>
      <c r="AN71" s="24">
        <v>12</v>
      </c>
      <c r="AO71" s="24">
        <f>G71*0.557103718</f>
        <v>0</v>
      </c>
      <c r="AP71" s="24">
        <f>G71*(1-0.557103718)</f>
        <v>0</v>
      </c>
      <c r="AQ71" s="26" t="s">
        <v>66</v>
      </c>
      <c r="AV71" s="24">
        <f t="shared" si="39"/>
        <v>0</v>
      </c>
      <c r="AW71" s="24">
        <f t="shared" si="40"/>
        <v>0</v>
      </c>
      <c r="AX71" s="24">
        <f t="shared" si="41"/>
        <v>0</v>
      </c>
      <c r="AY71" s="26" t="s">
        <v>158</v>
      </c>
      <c r="AZ71" s="26" t="s">
        <v>68</v>
      </c>
      <c r="BA71" s="9" t="s">
        <v>60</v>
      </c>
      <c r="BC71" s="24">
        <f t="shared" si="42"/>
        <v>0</v>
      </c>
      <c r="BD71" s="24">
        <f t="shared" si="43"/>
        <v>0</v>
      </c>
      <c r="BE71" s="24">
        <v>0</v>
      </c>
      <c r="BF71" s="24">
        <f t="shared" si="44"/>
        <v>2.1839999999999998E-2</v>
      </c>
      <c r="BH71" s="24">
        <f t="shared" si="45"/>
        <v>0</v>
      </c>
      <c r="BI71" s="24">
        <f t="shared" si="46"/>
        <v>0</v>
      </c>
      <c r="BJ71" s="24">
        <f t="shared" si="47"/>
        <v>0</v>
      </c>
      <c r="BK71" s="24"/>
      <c r="BL71" s="24">
        <v>722</v>
      </c>
      <c r="BW71" s="24">
        <v>12</v>
      </c>
      <c r="BX71" s="4" t="s">
        <v>235</v>
      </c>
    </row>
    <row r="72" spans="1:76" ht="14.4" x14ac:dyDescent="0.3">
      <c r="A72" s="2" t="s">
        <v>236</v>
      </c>
      <c r="B72" s="3" t="s">
        <v>237</v>
      </c>
      <c r="C72" s="76" t="s">
        <v>238</v>
      </c>
      <c r="D72" s="71"/>
      <c r="E72" s="3" t="s">
        <v>75</v>
      </c>
      <c r="F72" s="24">
        <v>18</v>
      </c>
      <c r="G72" s="24">
        <v>0</v>
      </c>
      <c r="H72" s="24">
        <f t="shared" si="24"/>
        <v>0</v>
      </c>
      <c r="I72" s="24">
        <f t="shared" si="25"/>
        <v>0</v>
      </c>
      <c r="J72" s="24">
        <f t="shared" si="26"/>
        <v>0</v>
      </c>
      <c r="K72" s="24">
        <v>1.06E-3</v>
      </c>
      <c r="L72" s="25">
        <f t="shared" si="27"/>
        <v>1.908E-2</v>
      </c>
      <c r="Z72" s="24">
        <f t="shared" si="28"/>
        <v>0</v>
      </c>
      <c r="AB72" s="24">
        <f t="shared" si="29"/>
        <v>0</v>
      </c>
      <c r="AC72" s="24">
        <f t="shared" si="30"/>
        <v>0</v>
      </c>
      <c r="AD72" s="24">
        <f t="shared" si="31"/>
        <v>0</v>
      </c>
      <c r="AE72" s="24">
        <f t="shared" si="32"/>
        <v>0</v>
      </c>
      <c r="AF72" s="24">
        <f t="shared" si="33"/>
        <v>0</v>
      </c>
      <c r="AG72" s="24">
        <f t="shared" si="34"/>
        <v>0</v>
      </c>
      <c r="AH72" s="24">
        <f t="shared" si="35"/>
        <v>0</v>
      </c>
      <c r="AI72" s="9" t="s">
        <v>51</v>
      </c>
      <c r="AJ72" s="24">
        <f t="shared" si="36"/>
        <v>0</v>
      </c>
      <c r="AK72" s="24">
        <f t="shared" si="37"/>
        <v>0</v>
      </c>
      <c r="AL72" s="24">
        <f t="shared" si="38"/>
        <v>0</v>
      </c>
      <c r="AN72" s="24">
        <v>12</v>
      </c>
      <c r="AO72" s="24">
        <f>G72*0.660168612</f>
        <v>0</v>
      </c>
      <c r="AP72" s="24">
        <f>G72*(1-0.660168612)</f>
        <v>0</v>
      </c>
      <c r="AQ72" s="26" t="s">
        <v>66</v>
      </c>
      <c r="AV72" s="24">
        <f t="shared" si="39"/>
        <v>0</v>
      </c>
      <c r="AW72" s="24">
        <f t="shared" si="40"/>
        <v>0</v>
      </c>
      <c r="AX72" s="24">
        <f t="shared" si="41"/>
        <v>0</v>
      </c>
      <c r="AY72" s="26" t="s">
        <v>158</v>
      </c>
      <c r="AZ72" s="26" t="s">
        <v>68</v>
      </c>
      <c r="BA72" s="9" t="s">
        <v>60</v>
      </c>
      <c r="BC72" s="24">
        <f t="shared" si="42"/>
        <v>0</v>
      </c>
      <c r="BD72" s="24">
        <f t="shared" si="43"/>
        <v>0</v>
      </c>
      <c r="BE72" s="24">
        <v>0</v>
      </c>
      <c r="BF72" s="24">
        <f t="shared" si="44"/>
        <v>1.908E-2</v>
      </c>
      <c r="BH72" s="24">
        <f t="shared" si="45"/>
        <v>0</v>
      </c>
      <c r="BI72" s="24">
        <f t="shared" si="46"/>
        <v>0</v>
      </c>
      <c r="BJ72" s="24">
        <f t="shared" si="47"/>
        <v>0</v>
      </c>
      <c r="BK72" s="24"/>
      <c r="BL72" s="24">
        <v>722</v>
      </c>
      <c r="BW72" s="24">
        <v>12</v>
      </c>
      <c r="BX72" s="4" t="s">
        <v>238</v>
      </c>
    </row>
    <row r="73" spans="1:76" ht="14.4" x14ac:dyDescent="0.3">
      <c r="A73" s="2" t="s">
        <v>239</v>
      </c>
      <c r="B73" s="3" t="s">
        <v>240</v>
      </c>
      <c r="C73" s="76" t="s">
        <v>241</v>
      </c>
      <c r="D73" s="71"/>
      <c r="E73" s="3" t="s">
        <v>57</v>
      </c>
      <c r="F73" s="24">
        <v>2</v>
      </c>
      <c r="G73" s="24">
        <v>0</v>
      </c>
      <c r="H73" s="24">
        <f t="shared" si="24"/>
        <v>0</v>
      </c>
      <c r="I73" s="24">
        <f t="shared" si="25"/>
        <v>0</v>
      </c>
      <c r="J73" s="24">
        <f t="shared" si="26"/>
        <v>0</v>
      </c>
      <c r="K73" s="24">
        <v>3.2000000000000003E-4</v>
      </c>
      <c r="L73" s="25">
        <f t="shared" si="27"/>
        <v>6.4000000000000005E-4</v>
      </c>
      <c r="Z73" s="24">
        <f t="shared" si="28"/>
        <v>0</v>
      </c>
      <c r="AB73" s="24">
        <f t="shared" si="29"/>
        <v>0</v>
      </c>
      <c r="AC73" s="24">
        <f t="shared" si="30"/>
        <v>0</v>
      </c>
      <c r="AD73" s="24">
        <f t="shared" si="31"/>
        <v>0</v>
      </c>
      <c r="AE73" s="24">
        <f t="shared" si="32"/>
        <v>0</v>
      </c>
      <c r="AF73" s="24">
        <f t="shared" si="33"/>
        <v>0</v>
      </c>
      <c r="AG73" s="24">
        <f t="shared" si="34"/>
        <v>0</v>
      </c>
      <c r="AH73" s="24">
        <f t="shared" si="35"/>
        <v>0</v>
      </c>
      <c r="AI73" s="9" t="s">
        <v>51</v>
      </c>
      <c r="AJ73" s="24">
        <f t="shared" si="36"/>
        <v>0</v>
      </c>
      <c r="AK73" s="24">
        <f t="shared" si="37"/>
        <v>0</v>
      </c>
      <c r="AL73" s="24">
        <f t="shared" si="38"/>
        <v>0</v>
      </c>
      <c r="AN73" s="24">
        <v>12</v>
      </c>
      <c r="AO73" s="24">
        <f>G73*0.791597484</f>
        <v>0</v>
      </c>
      <c r="AP73" s="24">
        <f>G73*(1-0.791597484)</f>
        <v>0</v>
      </c>
      <c r="AQ73" s="26" t="s">
        <v>66</v>
      </c>
      <c r="AV73" s="24">
        <f t="shared" si="39"/>
        <v>0</v>
      </c>
      <c r="AW73" s="24">
        <f t="shared" si="40"/>
        <v>0</v>
      </c>
      <c r="AX73" s="24">
        <f t="shared" si="41"/>
        <v>0</v>
      </c>
      <c r="AY73" s="26" t="s">
        <v>158</v>
      </c>
      <c r="AZ73" s="26" t="s">
        <v>68</v>
      </c>
      <c r="BA73" s="9" t="s">
        <v>60</v>
      </c>
      <c r="BC73" s="24">
        <f t="shared" si="42"/>
        <v>0</v>
      </c>
      <c r="BD73" s="24">
        <f t="shared" si="43"/>
        <v>0</v>
      </c>
      <c r="BE73" s="24">
        <v>0</v>
      </c>
      <c r="BF73" s="24">
        <f t="shared" si="44"/>
        <v>6.4000000000000005E-4</v>
      </c>
      <c r="BH73" s="24">
        <f t="shared" si="45"/>
        <v>0</v>
      </c>
      <c r="BI73" s="24">
        <f t="shared" si="46"/>
        <v>0</v>
      </c>
      <c r="BJ73" s="24">
        <f t="shared" si="47"/>
        <v>0</v>
      </c>
      <c r="BK73" s="24"/>
      <c r="BL73" s="24">
        <v>722</v>
      </c>
      <c r="BW73" s="24">
        <v>12</v>
      </c>
      <c r="BX73" s="4" t="s">
        <v>241</v>
      </c>
    </row>
    <row r="74" spans="1:76" ht="14.4" x14ac:dyDescent="0.3">
      <c r="A74" s="2" t="s">
        <v>242</v>
      </c>
      <c r="B74" s="3" t="s">
        <v>243</v>
      </c>
      <c r="C74" s="76" t="s">
        <v>244</v>
      </c>
      <c r="D74" s="71"/>
      <c r="E74" s="3" t="s">
        <v>57</v>
      </c>
      <c r="F74" s="24">
        <v>2</v>
      </c>
      <c r="G74" s="24">
        <v>0</v>
      </c>
      <c r="H74" s="24">
        <f t="shared" si="24"/>
        <v>0</v>
      </c>
      <c r="I74" s="24">
        <f t="shared" si="25"/>
        <v>0</v>
      </c>
      <c r="J74" s="24">
        <f t="shared" si="26"/>
        <v>0</v>
      </c>
      <c r="K74" s="24">
        <v>1.7000000000000001E-4</v>
      </c>
      <c r="L74" s="25">
        <f t="shared" si="27"/>
        <v>3.4000000000000002E-4</v>
      </c>
      <c r="Z74" s="24">
        <f t="shared" si="28"/>
        <v>0</v>
      </c>
      <c r="AB74" s="24">
        <f t="shared" si="29"/>
        <v>0</v>
      </c>
      <c r="AC74" s="24">
        <f t="shared" si="30"/>
        <v>0</v>
      </c>
      <c r="AD74" s="24">
        <f t="shared" si="31"/>
        <v>0</v>
      </c>
      <c r="AE74" s="24">
        <f t="shared" si="32"/>
        <v>0</v>
      </c>
      <c r="AF74" s="24">
        <f t="shared" si="33"/>
        <v>0</v>
      </c>
      <c r="AG74" s="24">
        <f t="shared" si="34"/>
        <v>0</v>
      </c>
      <c r="AH74" s="24">
        <f t="shared" si="35"/>
        <v>0</v>
      </c>
      <c r="AI74" s="9" t="s">
        <v>51</v>
      </c>
      <c r="AJ74" s="24">
        <f t="shared" si="36"/>
        <v>0</v>
      </c>
      <c r="AK74" s="24">
        <f t="shared" si="37"/>
        <v>0</v>
      </c>
      <c r="AL74" s="24">
        <f t="shared" si="38"/>
        <v>0</v>
      </c>
      <c r="AN74" s="24">
        <v>12</v>
      </c>
      <c r="AO74" s="24">
        <f>G74*0.77274062</f>
        <v>0</v>
      </c>
      <c r="AP74" s="24">
        <f>G74*(1-0.77274062)</f>
        <v>0</v>
      </c>
      <c r="AQ74" s="26" t="s">
        <v>66</v>
      </c>
      <c r="AV74" s="24">
        <f t="shared" si="39"/>
        <v>0</v>
      </c>
      <c r="AW74" s="24">
        <f t="shared" si="40"/>
        <v>0</v>
      </c>
      <c r="AX74" s="24">
        <f t="shared" si="41"/>
        <v>0</v>
      </c>
      <c r="AY74" s="26" t="s">
        <v>158</v>
      </c>
      <c r="AZ74" s="26" t="s">
        <v>68</v>
      </c>
      <c r="BA74" s="9" t="s">
        <v>60</v>
      </c>
      <c r="BC74" s="24">
        <f t="shared" si="42"/>
        <v>0</v>
      </c>
      <c r="BD74" s="24">
        <f t="shared" si="43"/>
        <v>0</v>
      </c>
      <c r="BE74" s="24">
        <v>0</v>
      </c>
      <c r="BF74" s="24">
        <f t="shared" si="44"/>
        <v>3.4000000000000002E-4</v>
      </c>
      <c r="BH74" s="24">
        <f t="shared" si="45"/>
        <v>0</v>
      </c>
      <c r="BI74" s="24">
        <f t="shared" si="46"/>
        <v>0</v>
      </c>
      <c r="BJ74" s="24">
        <f t="shared" si="47"/>
        <v>0</v>
      </c>
      <c r="BK74" s="24"/>
      <c r="BL74" s="24">
        <v>722</v>
      </c>
      <c r="BW74" s="24">
        <v>12</v>
      </c>
      <c r="BX74" s="4" t="s">
        <v>244</v>
      </c>
    </row>
    <row r="75" spans="1:76" ht="14.4" x14ac:dyDescent="0.3">
      <c r="A75" s="2" t="s">
        <v>52</v>
      </c>
      <c r="B75" s="3" t="s">
        <v>245</v>
      </c>
      <c r="C75" s="76" t="s">
        <v>246</v>
      </c>
      <c r="D75" s="71"/>
      <c r="E75" s="3" t="s">
        <v>57</v>
      </c>
      <c r="F75" s="24">
        <v>2</v>
      </c>
      <c r="G75" s="24">
        <v>0</v>
      </c>
      <c r="H75" s="24">
        <f t="shared" si="24"/>
        <v>0</v>
      </c>
      <c r="I75" s="24">
        <f t="shared" si="25"/>
        <v>0</v>
      </c>
      <c r="J75" s="24">
        <f t="shared" si="26"/>
        <v>0</v>
      </c>
      <c r="K75" s="24">
        <v>2.5000000000000001E-4</v>
      </c>
      <c r="L75" s="25">
        <f t="shared" si="27"/>
        <v>5.0000000000000001E-4</v>
      </c>
      <c r="Z75" s="24">
        <f t="shared" si="28"/>
        <v>0</v>
      </c>
      <c r="AB75" s="24">
        <f t="shared" si="29"/>
        <v>0</v>
      </c>
      <c r="AC75" s="24">
        <f t="shared" si="30"/>
        <v>0</v>
      </c>
      <c r="AD75" s="24">
        <f t="shared" si="31"/>
        <v>0</v>
      </c>
      <c r="AE75" s="24">
        <f t="shared" si="32"/>
        <v>0</v>
      </c>
      <c r="AF75" s="24">
        <f t="shared" si="33"/>
        <v>0</v>
      </c>
      <c r="AG75" s="24">
        <f t="shared" si="34"/>
        <v>0</v>
      </c>
      <c r="AH75" s="24">
        <f t="shared" si="35"/>
        <v>0</v>
      </c>
      <c r="AI75" s="9" t="s">
        <v>51</v>
      </c>
      <c r="AJ75" s="24">
        <f t="shared" si="36"/>
        <v>0</v>
      </c>
      <c r="AK75" s="24">
        <f t="shared" si="37"/>
        <v>0</v>
      </c>
      <c r="AL75" s="24">
        <f t="shared" si="38"/>
        <v>0</v>
      </c>
      <c r="AN75" s="24">
        <v>12</v>
      </c>
      <c r="AO75" s="24">
        <f>G75*0.790511278</f>
        <v>0</v>
      </c>
      <c r="AP75" s="24">
        <f>G75*(1-0.790511278)</f>
        <v>0</v>
      </c>
      <c r="AQ75" s="26" t="s">
        <v>66</v>
      </c>
      <c r="AV75" s="24">
        <f t="shared" si="39"/>
        <v>0</v>
      </c>
      <c r="AW75" s="24">
        <f t="shared" si="40"/>
        <v>0</v>
      </c>
      <c r="AX75" s="24">
        <f t="shared" si="41"/>
        <v>0</v>
      </c>
      <c r="AY75" s="26" t="s">
        <v>158</v>
      </c>
      <c r="AZ75" s="26" t="s">
        <v>68</v>
      </c>
      <c r="BA75" s="9" t="s">
        <v>60</v>
      </c>
      <c r="BC75" s="24">
        <f t="shared" si="42"/>
        <v>0</v>
      </c>
      <c r="BD75" s="24">
        <f t="shared" si="43"/>
        <v>0</v>
      </c>
      <c r="BE75" s="24">
        <v>0</v>
      </c>
      <c r="BF75" s="24">
        <f t="shared" si="44"/>
        <v>5.0000000000000001E-4</v>
      </c>
      <c r="BH75" s="24">
        <f t="shared" si="45"/>
        <v>0</v>
      </c>
      <c r="BI75" s="24">
        <f t="shared" si="46"/>
        <v>0</v>
      </c>
      <c r="BJ75" s="24">
        <f t="shared" si="47"/>
        <v>0</v>
      </c>
      <c r="BK75" s="24"/>
      <c r="BL75" s="24">
        <v>722</v>
      </c>
      <c r="BW75" s="24">
        <v>12</v>
      </c>
      <c r="BX75" s="4" t="s">
        <v>246</v>
      </c>
    </row>
    <row r="76" spans="1:76" ht="14.4" x14ac:dyDescent="0.3">
      <c r="A76" s="2" t="s">
        <v>247</v>
      </c>
      <c r="B76" s="3" t="s">
        <v>248</v>
      </c>
      <c r="C76" s="76" t="s">
        <v>249</v>
      </c>
      <c r="D76" s="71"/>
      <c r="E76" s="3" t="s">
        <v>57</v>
      </c>
      <c r="F76" s="24">
        <v>1</v>
      </c>
      <c r="G76" s="24">
        <v>0</v>
      </c>
      <c r="H76" s="24">
        <f t="shared" si="24"/>
        <v>0</v>
      </c>
      <c r="I76" s="24">
        <f t="shared" si="25"/>
        <v>0</v>
      </c>
      <c r="J76" s="24">
        <f t="shared" si="26"/>
        <v>0</v>
      </c>
      <c r="K76" s="24">
        <v>1.2E-4</v>
      </c>
      <c r="L76" s="25">
        <f t="shared" si="27"/>
        <v>1.2E-4</v>
      </c>
      <c r="Z76" s="24">
        <f t="shared" si="28"/>
        <v>0</v>
      </c>
      <c r="AB76" s="24">
        <f t="shared" si="29"/>
        <v>0</v>
      </c>
      <c r="AC76" s="24">
        <f t="shared" si="30"/>
        <v>0</v>
      </c>
      <c r="AD76" s="24">
        <f t="shared" si="31"/>
        <v>0</v>
      </c>
      <c r="AE76" s="24">
        <f t="shared" si="32"/>
        <v>0</v>
      </c>
      <c r="AF76" s="24">
        <f t="shared" si="33"/>
        <v>0</v>
      </c>
      <c r="AG76" s="24">
        <f t="shared" si="34"/>
        <v>0</v>
      </c>
      <c r="AH76" s="24">
        <f t="shared" si="35"/>
        <v>0</v>
      </c>
      <c r="AI76" s="9" t="s">
        <v>51</v>
      </c>
      <c r="AJ76" s="24">
        <f t="shared" si="36"/>
        <v>0</v>
      </c>
      <c r="AK76" s="24">
        <f t="shared" si="37"/>
        <v>0</v>
      </c>
      <c r="AL76" s="24">
        <f t="shared" si="38"/>
        <v>0</v>
      </c>
      <c r="AN76" s="24">
        <v>12</v>
      </c>
      <c r="AO76" s="24">
        <f>G76*0.679623116</f>
        <v>0</v>
      </c>
      <c r="AP76" s="24">
        <f>G76*(1-0.679623116)</f>
        <v>0</v>
      </c>
      <c r="AQ76" s="26" t="s">
        <v>66</v>
      </c>
      <c r="AV76" s="24">
        <f t="shared" si="39"/>
        <v>0</v>
      </c>
      <c r="AW76" s="24">
        <f t="shared" si="40"/>
        <v>0</v>
      </c>
      <c r="AX76" s="24">
        <f t="shared" si="41"/>
        <v>0</v>
      </c>
      <c r="AY76" s="26" t="s">
        <v>158</v>
      </c>
      <c r="AZ76" s="26" t="s">
        <v>68</v>
      </c>
      <c r="BA76" s="9" t="s">
        <v>60</v>
      </c>
      <c r="BC76" s="24">
        <f t="shared" si="42"/>
        <v>0</v>
      </c>
      <c r="BD76" s="24">
        <f t="shared" si="43"/>
        <v>0</v>
      </c>
      <c r="BE76" s="24">
        <v>0</v>
      </c>
      <c r="BF76" s="24">
        <f t="shared" si="44"/>
        <v>1.2E-4</v>
      </c>
      <c r="BH76" s="24">
        <f t="shared" si="45"/>
        <v>0</v>
      </c>
      <c r="BI76" s="24">
        <f t="shared" si="46"/>
        <v>0</v>
      </c>
      <c r="BJ76" s="24">
        <f t="shared" si="47"/>
        <v>0</v>
      </c>
      <c r="BK76" s="24"/>
      <c r="BL76" s="24">
        <v>722</v>
      </c>
      <c r="BW76" s="24">
        <v>12</v>
      </c>
      <c r="BX76" s="4" t="s">
        <v>249</v>
      </c>
    </row>
    <row r="77" spans="1:76" ht="14.4" x14ac:dyDescent="0.3">
      <c r="A77" s="2" t="s">
        <v>250</v>
      </c>
      <c r="B77" s="3" t="s">
        <v>251</v>
      </c>
      <c r="C77" s="76" t="s">
        <v>252</v>
      </c>
      <c r="D77" s="71"/>
      <c r="E77" s="3" t="s">
        <v>57</v>
      </c>
      <c r="F77" s="24">
        <v>6</v>
      </c>
      <c r="G77" s="24">
        <v>0</v>
      </c>
      <c r="H77" s="24">
        <f t="shared" si="24"/>
        <v>0</v>
      </c>
      <c r="I77" s="24">
        <f t="shared" si="25"/>
        <v>0</v>
      </c>
      <c r="J77" s="24">
        <f t="shared" si="26"/>
        <v>0</v>
      </c>
      <c r="K77" s="24">
        <v>1.3999999999999999E-4</v>
      </c>
      <c r="L77" s="25">
        <f t="shared" si="27"/>
        <v>8.3999999999999993E-4</v>
      </c>
      <c r="Z77" s="24">
        <f t="shared" si="28"/>
        <v>0</v>
      </c>
      <c r="AB77" s="24">
        <f t="shared" si="29"/>
        <v>0</v>
      </c>
      <c r="AC77" s="24">
        <f t="shared" si="30"/>
        <v>0</v>
      </c>
      <c r="AD77" s="24">
        <f t="shared" si="31"/>
        <v>0</v>
      </c>
      <c r="AE77" s="24">
        <f t="shared" si="32"/>
        <v>0</v>
      </c>
      <c r="AF77" s="24">
        <f t="shared" si="33"/>
        <v>0</v>
      </c>
      <c r="AG77" s="24">
        <f t="shared" si="34"/>
        <v>0</v>
      </c>
      <c r="AH77" s="24">
        <f t="shared" si="35"/>
        <v>0</v>
      </c>
      <c r="AI77" s="9" t="s">
        <v>51</v>
      </c>
      <c r="AJ77" s="24">
        <f t="shared" si="36"/>
        <v>0</v>
      </c>
      <c r="AK77" s="24">
        <f t="shared" si="37"/>
        <v>0</v>
      </c>
      <c r="AL77" s="24">
        <f t="shared" si="38"/>
        <v>0</v>
      </c>
      <c r="AN77" s="24">
        <v>12</v>
      </c>
      <c r="AO77" s="24">
        <f>G77*0.598852772</f>
        <v>0</v>
      </c>
      <c r="AP77" s="24">
        <f>G77*(1-0.598852772)</f>
        <v>0</v>
      </c>
      <c r="AQ77" s="26" t="s">
        <v>66</v>
      </c>
      <c r="AV77" s="24">
        <f t="shared" si="39"/>
        <v>0</v>
      </c>
      <c r="AW77" s="24">
        <f t="shared" si="40"/>
        <v>0</v>
      </c>
      <c r="AX77" s="24">
        <f t="shared" si="41"/>
        <v>0</v>
      </c>
      <c r="AY77" s="26" t="s">
        <v>158</v>
      </c>
      <c r="AZ77" s="26" t="s">
        <v>68</v>
      </c>
      <c r="BA77" s="9" t="s">
        <v>60</v>
      </c>
      <c r="BC77" s="24">
        <f t="shared" si="42"/>
        <v>0</v>
      </c>
      <c r="BD77" s="24">
        <f t="shared" si="43"/>
        <v>0</v>
      </c>
      <c r="BE77" s="24">
        <v>0</v>
      </c>
      <c r="BF77" s="24">
        <f t="shared" si="44"/>
        <v>8.3999999999999993E-4</v>
      </c>
      <c r="BH77" s="24">
        <f t="shared" si="45"/>
        <v>0</v>
      </c>
      <c r="BI77" s="24">
        <f t="shared" si="46"/>
        <v>0</v>
      </c>
      <c r="BJ77" s="24">
        <f t="shared" si="47"/>
        <v>0</v>
      </c>
      <c r="BK77" s="24"/>
      <c r="BL77" s="24">
        <v>722</v>
      </c>
      <c r="BW77" s="24">
        <v>12</v>
      </c>
      <c r="BX77" s="4" t="s">
        <v>252</v>
      </c>
    </row>
    <row r="78" spans="1:76" ht="14.4" x14ac:dyDescent="0.3">
      <c r="A78" s="2" t="s">
        <v>253</v>
      </c>
      <c r="B78" s="3" t="s">
        <v>254</v>
      </c>
      <c r="C78" s="76" t="s">
        <v>255</v>
      </c>
      <c r="D78" s="71"/>
      <c r="E78" s="3" t="s">
        <v>57</v>
      </c>
      <c r="F78" s="24">
        <v>6</v>
      </c>
      <c r="G78" s="24">
        <v>0</v>
      </c>
      <c r="H78" s="24">
        <f t="shared" si="24"/>
        <v>0</v>
      </c>
      <c r="I78" s="24">
        <f t="shared" si="25"/>
        <v>0</v>
      </c>
      <c r="J78" s="24">
        <f t="shared" si="26"/>
        <v>0</v>
      </c>
      <c r="K78" s="24">
        <v>2.0000000000000001E-4</v>
      </c>
      <c r="L78" s="25">
        <f t="shared" si="27"/>
        <v>1.2000000000000001E-3</v>
      </c>
      <c r="Z78" s="24">
        <f t="shared" si="28"/>
        <v>0</v>
      </c>
      <c r="AB78" s="24">
        <f t="shared" si="29"/>
        <v>0</v>
      </c>
      <c r="AC78" s="24">
        <f t="shared" si="30"/>
        <v>0</v>
      </c>
      <c r="AD78" s="24">
        <f t="shared" si="31"/>
        <v>0</v>
      </c>
      <c r="AE78" s="24">
        <f t="shared" si="32"/>
        <v>0</v>
      </c>
      <c r="AF78" s="24">
        <f t="shared" si="33"/>
        <v>0</v>
      </c>
      <c r="AG78" s="24">
        <f t="shared" si="34"/>
        <v>0</v>
      </c>
      <c r="AH78" s="24">
        <f t="shared" si="35"/>
        <v>0</v>
      </c>
      <c r="AI78" s="9" t="s">
        <v>51</v>
      </c>
      <c r="AJ78" s="24">
        <f t="shared" si="36"/>
        <v>0</v>
      </c>
      <c r="AK78" s="24">
        <f t="shared" si="37"/>
        <v>0</v>
      </c>
      <c r="AL78" s="24">
        <f t="shared" si="38"/>
        <v>0</v>
      </c>
      <c r="AN78" s="24">
        <v>12</v>
      </c>
      <c r="AO78" s="24">
        <f>G78*0.619073806</f>
        <v>0</v>
      </c>
      <c r="AP78" s="24">
        <f>G78*(1-0.619073806)</f>
        <v>0</v>
      </c>
      <c r="AQ78" s="26" t="s">
        <v>66</v>
      </c>
      <c r="AV78" s="24">
        <f t="shared" si="39"/>
        <v>0</v>
      </c>
      <c r="AW78" s="24">
        <f t="shared" si="40"/>
        <v>0</v>
      </c>
      <c r="AX78" s="24">
        <f t="shared" si="41"/>
        <v>0</v>
      </c>
      <c r="AY78" s="26" t="s">
        <v>158</v>
      </c>
      <c r="AZ78" s="26" t="s">
        <v>68</v>
      </c>
      <c r="BA78" s="9" t="s">
        <v>60</v>
      </c>
      <c r="BC78" s="24">
        <f t="shared" si="42"/>
        <v>0</v>
      </c>
      <c r="BD78" s="24">
        <f t="shared" si="43"/>
        <v>0</v>
      </c>
      <c r="BE78" s="24">
        <v>0</v>
      </c>
      <c r="BF78" s="24">
        <f t="shared" si="44"/>
        <v>1.2000000000000001E-3</v>
      </c>
      <c r="BH78" s="24">
        <f t="shared" si="45"/>
        <v>0</v>
      </c>
      <c r="BI78" s="24">
        <f t="shared" si="46"/>
        <v>0</v>
      </c>
      <c r="BJ78" s="24">
        <f t="shared" si="47"/>
        <v>0</v>
      </c>
      <c r="BK78" s="24"/>
      <c r="BL78" s="24">
        <v>722</v>
      </c>
      <c r="BW78" s="24">
        <v>12</v>
      </c>
      <c r="BX78" s="4" t="s">
        <v>255</v>
      </c>
    </row>
    <row r="79" spans="1:76" ht="14.4" x14ac:dyDescent="0.3">
      <c r="A79" s="2" t="s">
        <v>256</v>
      </c>
      <c r="B79" s="3" t="s">
        <v>257</v>
      </c>
      <c r="C79" s="76" t="s">
        <v>258</v>
      </c>
      <c r="D79" s="71"/>
      <c r="E79" s="3" t="s">
        <v>57</v>
      </c>
      <c r="F79" s="24">
        <v>6</v>
      </c>
      <c r="G79" s="24">
        <v>0</v>
      </c>
      <c r="H79" s="24">
        <f t="shared" si="24"/>
        <v>0</v>
      </c>
      <c r="I79" s="24">
        <f t="shared" si="25"/>
        <v>0</v>
      </c>
      <c r="J79" s="24">
        <f t="shared" si="26"/>
        <v>0</v>
      </c>
      <c r="K79" s="24">
        <v>2.5000000000000001E-4</v>
      </c>
      <c r="L79" s="25">
        <f t="shared" si="27"/>
        <v>1.5E-3</v>
      </c>
      <c r="Z79" s="24">
        <f t="shared" si="28"/>
        <v>0</v>
      </c>
      <c r="AB79" s="24">
        <f t="shared" si="29"/>
        <v>0</v>
      </c>
      <c r="AC79" s="24">
        <f t="shared" si="30"/>
        <v>0</v>
      </c>
      <c r="AD79" s="24">
        <f t="shared" si="31"/>
        <v>0</v>
      </c>
      <c r="AE79" s="24">
        <f t="shared" si="32"/>
        <v>0</v>
      </c>
      <c r="AF79" s="24">
        <f t="shared" si="33"/>
        <v>0</v>
      </c>
      <c r="AG79" s="24">
        <f t="shared" si="34"/>
        <v>0</v>
      </c>
      <c r="AH79" s="24">
        <f t="shared" si="35"/>
        <v>0</v>
      </c>
      <c r="AI79" s="9" t="s">
        <v>51</v>
      </c>
      <c r="AJ79" s="24">
        <f t="shared" si="36"/>
        <v>0</v>
      </c>
      <c r="AK79" s="24">
        <f t="shared" si="37"/>
        <v>0</v>
      </c>
      <c r="AL79" s="24">
        <f t="shared" si="38"/>
        <v>0</v>
      </c>
      <c r="AN79" s="24">
        <v>12</v>
      </c>
      <c r="AO79" s="24">
        <f>G79*0.75346651</f>
        <v>0</v>
      </c>
      <c r="AP79" s="24">
        <f>G79*(1-0.75346651)</f>
        <v>0</v>
      </c>
      <c r="AQ79" s="26" t="s">
        <v>66</v>
      </c>
      <c r="AV79" s="24">
        <f t="shared" si="39"/>
        <v>0</v>
      </c>
      <c r="AW79" s="24">
        <f t="shared" si="40"/>
        <v>0</v>
      </c>
      <c r="AX79" s="24">
        <f t="shared" si="41"/>
        <v>0</v>
      </c>
      <c r="AY79" s="26" t="s">
        <v>158</v>
      </c>
      <c r="AZ79" s="26" t="s">
        <v>68</v>
      </c>
      <c r="BA79" s="9" t="s">
        <v>60</v>
      </c>
      <c r="BC79" s="24">
        <f t="shared" si="42"/>
        <v>0</v>
      </c>
      <c r="BD79" s="24">
        <f t="shared" si="43"/>
        <v>0</v>
      </c>
      <c r="BE79" s="24">
        <v>0</v>
      </c>
      <c r="BF79" s="24">
        <f t="shared" si="44"/>
        <v>1.5E-3</v>
      </c>
      <c r="BH79" s="24">
        <f t="shared" si="45"/>
        <v>0</v>
      </c>
      <c r="BI79" s="24">
        <f t="shared" si="46"/>
        <v>0</v>
      </c>
      <c r="BJ79" s="24">
        <f t="shared" si="47"/>
        <v>0</v>
      </c>
      <c r="BK79" s="24"/>
      <c r="BL79" s="24">
        <v>722</v>
      </c>
      <c r="BW79" s="24">
        <v>12</v>
      </c>
      <c r="BX79" s="4" t="s">
        <v>258</v>
      </c>
    </row>
    <row r="80" spans="1:76" ht="14.4" x14ac:dyDescent="0.3">
      <c r="A80" s="2" t="s">
        <v>259</v>
      </c>
      <c r="B80" s="3" t="s">
        <v>260</v>
      </c>
      <c r="C80" s="76" t="s">
        <v>261</v>
      </c>
      <c r="D80" s="71"/>
      <c r="E80" s="3" t="s">
        <v>57</v>
      </c>
      <c r="F80" s="24">
        <v>6</v>
      </c>
      <c r="G80" s="24">
        <v>0</v>
      </c>
      <c r="H80" s="24">
        <f t="shared" si="24"/>
        <v>0</v>
      </c>
      <c r="I80" s="24">
        <f t="shared" si="25"/>
        <v>0</v>
      </c>
      <c r="J80" s="24">
        <f t="shared" si="26"/>
        <v>0</v>
      </c>
      <c r="K80" s="24">
        <v>3.4000000000000002E-4</v>
      </c>
      <c r="L80" s="25">
        <f t="shared" si="27"/>
        <v>2.0400000000000001E-3</v>
      </c>
      <c r="Z80" s="24">
        <f t="shared" si="28"/>
        <v>0</v>
      </c>
      <c r="AB80" s="24">
        <f t="shared" si="29"/>
        <v>0</v>
      </c>
      <c r="AC80" s="24">
        <f t="shared" si="30"/>
        <v>0</v>
      </c>
      <c r="AD80" s="24">
        <f t="shared" si="31"/>
        <v>0</v>
      </c>
      <c r="AE80" s="24">
        <f t="shared" si="32"/>
        <v>0</v>
      </c>
      <c r="AF80" s="24">
        <f t="shared" si="33"/>
        <v>0</v>
      </c>
      <c r="AG80" s="24">
        <f t="shared" si="34"/>
        <v>0</v>
      </c>
      <c r="AH80" s="24">
        <f t="shared" si="35"/>
        <v>0</v>
      </c>
      <c r="AI80" s="9" t="s">
        <v>51</v>
      </c>
      <c r="AJ80" s="24">
        <f t="shared" si="36"/>
        <v>0</v>
      </c>
      <c r="AK80" s="24">
        <f t="shared" si="37"/>
        <v>0</v>
      </c>
      <c r="AL80" s="24">
        <f t="shared" si="38"/>
        <v>0</v>
      </c>
      <c r="AN80" s="24">
        <v>12</v>
      </c>
      <c r="AO80" s="24">
        <f>G80*0.757624309</f>
        <v>0</v>
      </c>
      <c r="AP80" s="24">
        <f>G80*(1-0.757624309)</f>
        <v>0</v>
      </c>
      <c r="AQ80" s="26" t="s">
        <v>66</v>
      </c>
      <c r="AV80" s="24">
        <f t="shared" si="39"/>
        <v>0</v>
      </c>
      <c r="AW80" s="24">
        <f t="shared" si="40"/>
        <v>0</v>
      </c>
      <c r="AX80" s="24">
        <f t="shared" si="41"/>
        <v>0</v>
      </c>
      <c r="AY80" s="26" t="s">
        <v>158</v>
      </c>
      <c r="AZ80" s="26" t="s">
        <v>68</v>
      </c>
      <c r="BA80" s="9" t="s">
        <v>60</v>
      </c>
      <c r="BC80" s="24">
        <f t="shared" si="42"/>
        <v>0</v>
      </c>
      <c r="BD80" s="24">
        <f t="shared" si="43"/>
        <v>0</v>
      </c>
      <c r="BE80" s="24">
        <v>0</v>
      </c>
      <c r="BF80" s="24">
        <f t="shared" si="44"/>
        <v>2.0400000000000001E-3</v>
      </c>
      <c r="BH80" s="24">
        <f t="shared" si="45"/>
        <v>0</v>
      </c>
      <c r="BI80" s="24">
        <f t="shared" si="46"/>
        <v>0</v>
      </c>
      <c r="BJ80" s="24">
        <f t="shared" si="47"/>
        <v>0</v>
      </c>
      <c r="BK80" s="24"/>
      <c r="BL80" s="24">
        <v>722</v>
      </c>
      <c r="BW80" s="24">
        <v>12</v>
      </c>
      <c r="BX80" s="4" t="s">
        <v>261</v>
      </c>
    </row>
    <row r="81" spans="1:76" ht="14.4" x14ac:dyDescent="0.3">
      <c r="A81" s="2" t="s">
        <v>262</v>
      </c>
      <c r="B81" s="3" t="s">
        <v>263</v>
      </c>
      <c r="C81" s="76" t="s">
        <v>264</v>
      </c>
      <c r="D81" s="71"/>
      <c r="E81" s="3" t="s">
        <v>57</v>
      </c>
      <c r="F81" s="24">
        <v>6</v>
      </c>
      <c r="G81" s="24">
        <v>0</v>
      </c>
      <c r="H81" s="24">
        <f t="shared" si="24"/>
        <v>0</v>
      </c>
      <c r="I81" s="24">
        <f t="shared" si="25"/>
        <v>0</v>
      </c>
      <c r="J81" s="24">
        <f t="shared" si="26"/>
        <v>0</v>
      </c>
      <c r="K81" s="24">
        <v>0</v>
      </c>
      <c r="L81" s="25">
        <f t="shared" si="27"/>
        <v>0</v>
      </c>
      <c r="Z81" s="24">
        <f t="shared" si="28"/>
        <v>0</v>
      </c>
      <c r="AB81" s="24">
        <f t="shared" si="29"/>
        <v>0</v>
      </c>
      <c r="AC81" s="24">
        <f t="shared" si="30"/>
        <v>0</v>
      </c>
      <c r="AD81" s="24">
        <f t="shared" si="31"/>
        <v>0</v>
      </c>
      <c r="AE81" s="24">
        <f t="shared" si="32"/>
        <v>0</v>
      </c>
      <c r="AF81" s="24">
        <f t="shared" si="33"/>
        <v>0</v>
      </c>
      <c r="AG81" s="24">
        <f t="shared" si="34"/>
        <v>0</v>
      </c>
      <c r="AH81" s="24">
        <f t="shared" si="35"/>
        <v>0</v>
      </c>
      <c r="AI81" s="9" t="s">
        <v>51</v>
      </c>
      <c r="AJ81" s="24">
        <f t="shared" si="36"/>
        <v>0</v>
      </c>
      <c r="AK81" s="24">
        <f t="shared" si="37"/>
        <v>0</v>
      </c>
      <c r="AL81" s="24">
        <f t="shared" si="38"/>
        <v>0</v>
      </c>
      <c r="AN81" s="24">
        <v>12</v>
      </c>
      <c r="AO81" s="24">
        <f>G81*0.728238342</f>
        <v>0</v>
      </c>
      <c r="AP81" s="24">
        <f>G81*(1-0.728238342)</f>
        <v>0</v>
      </c>
      <c r="AQ81" s="26" t="s">
        <v>66</v>
      </c>
      <c r="AV81" s="24">
        <f t="shared" si="39"/>
        <v>0</v>
      </c>
      <c r="AW81" s="24">
        <f t="shared" si="40"/>
        <v>0</v>
      </c>
      <c r="AX81" s="24">
        <f t="shared" si="41"/>
        <v>0</v>
      </c>
      <c r="AY81" s="26" t="s">
        <v>158</v>
      </c>
      <c r="AZ81" s="26" t="s">
        <v>68</v>
      </c>
      <c r="BA81" s="9" t="s">
        <v>60</v>
      </c>
      <c r="BC81" s="24">
        <f t="shared" si="42"/>
        <v>0</v>
      </c>
      <c r="BD81" s="24">
        <f t="shared" si="43"/>
        <v>0</v>
      </c>
      <c r="BE81" s="24">
        <v>0</v>
      </c>
      <c r="BF81" s="24">
        <f t="shared" si="44"/>
        <v>0</v>
      </c>
      <c r="BH81" s="24">
        <f t="shared" si="45"/>
        <v>0</v>
      </c>
      <c r="BI81" s="24">
        <f t="shared" si="46"/>
        <v>0</v>
      </c>
      <c r="BJ81" s="24">
        <f t="shared" si="47"/>
        <v>0</v>
      </c>
      <c r="BK81" s="24"/>
      <c r="BL81" s="24">
        <v>722</v>
      </c>
      <c r="BW81" s="24">
        <v>12</v>
      </c>
      <c r="BX81" s="4" t="s">
        <v>264</v>
      </c>
    </row>
    <row r="82" spans="1:76" ht="14.4" x14ac:dyDescent="0.3">
      <c r="A82" s="2" t="s">
        <v>265</v>
      </c>
      <c r="B82" s="3" t="s">
        <v>266</v>
      </c>
      <c r="C82" s="76" t="s">
        <v>267</v>
      </c>
      <c r="D82" s="71"/>
      <c r="E82" s="3" t="s">
        <v>57</v>
      </c>
      <c r="F82" s="24">
        <v>24</v>
      </c>
      <c r="G82" s="24">
        <v>0</v>
      </c>
      <c r="H82" s="24">
        <f t="shared" si="24"/>
        <v>0</v>
      </c>
      <c r="I82" s="24">
        <f t="shared" si="25"/>
        <v>0</v>
      </c>
      <c r="J82" s="24">
        <f t="shared" si="26"/>
        <v>0</v>
      </c>
      <c r="K82" s="24">
        <v>6.9999999999999999E-4</v>
      </c>
      <c r="L82" s="25">
        <f t="shared" si="27"/>
        <v>1.6799999999999999E-2</v>
      </c>
      <c r="Z82" s="24">
        <f t="shared" si="28"/>
        <v>0</v>
      </c>
      <c r="AB82" s="24">
        <f t="shared" si="29"/>
        <v>0</v>
      </c>
      <c r="AC82" s="24">
        <f t="shared" si="30"/>
        <v>0</v>
      </c>
      <c r="AD82" s="24">
        <f t="shared" si="31"/>
        <v>0</v>
      </c>
      <c r="AE82" s="24">
        <f t="shared" si="32"/>
        <v>0</v>
      </c>
      <c r="AF82" s="24">
        <f t="shared" si="33"/>
        <v>0</v>
      </c>
      <c r="AG82" s="24">
        <f t="shared" si="34"/>
        <v>0</v>
      </c>
      <c r="AH82" s="24">
        <f t="shared" si="35"/>
        <v>0</v>
      </c>
      <c r="AI82" s="9" t="s">
        <v>51</v>
      </c>
      <c r="AJ82" s="24">
        <f t="shared" si="36"/>
        <v>0</v>
      </c>
      <c r="AK82" s="24">
        <f t="shared" si="37"/>
        <v>0</v>
      </c>
      <c r="AL82" s="24">
        <f t="shared" si="38"/>
        <v>0</v>
      </c>
      <c r="AN82" s="24">
        <v>12</v>
      </c>
      <c r="AO82" s="24">
        <f>G82*0.499614815</f>
        <v>0</v>
      </c>
      <c r="AP82" s="24">
        <f>G82*(1-0.499614815)</f>
        <v>0</v>
      </c>
      <c r="AQ82" s="26" t="s">
        <v>66</v>
      </c>
      <c r="AV82" s="24">
        <f t="shared" si="39"/>
        <v>0</v>
      </c>
      <c r="AW82" s="24">
        <f t="shared" si="40"/>
        <v>0</v>
      </c>
      <c r="AX82" s="24">
        <f t="shared" si="41"/>
        <v>0</v>
      </c>
      <c r="AY82" s="26" t="s">
        <v>158</v>
      </c>
      <c r="AZ82" s="26" t="s">
        <v>68</v>
      </c>
      <c r="BA82" s="9" t="s">
        <v>60</v>
      </c>
      <c r="BC82" s="24">
        <f t="shared" si="42"/>
        <v>0</v>
      </c>
      <c r="BD82" s="24">
        <f t="shared" si="43"/>
        <v>0</v>
      </c>
      <c r="BE82" s="24">
        <v>0</v>
      </c>
      <c r="BF82" s="24">
        <f t="shared" si="44"/>
        <v>1.6799999999999999E-2</v>
      </c>
      <c r="BH82" s="24">
        <f t="shared" si="45"/>
        <v>0</v>
      </c>
      <c r="BI82" s="24">
        <f t="shared" si="46"/>
        <v>0</v>
      </c>
      <c r="BJ82" s="24">
        <f t="shared" si="47"/>
        <v>0</v>
      </c>
      <c r="BK82" s="24"/>
      <c r="BL82" s="24">
        <v>722</v>
      </c>
      <c r="BW82" s="24">
        <v>12</v>
      </c>
      <c r="BX82" s="4" t="s">
        <v>267</v>
      </c>
    </row>
    <row r="83" spans="1:76" ht="14.4" x14ac:dyDescent="0.3">
      <c r="A83" s="2" t="s">
        <v>268</v>
      </c>
      <c r="B83" s="3" t="s">
        <v>269</v>
      </c>
      <c r="C83" s="76" t="s">
        <v>270</v>
      </c>
      <c r="D83" s="71"/>
      <c r="E83" s="3" t="s">
        <v>57</v>
      </c>
      <c r="F83" s="24">
        <v>12</v>
      </c>
      <c r="G83" s="24">
        <v>0</v>
      </c>
      <c r="H83" s="24">
        <f t="shared" si="24"/>
        <v>0</v>
      </c>
      <c r="I83" s="24">
        <f t="shared" si="25"/>
        <v>0</v>
      </c>
      <c r="J83" s="24">
        <f t="shared" si="26"/>
        <v>0</v>
      </c>
      <c r="K83" s="24">
        <v>8.0000000000000007E-5</v>
      </c>
      <c r="L83" s="25">
        <f t="shared" si="27"/>
        <v>9.6000000000000013E-4</v>
      </c>
      <c r="Z83" s="24">
        <f t="shared" si="28"/>
        <v>0</v>
      </c>
      <c r="AB83" s="24">
        <f t="shared" si="29"/>
        <v>0</v>
      </c>
      <c r="AC83" s="24">
        <f t="shared" si="30"/>
        <v>0</v>
      </c>
      <c r="AD83" s="24">
        <f t="shared" si="31"/>
        <v>0</v>
      </c>
      <c r="AE83" s="24">
        <f t="shared" si="32"/>
        <v>0</v>
      </c>
      <c r="AF83" s="24">
        <f t="shared" si="33"/>
        <v>0</v>
      </c>
      <c r="AG83" s="24">
        <f t="shared" si="34"/>
        <v>0</v>
      </c>
      <c r="AH83" s="24">
        <f t="shared" si="35"/>
        <v>0</v>
      </c>
      <c r="AI83" s="9" t="s">
        <v>51</v>
      </c>
      <c r="AJ83" s="24">
        <f t="shared" si="36"/>
        <v>0</v>
      </c>
      <c r="AK83" s="24">
        <f t="shared" si="37"/>
        <v>0</v>
      </c>
      <c r="AL83" s="24">
        <f t="shared" si="38"/>
        <v>0</v>
      </c>
      <c r="AN83" s="24">
        <v>12</v>
      </c>
      <c r="AO83" s="24">
        <f>G83*0.462908012</f>
        <v>0</v>
      </c>
      <c r="AP83" s="24">
        <f>G83*(1-0.462908012)</f>
        <v>0</v>
      </c>
      <c r="AQ83" s="26" t="s">
        <v>66</v>
      </c>
      <c r="AV83" s="24">
        <f t="shared" si="39"/>
        <v>0</v>
      </c>
      <c r="AW83" s="24">
        <f t="shared" si="40"/>
        <v>0</v>
      </c>
      <c r="AX83" s="24">
        <f t="shared" si="41"/>
        <v>0</v>
      </c>
      <c r="AY83" s="26" t="s">
        <v>158</v>
      </c>
      <c r="AZ83" s="26" t="s">
        <v>68</v>
      </c>
      <c r="BA83" s="9" t="s">
        <v>60</v>
      </c>
      <c r="BC83" s="24">
        <f t="shared" si="42"/>
        <v>0</v>
      </c>
      <c r="BD83" s="24">
        <f t="shared" si="43"/>
        <v>0</v>
      </c>
      <c r="BE83" s="24">
        <v>0</v>
      </c>
      <c r="BF83" s="24">
        <f t="shared" si="44"/>
        <v>9.6000000000000013E-4</v>
      </c>
      <c r="BH83" s="24">
        <f t="shared" si="45"/>
        <v>0</v>
      </c>
      <c r="BI83" s="24">
        <f t="shared" si="46"/>
        <v>0</v>
      </c>
      <c r="BJ83" s="24">
        <f t="shared" si="47"/>
        <v>0</v>
      </c>
      <c r="BK83" s="24"/>
      <c r="BL83" s="24">
        <v>722</v>
      </c>
      <c r="BW83" s="24">
        <v>12</v>
      </c>
      <c r="BX83" s="4" t="s">
        <v>270</v>
      </c>
    </row>
    <row r="84" spans="1:76" ht="14.4" x14ac:dyDescent="0.3">
      <c r="A84" s="27" t="s">
        <v>51</v>
      </c>
      <c r="B84" s="28" t="s">
        <v>271</v>
      </c>
      <c r="C84" s="94" t="s">
        <v>272</v>
      </c>
      <c r="D84" s="95"/>
      <c r="E84" s="29" t="s">
        <v>18</v>
      </c>
      <c r="F84" s="29" t="s">
        <v>18</v>
      </c>
      <c r="G84" s="29" t="s">
        <v>18</v>
      </c>
      <c r="H84" s="1">
        <f>SUM(H85:H92)</f>
        <v>0</v>
      </c>
      <c r="I84" s="1">
        <f>SUM(I85:I92)</f>
        <v>0</v>
      </c>
      <c r="J84" s="1">
        <f>SUM(J85:J92)</f>
        <v>0</v>
      </c>
      <c r="K84" s="9" t="s">
        <v>51</v>
      </c>
      <c r="L84" s="30">
        <f>SUM(L85:L92)</f>
        <v>0.14860999999999999</v>
      </c>
      <c r="AI84" s="9" t="s">
        <v>51</v>
      </c>
      <c r="AS84" s="1">
        <f>SUM(AJ85:AJ92)</f>
        <v>0</v>
      </c>
      <c r="AT84" s="1">
        <f>SUM(AK85:AK92)</f>
        <v>0</v>
      </c>
      <c r="AU84" s="1">
        <f>SUM(AL85:AL92)</f>
        <v>0</v>
      </c>
    </row>
    <row r="85" spans="1:76" ht="14.4" x14ac:dyDescent="0.3">
      <c r="A85" s="2" t="s">
        <v>273</v>
      </c>
      <c r="B85" s="3" t="s">
        <v>274</v>
      </c>
      <c r="C85" s="76" t="s">
        <v>275</v>
      </c>
      <c r="D85" s="71"/>
      <c r="E85" s="3" t="s">
        <v>276</v>
      </c>
      <c r="F85" s="24">
        <v>2</v>
      </c>
      <c r="G85" s="24">
        <v>0</v>
      </c>
      <c r="H85" s="24">
        <f t="shared" ref="H85:H92" si="50">ROUND(F85*AO85,2)</f>
        <v>0</v>
      </c>
      <c r="I85" s="24">
        <f t="shared" ref="I85:I92" si="51">ROUND(F85*AP85,2)</f>
        <v>0</v>
      </c>
      <c r="J85" s="24">
        <f t="shared" ref="J85:J92" si="52">ROUND(F85*G85,2)</f>
        <v>0</v>
      </c>
      <c r="K85" s="24">
        <v>4.3499999999999997E-2</v>
      </c>
      <c r="L85" s="25">
        <f t="shared" ref="L85:L92" si="53">F85*K85</f>
        <v>8.6999999999999994E-2</v>
      </c>
      <c r="Z85" s="24">
        <f t="shared" ref="Z85:Z92" si="54">ROUND(IF(AQ85="5",BJ85,0),2)</f>
        <v>0</v>
      </c>
      <c r="AB85" s="24">
        <f t="shared" ref="AB85:AB92" si="55">ROUND(IF(AQ85="1",BH85,0),2)</f>
        <v>0</v>
      </c>
      <c r="AC85" s="24">
        <f t="shared" ref="AC85:AC92" si="56">ROUND(IF(AQ85="1",BI85,0),2)</f>
        <v>0</v>
      </c>
      <c r="AD85" s="24">
        <f t="shared" ref="AD85:AD92" si="57">ROUND(IF(AQ85="7",BH85,0),2)</f>
        <v>0</v>
      </c>
      <c r="AE85" s="24">
        <f t="shared" ref="AE85:AE92" si="58">ROUND(IF(AQ85="7",BI85,0),2)</f>
        <v>0</v>
      </c>
      <c r="AF85" s="24">
        <f t="shared" ref="AF85:AF92" si="59">ROUND(IF(AQ85="2",BH85,0),2)</f>
        <v>0</v>
      </c>
      <c r="AG85" s="24">
        <f t="shared" ref="AG85:AG92" si="60">ROUND(IF(AQ85="2",BI85,0),2)</f>
        <v>0</v>
      </c>
      <c r="AH85" s="24">
        <f t="shared" ref="AH85:AH92" si="61">ROUND(IF(AQ85="0",BJ85,0),2)</f>
        <v>0</v>
      </c>
      <c r="AI85" s="9" t="s">
        <v>51</v>
      </c>
      <c r="AJ85" s="24">
        <f t="shared" ref="AJ85:AJ92" si="62">IF(AN85=0,J85,0)</f>
        <v>0</v>
      </c>
      <c r="AK85" s="24">
        <f t="shared" ref="AK85:AK92" si="63">IF(AN85=12,J85,0)</f>
        <v>0</v>
      </c>
      <c r="AL85" s="24">
        <f t="shared" ref="AL85:AL92" si="64">IF(AN85=21,J85,0)</f>
        <v>0</v>
      </c>
      <c r="AN85" s="24">
        <v>12</v>
      </c>
      <c r="AO85" s="24">
        <f>G85*0</f>
        <v>0</v>
      </c>
      <c r="AP85" s="24">
        <f>G85*(1-0)</f>
        <v>0</v>
      </c>
      <c r="AQ85" s="26" t="s">
        <v>66</v>
      </c>
      <c r="AV85" s="24">
        <f t="shared" ref="AV85:AV92" si="65">ROUND(AW85+AX85,2)</f>
        <v>0</v>
      </c>
      <c r="AW85" s="24">
        <f t="shared" ref="AW85:AW92" si="66">ROUND(F85*AO85,2)</f>
        <v>0</v>
      </c>
      <c r="AX85" s="24">
        <f t="shared" ref="AX85:AX92" si="67">ROUND(F85*AP85,2)</f>
        <v>0</v>
      </c>
      <c r="AY85" s="26" t="s">
        <v>277</v>
      </c>
      <c r="AZ85" s="26" t="s">
        <v>68</v>
      </c>
      <c r="BA85" s="9" t="s">
        <v>60</v>
      </c>
      <c r="BC85" s="24">
        <f t="shared" ref="BC85:BC92" si="68">AW85+AX85</f>
        <v>0</v>
      </c>
      <c r="BD85" s="24">
        <f t="shared" ref="BD85:BD92" si="69">G85/(100-BE85)*100</f>
        <v>0</v>
      </c>
      <c r="BE85" s="24">
        <v>0</v>
      </c>
      <c r="BF85" s="24">
        <f t="shared" ref="BF85:BF92" si="70">L85</f>
        <v>8.6999999999999994E-2</v>
      </c>
      <c r="BH85" s="24">
        <f t="shared" ref="BH85:BH92" si="71">F85*AO85</f>
        <v>0</v>
      </c>
      <c r="BI85" s="24">
        <f t="shared" ref="BI85:BI92" si="72">F85*AP85</f>
        <v>0</v>
      </c>
      <c r="BJ85" s="24">
        <f t="shared" ref="BJ85:BJ92" si="73">F85*G85</f>
        <v>0</v>
      </c>
      <c r="BK85" s="24"/>
      <c r="BL85" s="24">
        <v>723</v>
      </c>
      <c r="BW85" s="24">
        <v>12</v>
      </c>
      <c r="BX85" s="4" t="s">
        <v>275</v>
      </c>
    </row>
    <row r="86" spans="1:76" ht="14.4" x14ac:dyDescent="0.3">
      <c r="A86" s="2" t="s">
        <v>278</v>
      </c>
      <c r="B86" s="3" t="s">
        <v>279</v>
      </c>
      <c r="C86" s="76" t="s">
        <v>280</v>
      </c>
      <c r="D86" s="71"/>
      <c r="E86" s="3" t="s">
        <v>75</v>
      </c>
      <c r="F86" s="24">
        <v>10</v>
      </c>
      <c r="G86" s="24">
        <v>0</v>
      </c>
      <c r="H86" s="24">
        <f t="shared" si="50"/>
        <v>0</v>
      </c>
      <c r="I86" s="24">
        <f t="shared" si="51"/>
        <v>0</v>
      </c>
      <c r="J86" s="24">
        <f t="shared" si="52"/>
        <v>0</v>
      </c>
      <c r="K86" s="24">
        <v>2.2599999999999999E-3</v>
      </c>
      <c r="L86" s="25">
        <f t="shared" si="53"/>
        <v>2.2599999999999999E-2</v>
      </c>
      <c r="Z86" s="24">
        <f t="shared" si="54"/>
        <v>0</v>
      </c>
      <c r="AB86" s="24">
        <f t="shared" si="55"/>
        <v>0</v>
      </c>
      <c r="AC86" s="24">
        <f t="shared" si="56"/>
        <v>0</v>
      </c>
      <c r="AD86" s="24">
        <f t="shared" si="57"/>
        <v>0</v>
      </c>
      <c r="AE86" s="24">
        <f t="shared" si="58"/>
        <v>0</v>
      </c>
      <c r="AF86" s="24">
        <f t="shared" si="59"/>
        <v>0</v>
      </c>
      <c r="AG86" s="24">
        <f t="shared" si="60"/>
        <v>0</v>
      </c>
      <c r="AH86" s="24">
        <f t="shared" si="61"/>
        <v>0</v>
      </c>
      <c r="AI86" s="9" t="s">
        <v>51</v>
      </c>
      <c r="AJ86" s="24">
        <f t="shared" si="62"/>
        <v>0</v>
      </c>
      <c r="AK86" s="24">
        <f t="shared" si="63"/>
        <v>0</v>
      </c>
      <c r="AL86" s="24">
        <f t="shared" si="64"/>
        <v>0</v>
      </c>
      <c r="AN86" s="24">
        <v>12</v>
      </c>
      <c r="AO86" s="24">
        <f>G86*0.767182663</f>
        <v>0</v>
      </c>
      <c r="AP86" s="24">
        <f>G86*(1-0.767182663)</f>
        <v>0</v>
      </c>
      <c r="AQ86" s="26" t="s">
        <v>66</v>
      </c>
      <c r="AV86" s="24">
        <f t="shared" si="65"/>
        <v>0</v>
      </c>
      <c r="AW86" s="24">
        <f t="shared" si="66"/>
        <v>0</v>
      </c>
      <c r="AX86" s="24">
        <f t="shared" si="67"/>
        <v>0</v>
      </c>
      <c r="AY86" s="26" t="s">
        <v>277</v>
      </c>
      <c r="AZ86" s="26" t="s">
        <v>68</v>
      </c>
      <c r="BA86" s="9" t="s">
        <v>60</v>
      </c>
      <c r="BC86" s="24">
        <f t="shared" si="68"/>
        <v>0</v>
      </c>
      <c r="BD86" s="24">
        <f t="shared" si="69"/>
        <v>0</v>
      </c>
      <c r="BE86" s="24">
        <v>0</v>
      </c>
      <c r="BF86" s="24">
        <f t="shared" si="70"/>
        <v>2.2599999999999999E-2</v>
      </c>
      <c r="BH86" s="24">
        <f t="shared" si="71"/>
        <v>0</v>
      </c>
      <c r="BI86" s="24">
        <f t="shared" si="72"/>
        <v>0</v>
      </c>
      <c r="BJ86" s="24">
        <f t="shared" si="73"/>
        <v>0</v>
      </c>
      <c r="BK86" s="24"/>
      <c r="BL86" s="24">
        <v>723</v>
      </c>
      <c r="BW86" s="24">
        <v>12</v>
      </c>
      <c r="BX86" s="4" t="s">
        <v>280</v>
      </c>
    </row>
    <row r="87" spans="1:76" ht="14.4" x14ac:dyDescent="0.3">
      <c r="A87" s="2" t="s">
        <v>281</v>
      </c>
      <c r="B87" s="3" t="s">
        <v>282</v>
      </c>
      <c r="C87" s="76" t="s">
        <v>283</v>
      </c>
      <c r="D87" s="71"/>
      <c r="E87" s="3" t="s">
        <v>189</v>
      </c>
      <c r="F87" s="24">
        <v>1</v>
      </c>
      <c r="G87" s="24">
        <v>0</v>
      </c>
      <c r="H87" s="24">
        <f t="shared" si="50"/>
        <v>0</v>
      </c>
      <c r="I87" s="24">
        <f t="shared" si="51"/>
        <v>0</v>
      </c>
      <c r="J87" s="24">
        <f t="shared" si="52"/>
        <v>0</v>
      </c>
      <c r="K87" s="24">
        <v>5.13E-3</v>
      </c>
      <c r="L87" s="25">
        <f t="shared" si="53"/>
        <v>5.13E-3</v>
      </c>
      <c r="Z87" s="24">
        <f t="shared" si="54"/>
        <v>0</v>
      </c>
      <c r="AB87" s="24">
        <f t="shared" si="55"/>
        <v>0</v>
      </c>
      <c r="AC87" s="24">
        <f t="shared" si="56"/>
        <v>0</v>
      </c>
      <c r="AD87" s="24">
        <f t="shared" si="57"/>
        <v>0</v>
      </c>
      <c r="AE87" s="24">
        <f t="shared" si="58"/>
        <v>0</v>
      </c>
      <c r="AF87" s="24">
        <f t="shared" si="59"/>
        <v>0</v>
      </c>
      <c r="AG87" s="24">
        <f t="shared" si="60"/>
        <v>0</v>
      </c>
      <c r="AH87" s="24">
        <f t="shared" si="61"/>
        <v>0</v>
      </c>
      <c r="AI87" s="9" t="s">
        <v>51</v>
      </c>
      <c r="AJ87" s="24">
        <f t="shared" si="62"/>
        <v>0</v>
      </c>
      <c r="AK87" s="24">
        <f t="shared" si="63"/>
        <v>0</v>
      </c>
      <c r="AL87" s="24">
        <f t="shared" si="64"/>
        <v>0</v>
      </c>
      <c r="AN87" s="24">
        <v>12</v>
      </c>
      <c r="AO87" s="24">
        <f>G87*0</f>
        <v>0</v>
      </c>
      <c r="AP87" s="24">
        <f>G87*(1-0)</f>
        <v>0</v>
      </c>
      <c r="AQ87" s="26" t="s">
        <v>66</v>
      </c>
      <c r="AV87" s="24">
        <f t="shared" si="65"/>
        <v>0</v>
      </c>
      <c r="AW87" s="24">
        <f t="shared" si="66"/>
        <v>0</v>
      </c>
      <c r="AX87" s="24">
        <f t="shared" si="67"/>
        <v>0</v>
      </c>
      <c r="AY87" s="26" t="s">
        <v>277</v>
      </c>
      <c r="AZ87" s="26" t="s">
        <v>68</v>
      </c>
      <c r="BA87" s="9" t="s">
        <v>60</v>
      </c>
      <c r="BC87" s="24">
        <f t="shared" si="68"/>
        <v>0</v>
      </c>
      <c r="BD87" s="24">
        <f t="shared" si="69"/>
        <v>0</v>
      </c>
      <c r="BE87" s="24">
        <v>0</v>
      </c>
      <c r="BF87" s="24">
        <f t="shared" si="70"/>
        <v>5.13E-3</v>
      </c>
      <c r="BH87" s="24">
        <f t="shared" si="71"/>
        <v>0</v>
      </c>
      <c r="BI87" s="24">
        <f t="shared" si="72"/>
        <v>0</v>
      </c>
      <c r="BJ87" s="24">
        <f t="shared" si="73"/>
        <v>0</v>
      </c>
      <c r="BK87" s="24"/>
      <c r="BL87" s="24">
        <v>723</v>
      </c>
      <c r="BW87" s="24">
        <v>12</v>
      </c>
      <c r="BX87" s="4" t="s">
        <v>283</v>
      </c>
    </row>
    <row r="88" spans="1:76" ht="14.4" x14ac:dyDescent="0.3">
      <c r="A88" s="2" t="s">
        <v>284</v>
      </c>
      <c r="B88" s="3" t="s">
        <v>285</v>
      </c>
      <c r="C88" s="76" t="s">
        <v>286</v>
      </c>
      <c r="D88" s="71"/>
      <c r="E88" s="3" t="s">
        <v>57</v>
      </c>
      <c r="F88" s="24">
        <v>1</v>
      </c>
      <c r="G88" s="24">
        <v>0</v>
      </c>
      <c r="H88" s="24">
        <f t="shared" si="50"/>
        <v>0</v>
      </c>
      <c r="I88" s="24">
        <f t="shared" si="51"/>
        <v>0</v>
      </c>
      <c r="J88" s="24">
        <f t="shared" si="52"/>
        <v>0</v>
      </c>
      <c r="K88" s="24">
        <v>8.8999999999999995E-4</v>
      </c>
      <c r="L88" s="25">
        <f t="shared" si="53"/>
        <v>8.8999999999999995E-4</v>
      </c>
      <c r="Z88" s="24">
        <f t="shared" si="54"/>
        <v>0</v>
      </c>
      <c r="AB88" s="24">
        <f t="shared" si="55"/>
        <v>0</v>
      </c>
      <c r="AC88" s="24">
        <f t="shared" si="56"/>
        <v>0</v>
      </c>
      <c r="AD88" s="24">
        <f t="shared" si="57"/>
        <v>0</v>
      </c>
      <c r="AE88" s="24">
        <f t="shared" si="58"/>
        <v>0</v>
      </c>
      <c r="AF88" s="24">
        <f t="shared" si="59"/>
        <v>0</v>
      </c>
      <c r="AG88" s="24">
        <f t="shared" si="60"/>
        <v>0</v>
      </c>
      <c r="AH88" s="24">
        <f t="shared" si="61"/>
        <v>0</v>
      </c>
      <c r="AI88" s="9" t="s">
        <v>51</v>
      </c>
      <c r="AJ88" s="24">
        <f t="shared" si="62"/>
        <v>0</v>
      </c>
      <c r="AK88" s="24">
        <f t="shared" si="63"/>
        <v>0</v>
      </c>
      <c r="AL88" s="24">
        <f t="shared" si="64"/>
        <v>0</v>
      </c>
      <c r="AN88" s="24">
        <v>12</v>
      </c>
      <c r="AO88" s="24">
        <f>G88*0</f>
        <v>0</v>
      </c>
      <c r="AP88" s="24">
        <f>G88*(1-0)</f>
        <v>0</v>
      </c>
      <c r="AQ88" s="26" t="s">
        <v>66</v>
      </c>
      <c r="AV88" s="24">
        <f t="shared" si="65"/>
        <v>0</v>
      </c>
      <c r="AW88" s="24">
        <f t="shared" si="66"/>
        <v>0</v>
      </c>
      <c r="AX88" s="24">
        <f t="shared" si="67"/>
        <v>0</v>
      </c>
      <c r="AY88" s="26" t="s">
        <v>277</v>
      </c>
      <c r="AZ88" s="26" t="s">
        <v>68</v>
      </c>
      <c r="BA88" s="9" t="s">
        <v>60</v>
      </c>
      <c r="BC88" s="24">
        <f t="shared" si="68"/>
        <v>0</v>
      </c>
      <c r="BD88" s="24">
        <f t="shared" si="69"/>
        <v>0</v>
      </c>
      <c r="BE88" s="24">
        <v>0</v>
      </c>
      <c r="BF88" s="24">
        <f t="shared" si="70"/>
        <v>8.8999999999999995E-4</v>
      </c>
      <c r="BH88" s="24">
        <f t="shared" si="71"/>
        <v>0</v>
      </c>
      <c r="BI88" s="24">
        <f t="shared" si="72"/>
        <v>0</v>
      </c>
      <c r="BJ88" s="24">
        <f t="shared" si="73"/>
        <v>0</v>
      </c>
      <c r="BK88" s="24"/>
      <c r="BL88" s="24">
        <v>723</v>
      </c>
      <c r="BW88" s="24">
        <v>12</v>
      </c>
      <c r="BX88" s="4" t="s">
        <v>286</v>
      </c>
    </row>
    <row r="89" spans="1:76" ht="14.4" x14ac:dyDescent="0.3">
      <c r="A89" s="2" t="s">
        <v>287</v>
      </c>
      <c r="B89" s="3" t="s">
        <v>288</v>
      </c>
      <c r="C89" s="76" t="s">
        <v>289</v>
      </c>
      <c r="D89" s="71"/>
      <c r="E89" s="3" t="s">
        <v>57</v>
      </c>
      <c r="F89" s="24">
        <v>1</v>
      </c>
      <c r="G89" s="24">
        <v>0</v>
      </c>
      <c r="H89" s="24">
        <f t="shared" si="50"/>
        <v>0</v>
      </c>
      <c r="I89" s="24">
        <f t="shared" si="51"/>
        <v>0</v>
      </c>
      <c r="J89" s="24">
        <f t="shared" si="52"/>
        <v>0</v>
      </c>
      <c r="K89" s="24">
        <v>0</v>
      </c>
      <c r="L89" s="25">
        <f t="shared" si="53"/>
        <v>0</v>
      </c>
      <c r="Z89" s="24">
        <f t="shared" si="54"/>
        <v>0</v>
      </c>
      <c r="AB89" s="24">
        <f t="shared" si="55"/>
        <v>0</v>
      </c>
      <c r="AC89" s="24">
        <f t="shared" si="56"/>
        <v>0</v>
      </c>
      <c r="AD89" s="24">
        <f t="shared" si="57"/>
        <v>0</v>
      </c>
      <c r="AE89" s="24">
        <f t="shared" si="58"/>
        <v>0</v>
      </c>
      <c r="AF89" s="24">
        <f t="shared" si="59"/>
        <v>0</v>
      </c>
      <c r="AG89" s="24">
        <f t="shared" si="60"/>
        <v>0</v>
      </c>
      <c r="AH89" s="24">
        <f t="shared" si="61"/>
        <v>0</v>
      </c>
      <c r="AI89" s="9" t="s">
        <v>51</v>
      </c>
      <c r="AJ89" s="24">
        <f t="shared" si="62"/>
        <v>0</v>
      </c>
      <c r="AK89" s="24">
        <f t="shared" si="63"/>
        <v>0</v>
      </c>
      <c r="AL89" s="24">
        <f t="shared" si="64"/>
        <v>0</v>
      </c>
      <c r="AN89" s="24">
        <v>12</v>
      </c>
      <c r="AO89" s="24">
        <f>G89*0</f>
        <v>0</v>
      </c>
      <c r="AP89" s="24">
        <f>G89*(1-0)</f>
        <v>0</v>
      </c>
      <c r="AQ89" s="26" t="s">
        <v>66</v>
      </c>
      <c r="AV89" s="24">
        <f t="shared" si="65"/>
        <v>0</v>
      </c>
      <c r="AW89" s="24">
        <f t="shared" si="66"/>
        <v>0</v>
      </c>
      <c r="AX89" s="24">
        <f t="shared" si="67"/>
        <v>0</v>
      </c>
      <c r="AY89" s="26" t="s">
        <v>277</v>
      </c>
      <c r="AZ89" s="26" t="s">
        <v>68</v>
      </c>
      <c r="BA89" s="9" t="s">
        <v>60</v>
      </c>
      <c r="BC89" s="24">
        <f t="shared" si="68"/>
        <v>0</v>
      </c>
      <c r="BD89" s="24">
        <f t="shared" si="69"/>
        <v>0</v>
      </c>
      <c r="BE89" s="24">
        <v>0</v>
      </c>
      <c r="BF89" s="24">
        <f t="shared" si="70"/>
        <v>0</v>
      </c>
      <c r="BH89" s="24">
        <f t="shared" si="71"/>
        <v>0</v>
      </c>
      <c r="BI89" s="24">
        <f t="shared" si="72"/>
        <v>0</v>
      </c>
      <c r="BJ89" s="24">
        <f t="shared" si="73"/>
        <v>0</v>
      </c>
      <c r="BK89" s="24"/>
      <c r="BL89" s="24">
        <v>723</v>
      </c>
      <c r="BW89" s="24">
        <v>12</v>
      </c>
      <c r="BX89" s="4" t="s">
        <v>289</v>
      </c>
    </row>
    <row r="90" spans="1:76" ht="14.4" x14ac:dyDescent="0.3">
      <c r="A90" s="2" t="s">
        <v>290</v>
      </c>
      <c r="B90" s="3" t="s">
        <v>291</v>
      </c>
      <c r="C90" s="76" t="s">
        <v>292</v>
      </c>
      <c r="D90" s="71"/>
      <c r="E90" s="3" t="s">
        <v>276</v>
      </c>
      <c r="F90" s="24">
        <v>1</v>
      </c>
      <c r="G90" s="24">
        <v>0</v>
      </c>
      <c r="H90" s="24">
        <f t="shared" si="50"/>
        <v>0</v>
      </c>
      <c r="I90" s="24">
        <f t="shared" si="51"/>
        <v>0</v>
      </c>
      <c r="J90" s="24">
        <f t="shared" si="52"/>
        <v>0</v>
      </c>
      <c r="K90" s="24">
        <v>3.1899999999999998E-2</v>
      </c>
      <c r="L90" s="25">
        <f t="shared" si="53"/>
        <v>3.1899999999999998E-2</v>
      </c>
      <c r="Z90" s="24">
        <f t="shared" si="54"/>
        <v>0</v>
      </c>
      <c r="AB90" s="24">
        <f t="shared" si="55"/>
        <v>0</v>
      </c>
      <c r="AC90" s="24">
        <f t="shared" si="56"/>
        <v>0</v>
      </c>
      <c r="AD90" s="24">
        <f t="shared" si="57"/>
        <v>0</v>
      </c>
      <c r="AE90" s="24">
        <f t="shared" si="58"/>
        <v>0</v>
      </c>
      <c r="AF90" s="24">
        <f t="shared" si="59"/>
        <v>0</v>
      </c>
      <c r="AG90" s="24">
        <f t="shared" si="60"/>
        <v>0</v>
      </c>
      <c r="AH90" s="24">
        <f t="shared" si="61"/>
        <v>0</v>
      </c>
      <c r="AI90" s="9" t="s">
        <v>51</v>
      </c>
      <c r="AJ90" s="24">
        <f t="shared" si="62"/>
        <v>0</v>
      </c>
      <c r="AK90" s="24">
        <f t="shared" si="63"/>
        <v>0</v>
      </c>
      <c r="AL90" s="24">
        <f t="shared" si="64"/>
        <v>0</v>
      </c>
      <c r="AN90" s="24">
        <v>12</v>
      </c>
      <c r="AO90" s="24">
        <f>G90*0</f>
        <v>0</v>
      </c>
      <c r="AP90" s="24">
        <f>G90*(1-0)</f>
        <v>0</v>
      </c>
      <c r="AQ90" s="26" t="s">
        <v>66</v>
      </c>
      <c r="AV90" s="24">
        <f t="shared" si="65"/>
        <v>0</v>
      </c>
      <c r="AW90" s="24">
        <f t="shared" si="66"/>
        <v>0</v>
      </c>
      <c r="AX90" s="24">
        <f t="shared" si="67"/>
        <v>0</v>
      </c>
      <c r="AY90" s="26" t="s">
        <v>277</v>
      </c>
      <c r="AZ90" s="26" t="s">
        <v>68</v>
      </c>
      <c r="BA90" s="9" t="s">
        <v>60</v>
      </c>
      <c r="BC90" s="24">
        <f t="shared" si="68"/>
        <v>0</v>
      </c>
      <c r="BD90" s="24">
        <f t="shared" si="69"/>
        <v>0</v>
      </c>
      <c r="BE90" s="24">
        <v>0</v>
      </c>
      <c r="BF90" s="24">
        <f t="shared" si="70"/>
        <v>3.1899999999999998E-2</v>
      </c>
      <c r="BH90" s="24">
        <f t="shared" si="71"/>
        <v>0</v>
      </c>
      <c r="BI90" s="24">
        <f t="shared" si="72"/>
        <v>0</v>
      </c>
      <c r="BJ90" s="24">
        <f t="shared" si="73"/>
        <v>0</v>
      </c>
      <c r="BK90" s="24"/>
      <c r="BL90" s="24">
        <v>723</v>
      </c>
      <c r="BW90" s="24">
        <v>12</v>
      </c>
      <c r="BX90" s="4" t="s">
        <v>292</v>
      </c>
    </row>
    <row r="91" spans="1:76" ht="14.4" x14ac:dyDescent="0.3">
      <c r="A91" s="2" t="s">
        <v>293</v>
      </c>
      <c r="B91" s="3" t="s">
        <v>294</v>
      </c>
      <c r="C91" s="76" t="s">
        <v>295</v>
      </c>
      <c r="D91" s="71"/>
      <c r="E91" s="3" t="s">
        <v>57</v>
      </c>
      <c r="F91" s="24">
        <v>1</v>
      </c>
      <c r="G91" s="24">
        <v>0</v>
      </c>
      <c r="H91" s="24">
        <f t="shared" si="50"/>
        <v>0</v>
      </c>
      <c r="I91" s="24">
        <f t="shared" si="51"/>
        <v>0</v>
      </c>
      <c r="J91" s="24">
        <f t="shared" si="52"/>
        <v>0</v>
      </c>
      <c r="K91" s="24">
        <v>9.0000000000000006E-5</v>
      </c>
      <c r="L91" s="25">
        <f t="shared" si="53"/>
        <v>9.0000000000000006E-5</v>
      </c>
      <c r="Z91" s="24">
        <f t="shared" si="54"/>
        <v>0</v>
      </c>
      <c r="AB91" s="24">
        <f t="shared" si="55"/>
        <v>0</v>
      </c>
      <c r="AC91" s="24">
        <f t="shared" si="56"/>
        <v>0</v>
      </c>
      <c r="AD91" s="24">
        <f t="shared" si="57"/>
        <v>0</v>
      </c>
      <c r="AE91" s="24">
        <f t="shared" si="58"/>
        <v>0</v>
      </c>
      <c r="AF91" s="24">
        <f t="shared" si="59"/>
        <v>0</v>
      </c>
      <c r="AG91" s="24">
        <f t="shared" si="60"/>
        <v>0</v>
      </c>
      <c r="AH91" s="24">
        <f t="shared" si="61"/>
        <v>0</v>
      </c>
      <c r="AI91" s="9" t="s">
        <v>51</v>
      </c>
      <c r="AJ91" s="24">
        <f t="shared" si="62"/>
        <v>0</v>
      </c>
      <c r="AK91" s="24">
        <f t="shared" si="63"/>
        <v>0</v>
      </c>
      <c r="AL91" s="24">
        <f t="shared" si="64"/>
        <v>0</v>
      </c>
      <c r="AN91" s="24">
        <v>12</v>
      </c>
      <c r="AO91" s="24">
        <f>G91*0.459045093</f>
        <v>0</v>
      </c>
      <c r="AP91" s="24">
        <f>G91*(1-0.459045093)</f>
        <v>0</v>
      </c>
      <c r="AQ91" s="26" t="s">
        <v>66</v>
      </c>
      <c r="AV91" s="24">
        <f t="shared" si="65"/>
        <v>0</v>
      </c>
      <c r="AW91" s="24">
        <f t="shared" si="66"/>
        <v>0</v>
      </c>
      <c r="AX91" s="24">
        <f t="shared" si="67"/>
        <v>0</v>
      </c>
      <c r="AY91" s="26" t="s">
        <v>277</v>
      </c>
      <c r="AZ91" s="26" t="s">
        <v>68</v>
      </c>
      <c r="BA91" s="9" t="s">
        <v>60</v>
      </c>
      <c r="BC91" s="24">
        <f t="shared" si="68"/>
        <v>0</v>
      </c>
      <c r="BD91" s="24">
        <f t="shared" si="69"/>
        <v>0</v>
      </c>
      <c r="BE91" s="24">
        <v>0</v>
      </c>
      <c r="BF91" s="24">
        <f t="shared" si="70"/>
        <v>9.0000000000000006E-5</v>
      </c>
      <c r="BH91" s="24">
        <f t="shared" si="71"/>
        <v>0</v>
      </c>
      <c r="BI91" s="24">
        <f t="shared" si="72"/>
        <v>0</v>
      </c>
      <c r="BJ91" s="24">
        <f t="shared" si="73"/>
        <v>0</v>
      </c>
      <c r="BK91" s="24"/>
      <c r="BL91" s="24">
        <v>723</v>
      </c>
      <c r="BW91" s="24">
        <v>12</v>
      </c>
      <c r="BX91" s="4" t="s">
        <v>295</v>
      </c>
    </row>
    <row r="92" spans="1:76" ht="14.4" x14ac:dyDescent="0.3">
      <c r="A92" s="2" t="s">
        <v>296</v>
      </c>
      <c r="B92" s="3" t="s">
        <v>297</v>
      </c>
      <c r="C92" s="76" t="s">
        <v>298</v>
      </c>
      <c r="D92" s="71"/>
      <c r="E92" s="3" t="s">
        <v>137</v>
      </c>
      <c r="F92" s="24">
        <v>1</v>
      </c>
      <c r="G92" s="24">
        <v>0</v>
      </c>
      <c r="H92" s="24">
        <f t="shared" si="50"/>
        <v>0</v>
      </c>
      <c r="I92" s="24">
        <f t="shared" si="51"/>
        <v>0</v>
      </c>
      <c r="J92" s="24">
        <f t="shared" si="52"/>
        <v>0</v>
      </c>
      <c r="K92" s="24">
        <v>1E-3</v>
      </c>
      <c r="L92" s="25">
        <f t="shared" si="53"/>
        <v>1E-3</v>
      </c>
      <c r="Z92" s="24">
        <f t="shared" si="54"/>
        <v>0</v>
      </c>
      <c r="AB92" s="24">
        <f t="shared" si="55"/>
        <v>0</v>
      </c>
      <c r="AC92" s="24">
        <f t="shared" si="56"/>
        <v>0</v>
      </c>
      <c r="AD92" s="24">
        <f t="shared" si="57"/>
        <v>0</v>
      </c>
      <c r="AE92" s="24">
        <f t="shared" si="58"/>
        <v>0</v>
      </c>
      <c r="AF92" s="24">
        <f t="shared" si="59"/>
        <v>0</v>
      </c>
      <c r="AG92" s="24">
        <f t="shared" si="60"/>
        <v>0</v>
      </c>
      <c r="AH92" s="24">
        <f t="shared" si="61"/>
        <v>0</v>
      </c>
      <c r="AI92" s="9" t="s">
        <v>51</v>
      </c>
      <c r="AJ92" s="24">
        <f t="shared" si="62"/>
        <v>0</v>
      </c>
      <c r="AK92" s="24">
        <f t="shared" si="63"/>
        <v>0</v>
      </c>
      <c r="AL92" s="24">
        <f t="shared" si="64"/>
        <v>0</v>
      </c>
      <c r="AN92" s="24">
        <v>12</v>
      </c>
      <c r="AO92" s="24">
        <f>G92*1</f>
        <v>0</v>
      </c>
      <c r="AP92" s="24">
        <f>G92*(1-1)</f>
        <v>0</v>
      </c>
      <c r="AQ92" s="26" t="s">
        <v>66</v>
      </c>
      <c r="AV92" s="24">
        <f t="shared" si="65"/>
        <v>0</v>
      </c>
      <c r="AW92" s="24">
        <f t="shared" si="66"/>
        <v>0</v>
      </c>
      <c r="AX92" s="24">
        <f t="shared" si="67"/>
        <v>0</v>
      </c>
      <c r="AY92" s="26" t="s">
        <v>277</v>
      </c>
      <c r="AZ92" s="26" t="s">
        <v>68</v>
      </c>
      <c r="BA92" s="9" t="s">
        <v>60</v>
      </c>
      <c r="BC92" s="24">
        <f t="shared" si="68"/>
        <v>0</v>
      </c>
      <c r="BD92" s="24">
        <f t="shared" si="69"/>
        <v>0</v>
      </c>
      <c r="BE92" s="24">
        <v>0</v>
      </c>
      <c r="BF92" s="24">
        <f t="shared" si="70"/>
        <v>1E-3</v>
      </c>
      <c r="BH92" s="24">
        <f t="shared" si="71"/>
        <v>0</v>
      </c>
      <c r="BI92" s="24">
        <f t="shared" si="72"/>
        <v>0</v>
      </c>
      <c r="BJ92" s="24">
        <f t="shared" si="73"/>
        <v>0</v>
      </c>
      <c r="BK92" s="24"/>
      <c r="BL92" s="24">
        <v>723</v>
      </c>
      <c r="BW92" s="24">
        <v>12</v>
      </c>
      <c r="BX92" s="4" t="s">
        <v>298</v>
      </c>
    </row>
    <row r="93" spans="1:76" ht="14.4" x14ac:dyDescent="0.3">
      <c r="A93" s="27" t="s">
        <v>51</v>
      </c>
      <c r="B93" s="28" t="s">
        <v>299</v>
      </c>
      <c r="C93" s="94" t="s">
        <v>300</v>
      </c>
      <c r="D93" s="95"/>
      <c r="E93" s="29" t="s">
        <v>18</v>
      </c>
      <c r="F93" s="29" t="s">
        <v>18</v>
      </c>
      <c r="G93" s="29" t="s">
        <v>18</v>
      </c>
      <c r="H93" s="1">
        <f>SUM(H94:H122)</f>
        <v>0</v>
      </c>
      <c r="I93" s="1">
        <f>SUM(I94:I122)</f>
        <v>0</v>
      </c>
      <c r="J93" s="1">
        <f>SUM(J94:J122)</f>
        <v>0</v>
      </c>
      <c r="K93" s="9" t="s">
        <v>51</v>
      </c>
      <c r="L93" s="30">
        <f>SUM(L94:L122)</f>
        <v>3.1818200000000014</v>
      </c>
      <c r="AI93" s="9" t="s">
        <v>51</v>
      </c>
      <c r="AS93" s="1">
        <f>SUM(AJ94:AJ122)</f>
        <v>0</v>
      </c>
      <c r="AT93" s="1">
        <f>SUM(AK94:AK122)</f>
        <v>0</v>
      </c>
      <c r="AU93" s="1">
        <f>SUM(AL94:AL122)</f>
        <v>0</v>
      </c>
    </row>
    <row r="94" spans="1:76" ht="14.4" x14ac:dyDescent="0.3">
      <c r="A94" s="2" t="s">
        <v>301</v>
      </c>
      <c r="B94" s="3" t="s">
        <v>302</v>
      </c>
      <c r="C94" s="76" t="s">
        <v>303</v>
      </c>
      <c r="D94" s="71"/>
      <c r="E94" s="3" t="s">
        <v>276</v>
      </c>
      <c r="F94" s="24">
        <v>8</v>
      </c>
      <c r="G94" s="24">
        <v>0</v>
      </c>
      <c r="H94" s="24">
        <f t="shared" ref="H94:H122" si="74">ROUND(F94*AO94,2)</f>
        <v>0</v>
      </c>
      <c r="I94" s="24">
        <f t="shared" ref="I94:I122" si="75">ROUND(F94*AP94,2)</f>
        <v>0</v>
      </c>
      <c r="J94" s="24">
        <f t="shared" ref="J94:J122" si="76">ROUND(F94*G94,2)</f>
        <v>0</v>
      </c>
      <c r="K94" s="24">
        <v>3.4200000000000001E-2</v>
      </c>
      <c r="L94" s="25">
        <f t="shared" ref="L94:L122" si="77">F94*K94</f>
        <v>0.27360000000000001</v>
      </c>
      <c r="Z94" s="24">
        <f t="shared" ref="Z94:Z122" si="78">ROUND(IF(AQ94="5",BJ94,0),2)</f>
        <v>0</v>
      </c>
      <c r="AB94" s="24">
        <f t="shared" ref="AB94:AB122" si="79">ROUND(IF(AQ94="1",BH94,0),2)</f>
        <v>0</v>
      </c>
      <c r="AC94" s="24">
        <f t="shared" ref="AC94:AC122" si="80">ROUND(IF(AQ94="1",BI94,0),2)</f>
        <v>0</v>
      </c>
      <c r="AD94" s="24">
        <f t="shared" ref="AD94:AD122" si="81">ROUND(IF(AQ94="7",BH94,0),2)</f>
        <v>0</v>
      </c>
      <c r="AE94" s="24">
        <f t="shared" ref="AE94:AE122" si="82">ROUND(IF(AQ94="7",BI94,0),2)</f>
        <v>0</v>
      </c>
      <c r="AF94" s="24">
        <f t="shared" ref="AF94:AF122" si="83">ROUND(IF(AQ94="2",BH94,0),2)</f>
        <v>0</v>
      </c>
      <c r="AG94" s="24">
        <f t="shared" ref="AG94:AG122" si="84">ROUND(IF(AQ94="2",BI94,0),2)</f>
        <v>0</v>
      </c>
      <c r="AH94" s="24">
        <f t="shared" ref="AH94:AH122" si="85">ROUND(IF(AQ94="0",BJ94,0),2)</f>
        <v>0</v>
      </c>
      <c r="AI94" s="9" t="s">
        <v>51</v>
      </c>
      <c r="AJ94" s="24">
        <f t="shared" ref="AJ94:AJ122" si="86">IF(AN94=0,J94,0)</f>
        <v>0</v>
      </c>
      <c r="AK94" s="24">
        <f t="shared" ref="AK94:AK122" si="87">IF(AN94=12,J94,0)</f>
        <v>0</v>
      </c>
      <c r="AL94" s="24">
        <f t="shared" ref="AL94:AL122" si="88">IF(AN94=21,J94,0)</f>
        <v>0</v>
      </c>
      <c r="AN94" s="24">
        <v>12</v>
      </c>
      <c r="AO94" s="24">
        <f t="shared" ref="AO94:AO99" si="89">G94*0</f>
        <v>0</v>
      </c>
      <c r="AP94" s="24">
        <f t="shared" ref="AP94:AP99" si="90">G94*(1-0)</f>
        <v>0</v>
      </c>
      <c r="AQ94" s="26" t="s">
        <v>66</v>
      </c>
      <c r="AV94" s="24">
        <f t="shared" ref="AV94:AV122" si="91">ROUND(AW94+AX94,2)</f>
        <v>0</v>
      </c>
      <c r="AW94" s="24">
        <f t="shared" ref="AW94:AW122" si="92">ROUND(F94*AO94,2)</f>
        <v>0</v>
      </c>
      <c r="AX94" s="24">
        <f t="shared" ref="AX94:AX122" si="93">ROUND(F94*AP94,2)</f>
        <v>0</v>
      </c>
      <c r="AY94" s="26" t="s">
        <v>304</v>
      </c>
      <c r="AZ94" s="26" t="s">
        <v>68</v>
      </c>
      <c r="BA94" s="9" t="s">
        <v>60</v>
      </c>
      <c r="BC94" s="24">
        <f t="shared" ref="BC94:BC122" si="94">AW94+AX94</f>
        <v>0</v>
      </c>
      <c r="BD94" s="24">
        <f t="shared" ref="BD94:BD122" si="95">G94/(100-BE94)*100</f>
        <v>0</v>
      </c>
      <c r="BE94" s="24">
        <v>0</v>
      </c>
      <c r="BF94" s="24">
        <f t="shared" ref="BF94:BF122" si="96">L94</f>
        <v>0.27360000000000001</v>
      </c>
      <c r="BH94" s="24">
        <f t="shared" ref="BH94:BH122" si="97">F94*AO94</f>
        <v>0</v>
      </c>
      <c r="BI94" s="24">
        <f t="shared" ref="BI94:BI122" si="98">F94*AP94</f>
        <v>0</v>
      </c>
      <c r="BJ94" s="24">
        <f t="shared" ref="BJ94:BJ122" si="99">F94*G94</f>
        <v>0</v>
      </c>
      <c r="BK94" s="24"/>
      <c r="BL94" s="24">
        <v>725</v>
      </c>
      <c r="BW94" s="24">
        <v>12</v>
      </c>
      <c r="BX94" s="4" t="s">
        <v>303</v>
      </c>
    </row>
    <row r="95" spans="1:76" ht="14.4" x14ac:dyDescent="0.3">
      <c r="A95" s="2" t="s">
        <v>305</v>
      </c>
      <c r="B95" s="3" t="s">
        <v>306</v>
      </c>
      <c r="C95" s="76" t="s">
        <v>307</v>
      </c>
      <c r="D95" s="71"/>
      <c r="E95" s="3" t="s">
        <v>276</v>
      </c>
      <c r="F95" s="24">
        <v>8</v>
      </c>
      <c r="G95" s="24">
        <v>0</v>
      </c>
      <c r="H95" s="24">
        <f t="shared" si="74"/>
        <v>0</v>
      </c>
      <c r="I95" s="24">
        <f t="shared" si="75"/>
        <v>0</v>
      </c>
      <c r="J95" s="24">
        <f t="shared" si="76"/>
        <v>0</v>
      </c>
      <c r="K95" s="24">
        <v>1.9460000000000002E-2</v>
      </c>
      <c r="L95" s="25">
        <f t="shared" si="77"/>
        <v>0.15568000000000001</v>
      </c>
      <c r="Z95" s="24">
        <f t="shared" si="78"/>
        <v>0</v>
      </c>
      <c r="AB95" s="24">
        <f t="shared" si="79"/>
        <v>0</v>
      </c>
      <c r="AC95" s="24">
        <f t="shared" si="80"/>
        <v>0</v>
      </c>
      <c r="AD95" s="24">
        <f t="shared" si="81"/>
        <v>0</v>
      </c>
      <c r="AE95" s="24">
        <f t="shared" si="82"/>
        <v>0</v>
      </c>
      <c r="AF95" s="24">
        <f t="shared" si="83"/>
        <v>0</v>
      </c>
      <c r="AG95" s="24">
        <f t="shared" si="84"/>
        <v>0</v>
      </c>
      <c r="AH95" s="24">
        <f t="shared" si="85"/>
        <v>0</v>
      </c>
      <c r="AI95" s="9" t="s">
        <v>51</v>
      </c>
      <c r="AJ95" s="24">
        <f t="shared" si="86"/>
        <v>0</v>
      </c>
      <c r="AK95" s="24">
        <f t="shared" si="87"/>
        <v>0</v>
      </c>
      <c r="AL95" s="24">
        <f t="shared" si="88"/>
        <v>0</v>
      </c>
      <c r="AN95" s="24">
        <v>12</v>
      </c>
      <c r="AO95" s="24">
        <f t="shared" si="89"/>
        <v>0</v>
      </c>
      <c r="AP95" s="24">
        <f t="shared" si="90"/>
        <v>0</v>
      </c>
      <c r="AQ95" s="26" t="s">
        <v>66</v>
      </c>
      <c r="AV95" s="24">
        <f t="shared" si="91"/>
        <v>0</v>
      </c>
      <c r="AW95" s="24">
        <f t="shared" si="92"/>
        <v>0</v>
      </c>
      <c r="AX95" s="24">
        <f t="shared" si="93"/>
        <v>0</v>
      </c>
      <c r="AY95" s="26" t="s">
        <v>304</v>
      </c>
      <c r="AZ95" s="26" t="s">
        <v>68</v>
      </c>
      <c r="BA95" s="9" t="s">
        <v>60</v>
      </c>
      <c r="BC95" s="24">
        <f t="shared" si="94"/>
        <v>0</v>
      </c>
      <c r="BD95" s="24">
        <f t="shared" si="95"/>
        <v>0</v>
      </c>
      <c r="BE95" s="24">
        <v>0</v>
      </c>
      <c r="BF95" s="24">
        <f t="shared" si="96"/>
        <v>0.15568000000000001</v>
      </c>
      <c r="BH95" s="24">
        <f t="shared" si="97"/>
        <v>0</v>
      </c>
      <c r="BI95" s="24">
        <f t="shared" si="98"/>
        <v>0</v>
      </c>
      <c r="BJ95" s="24">
        <f t="shared" si="99"/>
        <v>0</v>
      </c>
      <c r="BK95" s="24"/>
      <c r="BL95" s="24">
        <v>725</v>
      </c>
      <c r="BW95" s="24">
        <v>12</v>
      </c>
      <c r="BX95" s="4" t="s">
        <v>307</v>
      </c>
    </row>
    <row r="96" spans="1:76" ht="14.4" x14ac:dyDescent="0.3">
      <c r="A96" s="2" t="s">
        <v>308</v>
      </c>
      <c r="B96" s="3" t="s">
        <v>309</v>
      </c>
      <c r="C96" s="76" t="s">
        <v>310</v>
      </c>
      <c r="D96" s="71"/>
      <c r="E96" s="3" t="s">
        <v>276</v>
      </c>
      <c r="F96" s="24">
        <v>8</v>
      </c>
      <c r="G96" s="24">
        <v>0</v>
      </c>
      <c r="H96" s="24">
        <f t="shared" si="74"/>
        <v>0</v>
      </c>
      <c r="I96" s="24">
        <f t="shared" si="75"/>
        <v>0</v>
      </c>
      <c r="J96" s="24">
        <f t="shared" si="76"/>
        <v>0</v>
      </c>
      <c r="K96" s="24">
        <v>9.1999999999999998E-3</v>
      </c>
      <c r="L96" s="25">
        <f t="shared" si="77"/>
        <v>7.3599999999999999E-2</v>
      </c>
      <c r="Z96" s="24">
        <f t="shared" si="78"/>
        <v>0</v>
      </c>
      <c r="AB96" s="24">
        <f t="shared" si="79"/>
        <v>0</v>
      </c>
      <c r="AC96" s="24">
        <f t="shared" si="80"/>
        <v>0</v>
      </c>
      <c r="AD96" s="24">
        <f t="shared" si="81"/>
        <v>0</v>
      </c>
      <c r="AE96" s="24">
        <f t="shared" si="82"/>
        <v>0</v>
      </c>
      <c r="AF96" s="24">
        <f t="shared" si="83"/>
        <v>0</v>
      </c>
      <c r="AG96" s="24">
        <f t="shared" si="84"/>
        <v>0</v>
      </c>
      <c r="AH96" s="24">
        <f t="shared" si="85"/>
        <v>0</v>
      </c>
      <c r="AI96" s="9" t="s">
        <v>51</v>
      </c>
      <c r="AJ96" s="24">
        <f t="shared" si="86"/>
        <v>0</v>
      </c>
      <c r="AK96" s="24">
        <f t="shared" si="87"/>
        <v>0</v>
      </c>
      <c r="AL96" s="24">
        <f t="shared" si="88"/>
        <v>0</v>
      </c>
      <c r="AN96" s="24">
        <v>12</v>
      </c>
      <c r="AO96" s="24">
        <f t="shared" si="89"/>
        <v>0</v>
      </c>
      <c r="AP96" s="24">
        <f t="shared" si="90"/>
        <v>0</v>
      </c>
      <c r="AQ96" s="26" t="s">
        <v>66</v>
      </c>
      <c r="AV96" s="24">
        <f t="shared" si="91"/>
        <v>0</v>
      </c>
      <c r="AW96" s="24">
        <f t="shared" si="92"/>
        <v>0</v>
      </c>
      <c r="AX96" s="24">
        <f t="shared" si="93"/>
        <v>0</v>
      </c>
      <c r="AY96" s="26" t="s">
        <v>304</v>
      </c>
      <c r="AZ96" s="26" t="s">
        <v>68</v>
      </c>
      <c r="BA96" s="9" t="s">
        <v>60</v>
      </c>
      <c r="BC96" s="24">
        <f t="shared" si="94"/>
        <v>0</v>
      </c>
      <c r="BD96" s="24">
        <f t="shared" si="95"/>
        <v>0</v>
      </c>
      <c r="BE96" s="24">
        <v>0</v>
      </c>
      <c r="BF96" s="24">
        <f t="shared" si="96"/>
        <v>7.3599999999999999E-2</v>
      </c>
      <c r="BH96" s="24">
        <f t="shared" si="97"/>
        <v>0</v>
      </c>
      <c r="BI96" s="24">
        <f t="shared" si="98"/>
        <v>0</v>
      </c>
      <c r="BJ96" s="24">
        <f t="shared" si="99"/>
        <v>0</v>
      </c>
      <c r="BK96" s="24"/>
      <c r="BL96" s="24">
        <v>725</v>
      </c>
      <c r="BW96" s="24">
        <v>12</v>
      </c>
      <c r="BX96" s="4" t="s">
        <v>310</v>
      </c>
    </row>
    <row r="97" spans="1:76" ht="14.4" x14ac:dyDescent="0.3">
      <c r="A97" s="2" t="s">
        <v>311</v>
      </c>
      <c r="B97" s="3" t="s">
        <v>312</v>
      </c>
      <c r="C97" s="76" t="s">
        <v>313</v>
      </c>
      <c r="D97" s="71"/>
      <c r="E97" s="3" t="s">
        <v>276</v>
      </c>
      <c r="F97" s="24">
        <v>24</v>
      </c>
      <c r="G97" s="24">
        <v>0</v>
      </c>
      <c r="H97" s="24">
        <f t="shared" si="74"/>
        <v>0</v>
      </c>
      <c r="I97" s="24">
        <f t="shared" si="75"/>
        <v>0</v>
      </c>
      <c r="J97" s="24">
        <f t="shared" si="76"/>
        <v>0</v>
      </c>
      <c r="K97" s="24">
        <v>1.56E-3</v>
      </c>
      <c r="L97" s="25">
        <f t="shared" si="77"/>
        <v>3.7440000000000001E-2</v>
      </c>
      <c r="Z97" s="24">
        <f t="shared" si="78"/>
        <v>0</v>
      </c>
      <c r="AB97" s="24">
        <f t="shared" si="79"/>
        <v>0</v>
      </c>
      <c r="AC97" s="24">
        <f t="shared" si="80"/>
        <v>0</v>
      </c>
      <c r="AD97" s="24">
        <f t="shared" si="81"/>
        <v>0</v>
      </c>
      <c r="AE97" s="24">
        <f t="shared" si="82"/>
        <v>0</v>
      </c>
      <c r="AF97" s="24">
        <f t="shared" si="83"/>
        <v>0</v>
      </c>
      <c r="AG97" s="24">
        <f t="shared" si="84"/>
        <v>0</v>
      </c>
      <c r="AH97" s="24">
        <f t="shared" si="85"/>
        <v>0</v>
      </c>
      <c r="AI97" s="9" t="s">
        <v>51</v>
      </c>
      <c r="AJ97" s="24">
        <f t="shared" si="86"/>
        <v>0</v>
      </c>
      <c r="AK97" s="24">
        <f t="shared" si="87"/>
        <v>0</v>
      </c>
      <c r="AL97" s="24">
        <f t="shared" si="88"/>
        <v>0</v>
      </c>
      <c r="AN97" s="24">
        <v>12</v>
      </c>
      <c r="AO97" s="24">
        <f t="shared" si="89"/>
        <v>0</v>
      </c>
      <c r="AP97" s="24">
        <f t="shared" si="90"/>
        <v>0</v>
      </c>
      <c r="AQ97" s="26" t="s">
        <v>66</v>
      </c>
      <c r="AV97" s="24">
        <f t="shared" si="91"/>
        <v>0</v>
      </c>
      <c r="AW97" s="24">
        <f t="shared" si="92"/>
        <v>0</v>
      </c>
      <c r="AX97" s="24">
        <f t="shared" si="93"/>
        <v>0</v>
      </c>
      <c r="AY97" s="26" t="s">
        <v>304</v>
      </c>
      <c r="AZ97" s="26" t="s">
        <v>68</v>
      </c>
      <c r="BA97" s="9" t="s">
        <v>60</v>
      </c>
      <c r="BC97" s="24">
        <f t="shared" si="94"/>
        <v>0</v>
      </c>
      <c r="BD97" s="24">
        <f t="shared" si="95"/>
        <v>0</v>
      </c>
      <c r="BE97" s="24">
        <v>0</v>
      </c>
      <c r="BF97" s="24">
        <f t="shared" si="96"/>
        <v>3.7440000000000001E-2</v>
      </c>
      <c r="BH97" s="24">
        <f t="shared" si="97"/>
        <v>0</v>
      </c>
      <c r="BI97" s="24">
        <f t="shared" si="98"/>
        <v>0</v>
      </c>
      <c r="BJ97" s="24">
        <f t="shared" si="99"/>
        <v>0</v>
      </c>
      <c r="BK97" s="24"/>
      <c r="BL97" s="24">
        <v>725</v>
      </c>
      <c r="BW97" s="24">
        <v>12</v>
      </c>
      <c r="BX97" s="4" t="s">
        <v>313</v>
      </c>
    </row>
    <row r="98" spans="1:76" ht="14.4" x14ac:dyDescent="0.3">
      <c r="A98" s="2" t="s">
        <v>314</v>
      </c>
      <c r="B98" s="3" t="s">
        <v>315</v>
      </c>
      <c r="C98" s="76" t="s">
        <v>316</v>
      </c>
      <c r="D98" s="71"/>
      <c r="E98" s="3" t="s">
        <v>276</v>
      </c>
      <c r="F98" s="24">
        <v>8</v>
      </c>
      <c r="G98" s="24">
        <v>0</v>
      </c>
      <c r="H98" s="24">
        <f t="shared" si="74"/>
        <v>0</v>
      </c>
      <c r="I98" s="24">
        <f t="shared" si="75"/>
        <v>0</v>
      </c>
      <c r="J98" s="24">
        <f t="shared" si="76"/>
        <v>0</v>
      </c>
      <c r="K98" s="24">
        <v>2.4500000000000001E-2</v>
      </c>
      <c r="L98" s="25">
        <f t="shared" si="77"/>
        <v>0.19600000000000001</v>
      </c>
      <c r="Z98" s="24">
        <f t="shared" si="78"/>
        <v>0</v>
      </c>
      <c r="AB98" s="24">
        <f t="shared" si="79"/>
        <v>0</v>
      </c>
      <c r="AC98" s="24">
        <f t="shared" si="80"/>
        <v>0</v>
      </c>
      <c r="AD98" s="24">
        <f t="shared" si="81"/>
        <v>0</v>
      </c>
      <c r="AE98" s="24">
        <f t="shared" si="82"/>
        <v>0</v>
      </c>
      <c r="AF98" s="24">
        <f t="shared" si="83"/>
        <v>0</v>
      </c>
      <c r="AG98" s="24">
        <f t="shared" si="84"/>
        <v>0</v>
      </c>
      <c r="AH98" s="24">
        <f t="shared" si="85"/>
        <v>0</v>
      </c>
      <c r="AI98" s="9" t="s">
        <v>51</v>
      </c>
      <c r="AJ98" s="24">
        <f t="shared" si="86"/>
        <v>0</v>
      </c>
      <c r="AK98" s="24">
        <f t="shared" si="87"/>
        <v>0</v>
      </c>
      <c r="AL98" s="24">
        <f t="shared" si="88"/>
        <v>0</v>
      </c>
      <c r="AN98" s="24">
        <v>12</v>
      </c>
      <c r="AO98" s="24">
        <f t="shared" si="89"/>
        <v>0</v>
      </c>
      <c r="AP98" s="24">
        <f t="shared" si="90"/>
        <v>0</v>
      </c>
      <c r="AQ98" s="26" t="s">
        <v>66</v>
      </c>
      <c r="AV98" s="24">
        <f t="shared" si="91"/>
        <v>0</v>
      </c>
      <c r="AW98" s="24">
        <f t="shared" si="92"/>
        <v>0</v>
      </c>
      <c r="AX98" s="24">
        <f t="shared" si="93"/>
        <v>0</v>
      </c>
      <c r="AY98" s="26" t="s">
        <v>304</v>
      </c>
      <c r="AZ98" s="26" t="s">
        <v>68</v>
      </c>
      <c r="BA98" s="9" t="s">
        <v>60</v>
      </c>
      <c r="BC98" s="24">
        <f t="shared" si="94"/>
        <v>0</v>
      </c>
      <c r="BD98" s="24">
        <f t="shared" si="95"/>
        <v>0</v>
      </c>
      <c r="BE98" s="24">
        <v>0</v>
      </c>
      <c r="BF98" s="24">
        <f t="shared" si="96"/>
        <v>0.19600000000000001</v>
      </c>
      <c r="BH98" s="24">
        <f t="shared" si="97"/>
        <v>0</v>
      </c>
      <c r="BI98" s="24">
        <f t="shared" si="98"/>
        <v>0</v>
      </c>
      <c r="BJ98" s="24">
        <f t="shared" si="99"/>
        <v>0</v>
      </c>
      <c r="BK98" s="24"/>
      <c r="BL98" s="24">
        <v>725</v>
      </c>
      <c r="BW98" s="24">
        <v>12</v>
      </c>
      <c r="BX98" s="4" t="s">
        <v>316</v>
      </c>
    </row>
    <row r="99" spans="1:76" ht="14.4" x14ac:dyDescent="0.3">
      <c r="A99" s="2" t="s">
        <v>317</v>
      </c>
      <c r="B99" s="3" t="s">
        <v>318</v>
      </c>
      <c r="C99" s="76" t="s">
        <v>319</v>
      </c>
      <c r="D99" s="71"/>
      <c r="E99" s="3" t="s">
        <v>276</v>
      </c>
      <c r="F99" s="24">
        <v>8</v>
      </c>
      <c r="G99" s="24">
        <v>0</v>
      </c>
      <c r="H99" s="24">
        <f t="shared" si="74"/>
        <v>0</v>
      </c>
      <c r="I99" s="24">
        <f t="shared" si="75"/>
        <v>0</v>
      </c>
      <c r="J99" s="24">
        <f t="shared" si="76"/>
        <v>0</v>
      </c>
      <c r="K99" s="24">
        <v>0.155</v>
      </c>
      <c r="L99" s="25">
        <f t="shared" si="77"/>
        <v>1.24</v>
      </c>
      <c r="Z99" s="24">
        <f t="shared" si="78"/>
        <v>0</v>
      </c>
      <c r="AB99" s="24">
        <f t="shared" si="79"/>
        <v>0</v>
      </c>
      <c r="AC99" s="24">
        <f t="shared" si="80"/>
        <v>0</v>
      </c>
      <c r="AD99" s="24">
        <f t="shared" si="81"/>
        <v>0</v>
      </c>
      <c r="AE99" s="24">
        <f t="shared" si="82"/>
        <v>0</v>
      </c>
      <c r="AF99" s="24">
        <f t="shared" si="83"/>
        <v>0</v>
      </c>
      <c r="AG99" s="24">
        <f t="shared" si="84"/>
        <v>0</v>
      </c>
      <c r="AH99" s="24">
        <f t="shared" si="85"/>
        <v>0</v>
      </c>
      <c r="AI99" s="9" t="s">
        <v>51</v>
      </c>
      <c r="AJ99" s="24">
        <f t="shared" si="86"/>
        <v>0</v>
      </c>
      <c r="AK99" s="24">
        <f t="shared" si="87"/>
        <v>0</v>
      </c>
      <c r="AL99" s="24">
        <f t="shared" si="88"/>
        <v>0</v>
      </c>
      <c r="AN99" s="24">
        <v>12</v>
      </c>
      <c r="AO99" s="24">
        <f t="shared" si="89"/>
        <v>0</v>
      </c>
      <c r="AP99" s="24">
        <f t="shared" si="90"/>
        <v>0</v>
      </c>
      <c r="AQ99" s="26" t="s">
        <v>66</v>
      </c>
      <c r="AV99" s="24">
        <f t="shared" si="91"/>
        <v>0</v>
      </c>
      <c r="AW99" s="24">
        <f t="shared" si="92"/>
        <v>0</v>
      </c>
      <c r="AX99" s="24">
        <f t="shared" si="93"/>
        <v>0</v>
      </c>
      <c r="AY99" s="26" t="s">
        <v>304</v>
      </c>
      <c r="AZ99" s="26" t="s">
        <v>68</v>
      </c>
      <c r="BA99" s="9" t="s">
        <v>60</v>
      </c>
      <c r="BC99" s="24">
        <f t="shared" si="94"/>
        <v>0</v>
      </c>
      <c r="BD99" s="24">
        <f t="shared" si="95"/>
        <v>0</v>
      </c>
      <c r="BE99" s="24">
        <v>0</v>
      </c>
      <c r="BF99" s="24">
        <f t="shared" si="96"/>
        <v>1.24</v>
      </c>
      <c r="BH99" s="24">
        <f t="shared" si="97"/>
        <v>0</v>
      </c>
      <c r="BI99" s="24">
        <f t="shared" si="98"/>
        <v>0</v>
      </c>
      <c r="BJ99" s="24">
        <f t="shared" si="99"/>
        <v>0</v>
      </c>
      <c r="BK99" s="24"/>
      <c r="BL99" s="24">
        <v>725</v>
      </c>
      <c r="BW99" s="24">
        <v>12</v>
      </c>
      <c r="BX99" s="4" t="s">
        <v>319</v>
      </c>
    </row>
    <row r="100" spans="1:76" ht="14.4" x14ac:dyDescent="0.3">
      <c r="A100" s="2" t="s">
        <v>320</v>
      </c>
      <c r="B100" s="3" t="s">
        <v>321</v>
      </c>
      <c r="C100" s="76" t="s">
        <v>322</v>
      </c>
      <c r="D100" s="71"/>
      <c r="E100" s="3" t="s">
        <v>276</v>
      </c>
      <c r="F100" s="24">
        <v>6</v>
      </c>
      <c r="G100" s="24">
        <v>0</v>
      </c>
      <c r="H100" s="24">
        <f t="shared" si="74"/>
        <v>0</v>
      </c>
      <c r="I100" s="24">
        <f t="shared" si="75"/>
        <v>0</v>
      </c>
      <c r="J100" s="24">
        <f t="shared" si="76"/>
        <v>0</v>
      </c>
      <c r="K100" s="24">
        <v>8.6819999999999994E-2</v>
      </c>
      <c r="L100" s="25">
        <f t="shared" si="77"/>
        <v>0.52091999999999994</v>
      </c>
      <c r="Z100" s="24">
        <f t="shared" si="78"/>
        <v>0</v>
      </c>
      <c r="AB100" s="24">
        <f t="shared" si="79"/>
        <v>0</v>
      </c>
      <c r="AC100" s="24">
        <f t="shared" si="80"/>
        <v>0</v>
      </c>
      <c r="AD100" s="24">
        <f t="shared" si="81"/>
        <v>0</v>
      </c>
      <c r="AE100" s="24">
        <f t="shared" si="82"/>
        <v>0</v>
      </c>
      <c r="AF100" s="24">
        <f t="shared" si="83"/>
        <v>0</v>
      </c>
      <c r="AG100" s="24">
        <f t="shared" si="84"/>
        <v>0</v>
      </c>
      <c r="AH100" s="24">
        <f t="shared" si="85"/>
        <v>0</v>
      </c>
      <c r="AI100" s="9" t="s">
        <v>51</v>
      </c>
      <c r="AJ100" s="24">
        <f t="shared" si="86"/>
        <v>0</v>
      </c>
      <c r="AK100" s="24">
        <f t="shared" si="87"/>
        <v>0</v>
      </c>
      <c r="AL100" s="24">
        <f t="shared" si="88"/>
        <v>0</v>
      </c>
      <c r="AN100" s="24">
        <v>12</v>
      </c>
      <c r="AO100" s="24">
        <f>G100*0.87382812</f>
        <v>0</v>
      </c>
      <c r="AP100" s="24">
        <f>G100*(1-0.87382812)</f>
        <v>0</v>
      </c>
      <c r="AQ100" s="26" t="s">
        <v>66</v>
      </c>
      <c r="AV100" s="24">
        <f t="shared" si="91"/>
        <v>0</v>
      </c>
      <c r="AW100" s="24">
        <f t="shared" si="92"/>
        <v>0</v>
      </c>
      <c r="AX100" s="24">
        <f t="shared" si="93"/>
        <v>0</v>
      </c>
      <c r="AY100" s="26" t="s">
        <v>304</v>
      </c>
      <c r="AZ100" s="26" t="s">
        <v>68</v>
      </c>
      <c r="BA100" s="9" t="s">
        <v>60</v>
      </c>
      <c r="BC100" s="24">
        <f t="shared" si="94"/>
        <v>0</v>
      </c>
      <c r="BD100" s="24">
        <f t="shared" si="95"/>
        <v>0</v>
      </c>
      <c r="BE100" s="24">
        <v>0</v>
      </c>
      <c r="BF100" s="24">
        <f t="shared" si="96"/>
        <v>0.52091999999999994</v>
      </c>
      <c r="BH100" s="24">
        <f t="shared" si="97"/>
        <v>0</v>
      </c>
      <c r="BI100" s="24">
        <f t="shared" si="98"/>
        <v>0</v>
      </c>
      <c r="BJ100" s="24">
        <f t="shared" si="99"/>
        <v>0</v>
      </c>
      <c r="BK100" s="24"/>
      <c r="BL100" s="24">
        <v>725</v>
      </c>
      <c r="BW100" s="24">
        <v>12</v>
      </c>
      <c r="BX100" s="4" t="s">
        <v>322</v>
      </c>
    </row>
    <row r="101" spans="1:76" ht="14.4" x14ac:dyDescent="0.3">
      <c r="A101" s="2" t="s">
        <v>323</v>
      </c>
      <c r="B101" s="3" t="s">
        <v>324</v>
      </c>
      <c r="C101" s="76" t="s">
        <v>325</v>
      </c>
      <c r="D101" s="71"/>
      <c r="E101" s="3" t="s">
        <v>276</v>
      </c>
      <c r="F101" s="24">
        <v>6</v>
      </c>
      <c r="G101" s="24">
        <v>0</v>
      </c>
      <c r="H101" s="24">
        <f t="shared" si="74"/>
        <v>0</v>
      </c>
      <c r="I101" s="24">
        <f t="shared" si="75"/>
        <v>0</v>
      </c>
      <c r="J101" s="24">
        <f t="shared" si="76"/>
        <v>0</v>
      </c>
      <c r="K101" s="24">
        <v>1.8870000000000001E-2</v>
      </c>
      <c r="L101" s="25">
        <f t="shared" si="77"/>
        <v>0.11322000000000002</v>
      </c>
      <c r="Z101" s="24">
        <f t="shared" si="78"/>
        <v>0</v>
      </c>
      <c r="AB101" s="24">
        <f t="shared" si="79"/>
        <v>0</v>
      </c>
      <c r="AC101" s="24">
        <f t="shared" si="80"/>
        <v>0</v>
      </c>
      <c r="AD101" s="24">
        <f t="shared" si="81"/>
        <v>0</v>
      </c>
      <c r="AE101" s="24">
        <f t="shared" si="82"/>
        <v>0</v>
      </c>
      <c r="AF101" s="24">
        <f t="shared" si="83"/>
        <v>0</v>
      </c>
      <c r="AG101" s="24">
        <f t="shared" si="84"/>
        <v>0</v>
      </c>
      <c r="AH101" s="24">
        <f t="shared" si="85"/>
        <v>0</v>
      </c>
      <c r="AI101" s="9" t="s">
        <v>51</v>
      </c>
      <c r="AJ101" s="24">
        <f t="shared" si="86"/>
        <v>0</v>
      </c>
      <c r="AK101" s="24">
        <f t="shared" si="87"/>
        <v>0</v>
      </c>
      <c r="AL101" s="24">
        <f t="shared" si="88"/>
        <v>0</v>
      </c>
      <c r="AN101" s="24">
        <v>12</v>
      </c>
      <c r="AO101" s="24">
        <f>G101*0.832408521</f>
        <v>0</v>
      </c>
      <c r="AP101" s="24">
        <f>G101*(1-0.832408521)</f>
        <v>0</v>
      </c>
      <c r="AQ101" s="26" t="s">
        <v>66</v>
      </c>
      <c r="AV101" s="24">
        <f t="shared" si="91"/>
        <v>0</v>
      </c>
      <c r="AW101" s="24">
        <f t="shared" si="92"/>
        <v>0</v>
      </c>
      <c r="AX101" s="24">
        <f t="shared" si="93"/>
        <v>0</v>
      </c>
      <c r="AY101" s="26" t="s">
        <v>304</v>
      </c>
      <c r="AZ101" s="26" t="s">
        <v>68</v>
      </c>
      <c r="BA101" s="9" t="s">
        <v>60</v>
      </c>
      <c r="BC101" s="24">
        <f t="shared" si="94"/>
        <v>0</v>
      </c>
      <c r="BD101" s="24">
        <f t="shared" si="95"/>
        <v>0</v>
      </c>
      <c r="BE101" s="24">
        <v>0</v>
      </c>
      <c r="BF101" s="24">
        <f t="shared" si="96"/>
        <v>0.11322000000000002</v>
      </c>
      <c r="BH101" s="24">
        <f t="shared" si="97"/>
        <v>0</v>
      </c>
      <c r="BI101" s="24">
        <f t="shared" si="98"/>
        <v>0</v>
      </c>
      <c r="BJ101" s="24">
        <f t="shared" si="99"/>
        <v>0</v>
      </c>
      <c r="BK101" s="24"/>
      <c r="BL101" s="24">
        <v>725</v>
      </c>
      <c r="BW101" s="24">
        <v>12</v>
      </c>
      <c r="BX101" s="4" t="s">
        <v>325</v>
      </c>
    </row>
    <row r="102" spans="1:76" ht="14.4" x14ac:dyDescent="0.3">
      <c r="A102" s="2" t="s">
        <v>326</v>
      </c>
      <c r="B102" s="3" t="s">
        <v>327</v>
      </c>
      <c r="C102" s="76" t="s">
        <v>328</v>
      </c>
      <c r="D102" s="71"/>
      <c r="E102" s="3" t="s">
        <v>276</v>
      </c>
      <c r="F102" s="24">
        <v>6</v>
      </c>
      <c r="G102" s="24">
        <v>0</v>
      </c>
      <c r="H102" s="24">
        <f t="shared" si="74"/>
        <v>0</v>
      </c>
      <c r="I102" s="24">
        <f t="shared" si="75"/>
        <v>0</v>
      </c>
      <c r="J102" s="24">
        <f t="shared" si="76"/>
        <v>0</v>
      </c>
      <c r="K102" s="24">
        <v>1.7999999999999999E-2</v>
      </c>
      <c r="L102" s="25">
        <f t="shared" si="77"/>
        <v>0.10799999999999998</v>
      </c>
      <c r="Z102" s="24">
        <f t="shared" si="78"/>
        <v>0</v>
      </c>
      <c r="AB102" s="24">
        <f t="shared" si="79"/>
        <v>0</v>
      </c>
      <c r="AC102" s="24">
        <f t="shared" si="80"/>
        <v>0</v>
      </c>
      <c r="AD102" s="24">
        <f t="shared" si="81"/>
        <v>0</v>
      </c>
      <c r="AE102" s="24">
        <f t="shared" si="82"/>
        <v>0</v>
      </c>
      <c r="AF102" s="24">
        <f t="shared" si="83"/>
        <v>0</v>
      </c>
      <c r="AG102" s="24">
        <f t="shared" si="84"/>
        <v>0</v>
      </c>
      <c r="AH102" s="24">
        <f t="shared" si="85"/>
        <v>0</v>
      </c>
      <c r="AI102" s="9" t="s">
        <v>51</v>
      </c>
      <c r="AJ102" s="24">
        <f t="shared" si="86"/>
        <v>0</v>
      </c>
      <c r="AK102" s="24">
        <f t="shared" si="87"/>
        <v>0</v>
      </c>
      <c r="AL102" s="24">
        <f t="shared" si="88"/>
        <v>0</v>
      </c>
      <c r="AN102" s="24">
        <v>12</v>
      </c>
      <c r="AO102" s="24">
        <f>G102*0.924738905</f>
        <v>0</v>
      </c>
      <c r="AP102" s="24">
        <f>G102*(1-0.924738905)</f>
        <v>0</v>
      </c>
      <c r="AQ102" s="26" t="s">
        <v>66</v>
      </c>
      <c r="AV102" s="24">
        <f t="shared" si="91"/>
        <v>0</v>
      </c>
      <c r="AW102" s="24">
        <f t="shared" si="92"/>
        <v>0</v>
      </c>
      <c r="AX102" s="24">
        <f t="shared" si="93"/>
        <v>0</v>
      </c>
      <c r="AY102" s="26" t="s">
        <v>304</v>
      </c>
      <c r="AZ102" s="26" t="s">
        <v>68</v>
      </c>
      <c r="BA102" s="9" t="s">
        <v>60</v>
      </c>
      <c r="BC102" s="24">
        <f t="shared" si="94"/>
        <v>0</v>
      </c>
      <c r="BD102" s="24">
        <f t="shared" si="95"/>
        <v>0</v>
      </c>
      <c r="BE102" s="24">
        <v>0</v>
      </c>
      <c r="BF102" s="24">
        <f t="shared" si="96"/>
        <v>0.10799999999999998</v>
      </c>
      <c r="BH102" s="24">
        <f t="shared" si="97"/>
        <v>0</v>
      </c>
      <c r="BI102" s="24">
        <f t="shared" si="98"/>
        <v>0</v>
      </c>
      <c r="BJ102" s="24">
        <f t="shared" si="99"/>
        <v>0</v>
      </c>
      <c r="BK102" s="24"/>
      <c r="BL102" s="24">
        <v>725</v>
      </c>
      <c r="BW102" s="24">
        <v>12</v>
      </c>
      <c r="BX102" s="4" t="s">
        <v>328</v>
      </c>
    </row>
    <row r="103" spans="1:76" ht="14.4" x14ac:dyDescent="0.3">
      <c r="A103" s="2" t="s">
        <v>329</v>
      </c>
      <c r="B103" s="3" t="s">
        <v>330</v>
      </c>
      <c r="C103" s="76" t="s">
        <v>331</v>
      </c>
      <c r="D103" s="71"/>
      <c r="E103" s="3" t="s">
        <v>276</v>
      </c>
      <c r="F103" s="24">
        <v>6</v>
      </c>
      <c r="G103" s="24">
        <v>0</v>
      </c>
      <c r="H103" s="24">
        <f t="shared" si="74"/>
        <v>0</v>
      </c>
      <c r="I103" s="24">
        <f t="shared" si="75"/>
        <v>0</v>
      </c>
      <c r="J103" s="24">
        <f t="shared" si="76"/>
        <v>0</v>
      </c>
      <c r="K103" s="24">
        <v>1.651E-2</v>
      </c>
      <c r="L103" s="25">
        <f t="shared" si="77"/>
        <v>9.9060000000000009E-2</v>
      </c>
      <c r="Z103" s="24">
        <f t="shared" si="78"/>
        <v>0</v>
      </c>
      <c r="AB103" s="24">
        <f t="shared" si="79"/>
        <v>0</v>
      </c>
      <c r="AC103" s="24">
        <f t="shared" si="80"/>
        <v>0</v>
      </c>
      <c r="AD103" s="24">
        <f t="shared" si="81"/>
        <v>0</v>
      </c>
      <c r="AE103" s="24">
        <f t="shared" si="82"/>
        <v>0</v>
      </c>
      <c r="AF103" s="24">
        <f t="shared" si="83"/>
        <v>0</v>
      </c>
      <c r="AG103" s="24">
        <f t="shared" si="84"/>
        <v>0</v>
      </c>
      <c r="AH103" s="24">
        <f t="shared" si="85"/>
        <v>0</v>
      </c>
      <c r="AI103" s="9" t="s">
        <v>51</v>
      </c>
      <c r="AJ103" s="24">
        <f t="shared" si="86"/>
        <v>0</v>
      </c>
      <c r="AK103" s="24">
        <f t="shared" si="87"/>
        <v>0</v>
      </c>
      <c r="AL103" s="24">
        <f t="shared" si="88"/>
        <v>0</v>
      </c>
      <c r="AN103" s="24">
        <v>12</v>
      </c>
      <c r="AO103" s="24">
        <f>G103*0.678291339</f>
        <v>0</v>
      </c>
      <c r="AP103" s="24">
        <f>G103*(1-0.678291339)</f>
        <v>0</v>
      </c>
      <c r="AQ103" s="26" t="s">
        <v>66</v>
      </c>
      <c r="AV103" s="24">
        <f t="shared" si="91"/>
        <v>0</v>
      </c>
      <c r="AW103" s="24">
        <f t="shared" si="92"/>
        <v>0</v>
      </c>
      <c r="AX103" s="24">
        <f t="shared" si="93"/>
        <v>0</v>
      </c>
      <c r="AY103" s="26" t="s">
        <v>304</v>
      </c>
      <c r="AZ103" s="26" t="s">
        <v>68</v>
      </c>
      <c r="BA103" s="9" t="s">
        <v>60</v>
      </c>
      <c r="BC103" s="24">
        <f t="shared" si="94"/>
        <v>0</v>
      </c>
      <c r="BD103" s="24">
        <f t="shared" si="95"/>
        <v>0</v>
      </c>
      <c r="BE103" s="24">
        <v>0</v>
      </c>
      <c r="BF103" s="24">
        <f t="shared" si="96"/>
        <v>9.9060000000000009E-2</v>
      </c>
      <c r="BH103" s="24">
        <f t="shared" si="97"/>
        <v>0</v>
      </c>
      <c r="BI103" s="24">
        <f t="shared" si="98"/>
        <v>0</v>
      </c>
      <c r="BJ103" s="24">
        <f t="shared" si="99"/>
        <v>0</v>
      </c>
      <c r="BK103" s="24"/>
      <c r="BL103" s="24">
        <v>725</v>
      </c>
      <c r="BW103" s="24">
        <v>12</v>
      </c>
      <c r="BX103" s="4" t="s">
        <v>331</v>
      </c>
    </row>
    <row r="104" spans="1:76" ht="14.4" x14ac:dyDescent="0.3">
      <c r="A104" s="2" t="s">
        <v>332</v>
      </c>
      <c r="B104" s="3" t="s">
        <v>333</v>
      </c>
      <c r="C104" s="76" t="s">
        <v>334</v>
      </c>
      <c r="D104" s="71"/>
      <c r="E104" s="3" t="s">
        <v>276</v>
      </c>
      <c r="F104" s="24">
        <v>6</v>
      </c>
      <c r="G104" s="24">
        <v>0</v>
      </c>
      <c r="H104" s="24">
        <f t="shared" si="74"/>
        <v>0</v>
      </c>
      <c r="I104" s="24">
        <f t="shared" si="75"/>
        <v>0</v>
      </c>
      <c r="J104" s="24">
        <f t="shared" si="76"/>
        <v>0</v>
      </c>
      <c r="K104" s="24">
        <v>4.7699999999999999E-3</v>
      </c>
      <c r="L104" s="25">
        <f t="shared" si="77"/>
        <v>2.862E-2</v>
      </c>
      <c r="Z104" s="24">
        <f t="shared" si="78"/>
        <v>0</v>
      </c>
      <c r="AB104" s="24">
        <f t="shared" si="79"/>
        <v>0</v>
      </c>
      <c r="AC104" s="24">
        <f t="shared" si="80"/>
        <v>0</v>
      </c>
      <c r="AD104" s="24">
        <f t="shared" si="81"/>
        <v>0</v>
      </c>
      <c r="AE104" s="24">
        <f t="shared" si="82"/>
        <v>0</v>
      </c>
      <c r="AF104" s="24">
        <f t="shared" si="83"/>
        <v>0</v>
      </c>
      <c r="AG104" s="24">
        <f t="shared" si="84"/>
        <v>0</v>
      </c>
      <c r="AH104" s="24">
        <f t="shared" si="85"/>
        <v>0</v>
      </c>
      <c r="AI104" s="9" t="s">
        <v>51</v>
      </c>
      <c r="AJ104" s="24">
        <f t="shared" si="86"/>
        <v>0</v>
      </c>
      <c r="AK104" s="24">
        <f t="shared" si="87"/>
        <v>0</v>
      </c>
      <c r="AL104" s="24">
        <f t="shared" si="88"/>
        <v>0</v>
      </c>
      <c r="AN104" s="24">
        <v>12</v>
      </c>
      <c r="AO104" s="24">
        <f>G104*0.853512</f>
        <v>0</v>
      </c>
      <c r="AP104" s="24">
        <f>G104*(1-0.853512)</f>
        <v>0</v>
      </c>
      <c r="AQ104" s="26" t="s">
        <v>66</v>
      </c>
      <c r="AV104" s="24">
        <f t="shared" si="91"/>
        <v>0</v>
      </c>
      <c r="AW104" s="24">
        <f t="shared" si="92"/>
        <v>0</v>
      </c>
      <c r="AX104" s="24">
        <f t="shared" si="93"/>
        <v>0</v>
      </c>
      <c r="AY104" s="26" t="s">
        <v>304</v>
      </c>
      <c r="AZ104" s="26" t="s">
        <v>68</v>
      </c>
      <c r="BA104" s="9" t="s">
        <v>60</v>
      </c>
      <c r="BC104" s="24">
        <f t="shared" si="94"/>
        <v>0</v>
      </c>
      <c r="BD104" s="24">
        <f t="shared" si="95"/>
        <v>0</v>
      </c>
      <c r="BE104" s="24">
        <v>0</v>
      </c>
      <c r="BF104" s="24">
        <f t="shared" si="96"/>
        <v>2.862E-2</v>
      </c>
      <c r="BH104" s="24">
        <f t="shared" si="97"/>
        <v>0</v>
      </c>
      <c r="BI104" s="24">
        <f t="shared" si="98"/>
        <v>0</v>
      </c>
      <c r="BJ104" s="24">
        <f t="shared" si="99"/>
        <v>0</v>
      </c>
      <c r="BK104" s="24"/>
      <c r="BL104" s="24">
        <v>725</v>
      </c>
      <c r="BW104" s="24">
        <v>12</v>
      </c>
      <c r="BX104" s="4" t="s">
        <v>334</v>
      </c>
    </row>
    <row r="105" spans="1:76" ht="14.4" x14ac:dyDescent="0.3">
      <c r="A105" s="2" t="s">
        <v>335</v>
      </c>
      <c r="B105" s="3" t="s">
        <v>336</v>
      </c>
      <c r="C105" s="76" t="s">
        <v>337</v>
      </c>
      <c r="D105" s="71"/>
      <c r="E105" s="3" t="s">
        <v>276</v>
      </c>
      <c r="F105" s="24">
        <v>2</v>
      </c>
      <c r="G105" s="24">
        <v>0</v>
      </c>
      <c r="H105" s="24">
        <f t="shared" si="74"/>
        <v>0</v>
      </c>
      <c r="I105" s="24">
        <f t="shared" si="75"/>
        <v>0</v>
      </c>
      <c r="J105" s="24">
        <f t="shared" si="76"/>
        <v>0</v>
      </c>
      <c r="K105" s="24">
        <v>4.6780000000000002E-2</v>
      </c>
      <c r="L105" s="25">
        <f t="shared" si="77"/>
        <v>9.3560000000000004E-2</v>
      </c>
      <c r="Z105" s="24">
        <f t="shared" si="78"/>
        <v>0</v>
      </c>
      <c r="AB105" s="24">
        <f t="shared" si="79"/>
        <v>0</v>
      </c>
      <c r="AC105" s="24">
        <f t="shared" si="80"/>
        <v>0</v>
      </c>
      <c r="AD105" s="24">
        <f t="shared" si="81"/>
        <v>0</v>
      </c>
      <c r="AE105" s="24">
        <f t="shared" si="82"/>
        <v>0</v>
      </c>
      <c r="AF105" s="24">
        <f t="shared" si="83"/>
        <v>0</v>
      </c>
      <c r="AG105" s="24">
        <f t="shared" si="84"/>
        <v>0</v>
      </c>
      <c r="AH105" s="24">
        <f t="shared" si="85"/>
        <v>0</v>
      </c>
      <c r="AI105" s="9" t="s">
        <v>51</v>
      </c>
      <c r="AJ105" s="24">
        <f t="shared" si="86"/>
        <v>0</v>
      </c>
      <c r="AK105" s="24">
        <f t="shared" si="87"/>
        <v>0</v>
      </c>
      <c r="AL105" s="24">
        <f t="shared" si="88"/>
        <v>0</v>
      </c>
      <c r="AN105" s="24">
        <v>12</v>
      </c>
      <c r="AO105" s="24">
        <f>G105*0.748773571</f>
        <v>0</v>
      </c>
      <c r="AP105" s="24">
        <f>G105*(1-0.748773571)</f>
        <v>0</v>
      </c>
      <c r="AQ105" s="26" t="s">
        <v>66</v>
      </c>
      <c r="AV105" s="24">
        <f t="shared" si="91"/>
        <v>0</v>
      </c>
      <c r="AW105" s="24">
        <f t="shared" si="92"/>
        <v>0</v>
      </c>
      <c r="AX105" s="24">
        <f t="shared" si="93"/>
        <v>0</v>
      </c>
      <c r="AY105" s="26" t="s">
        <v>304</v>
      </c>
      <c r="AZ105" s="26" t="s">
        <v>68</v>
      </c>
      <c r="BA105" s="9" t="s">
        <v>60</v>
      </c>
      <c r="BC105" s="24">
        <f t="shared" si="94"/>
        <v>0</v>
      </c>
      <c r="BD105" s="24">
        <f t="shared" si="95"/>
        <v>0</v>
      </c>
      <c r="BE105" s="24">
        <v>0</v>
      </c>
      <c r="BF105" s="24">
        <f t="shared" si="96"/>
        <v>9.3560000000000004E-2</v>
      </c>
      <c r="BH105" s="24">
        <f t="shared" si="97"/>
        <v>0</v>
      </c>
      <c r="BI105" s="24">
        <f t="shared" si="98"/>
        <v>0</v>
      </c>
      <c r="BJ105" s="24">
        <f t="shared" si="99"/>
        <v>0</v>
      </c>
      <c r="BK105" s="24"/>
      <c r="BL105" s="24">
        <v>725</v>
      </c>
      <c r="BW105" s="24">
        <v>12</v>
      </c>
      <c r="BX105" s="4" t="s">
        <v>337</v>
      </c>
    </row>
    <row r="106" spans="1:76" ht="14.4" x14ac:dyDescent="0.3">
      <c r="A106" s="2" t="s">
        <v>338</v>
      </c>
      <c r="B106" s="3" t="s">
        <v>339</v>
      </c>
      <c r="C106" s="76" t="s">
        <v>340</v>
      </c>
      <c r="D106" s="71"/>
      <c r="E106" s="3" t="s">
        <v>276</v>
      </c>
      <c r="F106" s="24">
        <v>2</v>
      </c>
      <c r="G106" s="24">
        <v>0</v>
      </c>
      <c r="H106" s="24">
        <f t="shared" si="74"/>
        <v>0</v>
      </c>
      <c r="I106" s="24">
        <f t="shared" si="75"/>
        <v>0</v>
      </c>
      <c r="J106" s="24">
        <f t="shared" si="76"/>
        <v>0</v>
      </c>
      <c r="K106" s="24">
        <v>5.0779999999999999E-2</v>
      </c>
      <c r="L106" s="25">
        <f t="shared" si="77"/>
        <v>0.10156</v>
      </c>
      <c r="Z106" s="24">
        <f t="shared" si="78"/>
        <v>0</v>
      </c>
      <c r="AB106" s="24">
        <f t="shared" si="79"/>
        <v>0</v>
      </c>
      <c r="AC106" s="24">
        <f t="shared" si="80"/>
        <v>0</v>
      </c>
      <c r="AD106" s="24">
        <f t="shared" si="81"/>
        <v>0</v>
      </c>
      <c r="AE106" s="24">
        <f t="shared" si="82"/>
        <v>0</v>
      </c>
      <c r="AF106" s="24">
        <f t="shared" si="83"/>
        <v>0</v>
      </c>
      <c r="AG106" s="24">
        <f t="shared" si="84"/>
        <v>0</v>
      </c>
      <c r="AH106" s="24">
        <f t="shared" si="85"/>
        <v>0</v>
      </c>
      <c r="AI106" s="9" t="s">
        <v>51</v>
      </c>
      <c r="AJ106" s="24">
        <f t="shared" si="86"/>
        <v>0</v>
      </c>
      <c r="AK106" s="24">
        <f t="shared" si="87"/>
        <v>0</v>
      </c>
      <c r="AL106" s="24">
        <f t="shared" si="88"/>
        <v>0</v>
      </c>
      <c r="AN106" s="24">
        <v>12</v>
      </c>
      <c r="AO106" s="24">
        <f>G106*0.85665876</f>
        <v>0</v>
      </c>
      <c r="AP106" s="24">
        <f>G106*(1-0.85665876)</f>
        <v>0</v>
      </c>
      <c r="AQ106" s="26" t="s">
        <v>66</v>
      </c>
      <c r="AV106" s="24">
        <f t="shared" si="91"/>
        <v>0</v>
      </c>
      <c r="AW106" s="24">
        <f t="shared" si="92"/>
        <v>0</v>
      </c>
      <c r="AX106" s="24">
        <f t="shared" si="93"/>
        <v>0</v>
      </c>
      <c r="AY106" s="26" t="s">
        <v>304</v>
      </c>
      <c r="AZ106" s="26" t="s">
        <v>68</v>
      </c>
      <c r="BA106" s="9" t="s">
        <v>60</v>
      </c>
      <c r="BC106" s="24">
        <f t="shared" si="94"/>
        <v>0</v>
      </c>
      <c r="BD106" s="24">
        <f t="shared" si="95"/>
        <v>0</v>
      </c>
      <c r="BE106" s="24">
        <v>0</v>
      </c>
      <c r="BF106" s="24">
        <f t="shared" si="96"/>
        <v>0.10156</v>
      </c>
      <c r="BH106" s="24">
        <f t="shared" si="97"/>
        <v>0</v>
      </c>
      <c r="BI106" s="24">
        <f t="shared" si="98"/>
        <v>0</v>
      </c>
      <c r="BJ106" s="24">
        <f t="shared" si="99"/>
        <v>0</v>
      </c>
      <c r="BK106" s="24"/>
      <c r="BL106" s="24">
        <v>725</v>
      </c>
      <c r="BW106" s="24">
        <v>12</v>
      </c>
      <c r="BX106" s="4" t="s">
        <v>340</v>
      </c>
    </row>
    <row r="107" spans="1:76" ht="14.4" x14ac:dyDescent="0.3">
      <c r="A107" s="2" t="s">
        <v>341</v>
      </c>
      <c r="B107" s="3" t="s">
        <v>342</v>
      </c>
      <c r="C107" s="76" t="s">
        <v>343</v>
      </c>
      <c r="D107" s="71"/>
      <c r="E107" s="3" t="s">
        <v>276</v>
      </c>
      <c r="F107" s="24">
        <v>6</v>
      </c>
      <c r="G107" s="24">
        <v>0</v>
      </c>
      <c r="H107" s="24">
        <f t="shared" si="74"/>
        <v>0</v>
      </c>
      <c r="I107" s="24">
        <f t="shared" si="75"/>
        <v>0</v>
      </c>
      <c r="J107" s="24">
        <f t="shared" si="76"/>
        <v>0</v>
      </c>
      <c r="K107" s="24">
        <v>2.5000000000000001E-4</v>
      </c>
      <c r="L107" s="25">
        <f t="shared" si="77"/>
        <v>1.5E-3</v>
      </c>
      <c r="Z107" s="24">
        <f t="shared" si="78"/>
        <v>0</v>
      </c>
      <c r="AB107" s="24">
        <f t="shared" si="79"/>
        <v>0</v>
      </c>
      <c r="AC107" s="24">
        <f t="shared" si="80"/>
        <v>0</v>
      </c>
      <c r="AD107" s="24">
        <f t="shared" si="81"/>
        <v>0</v>
      </c>
      <c r="AE107" s="24">
        <f t="shared" si="82"/>
        <v>0</v>
      </c>
      <c r="AF107" s="24">
        <f t="shared" si="83"/>
        <v>0</v>
      </c>
      <c r="AG107" s="24">
        <f t="shared" si="84"/>
        <v>0</v>
      </c>
      <c r="AH107" s="24">
        <f t="shared" si="85"/>
        <v>0</v>
      </c>
      <c r="AI107" s="9" t="s">
        <v>51</v>
      </c>
      <c r="AJ107" s="24">
        <f t="shared" si="86"/>
        <v>0</v>
      </c>
      <c r="AK107" s="24">
        <f t="shared" si="87"/>
        <v>0</v>
      </c>
      <c r="AL107" s="24">
        <f t="shared" si="88"/>
        <v>0</v>
      </c>
      <c r="AN107" s="24">
        <v>12</v>
      </c>
      <c r="AO107" s="24">
        <f>G107*0.641877729</f>
        <v>0</v>
      </c>
      <c r="AP107" s="24">
        <f>G107*(1-0.641877729)</f>
        <v>0</v>
      </c>
      <c r="AQ107" s="26" t="s">
        <v>66</v>
      </c>
      <c r="AV107" s="24">
        <f t="shared" si="91"/>
        <v>0</v>
      </c>
      <c r="AW107" s="24">
        <f t="shared" si="92"/>
        <v>0</v>
      </c>
      <c r="AX107" s="24">
        <f t="shared" si="93"/>
        <v>0</v>
      </c>
      <c r="AY107" s="26" t="s">
        <v>304</v>
      </c>
      <c r="AZ107" s="26" t="s">
        <v>68</v>
      </c>
      <c r="BA107" s="9" t="s">
        <v>60</v>
      </c>
      <c r="BC107" s="24">
        <f t="shared" si="94"/>
        <v>0</v>
      </c>
      <c r="BD107" s="24">
        <f t="shared" si="95"/>
        <v>0</v>
      </c>
      <c r="BE107" s="24">
        <v>0</v>
      </c>
      <c r="BF107" s="24">
        <f t="shared" si="96"/>
        <v>1.5E-3</v>
      </c>
      <c r="BH107" s="24">
        <f t="shared" si="97"/>
        <v>0</v>
      </c>
      <c r="BI107" s="24">
        <f t="shared" si="98"/>
        <v>0</v>
      </c>
      <c r="BJ107" s="24">
        <f t="shared" si="99"/>
        <v>0</v>
      </c>
      <c r="BK107" s="24"/>
      <c r="BL107" s="24">
        <v>725</v>
      </c>
      <c r="BW107" s="24">
        <v>12</v>
      </c>
      <c r="BX107" s="4" t="s">
        <v>343</v>
      </c>
    </row>
    <row r="108" spans="1:76" ht="14.4" x14ac:dyDescent="0.3">
      <c r="A108" s="2" t="s">
        <v>344</v>
      </c>
      <c r="B108" s="3" t="s">
        <v>345</v>
      </c>
      <c r="C108" s="76" t="s">
        <v>346</v>
      </c>
      <c r="D108" s="71"/>
      <c r="E108" s="3" t="s">
        <v>276</v>
      </c>
      <c r="F108" s="24">
        <v>2</v>
      </c>
      <c r="G108" s="24">
        <v>0</v>
      </c>
      <c r="H108" s="24">
        <f t="shared" si="74"/>
        <v>0</v>
      </c>
      <c r="I108" s="24">
        <f t="shared" si="75"/>
        <v>0</v>
      </c>
      <c r="J108" s="24">
        <f t="shared" si="76"/>
        <v>0</v>
      </c>
      <c r="K108" s="24">
        <v>6.2E-4</v>
      </c>
      <c r="L108" s="25">
        <f t="shared" si="77"/>
        <v>1.24E-3</v>
      </c>
      <c r="Z108" s="24">
        <f t="shared" si="78"/>
        <v>0</v>
      </c>
      <c r="AB108" s="24">
        <f t="shared" si="79"/>
        <v>0</v>
      </c>
      <c r="AC108" s="24">
        <f t="shared" si="80"/>
        <v>0</v>
      </c>
      <c r="AD108" s="24">
        <f t="shared" si="81"/>
        <v>0</v>
      </c>
      <c r="AE108" s="24">
        <f t="shared" si="82"/>
        <v>0</v>
      </c>
      <c r="AF108" s="24">
        <f t="shared" si="83"/>
        <v>0</v>
      </c>
      <c r="AG108" s="24">
        <f t="shared" si="84"/>
        <v>0</v>
      </c>
      <c r="AH108" s="24">
        <f t="shared" si="85"/>
        <v>0</v>
      </c>
      <c r="AI108" s="9" t="s">
        <v>51</v>
      </c>
      <c r="AJ108" s="24">
        <f t="shared" si="86"/>
        <v>0</v>
      </c>
      <c r="AK108" s="24">
        <f t="shared" si="87"/>
        <v>0</v>
      </c>
      <c r="AL108" s="24">
        <f t="shared" si="88"/>
        <v>0</v>
      </c>
      <c r="AN108" s="24">
        <v>12</v>
      </c>
      <c r="AO108" s="24">
        <f>G108*0.300181818</f>
        <v>0</v>
      </c>
      <c r="AP108" s="24">
        <f>G108*(1-0.300181818)</f>
        <v>0</v>
      </c>
      <c r="AQ108" s="26" t="s">
        <v>66</v>
      </c>
      <c r="AV108" s="24">
        <f t="shared" si="91"/>
        <v>0</v>
      </c>
      <c r="AW108" s="24">
        <f t="shared" si="92"/>
        <v>0</v>
      </c>
      <c r="AX108" s="24">
        <f t="shared" si="93"/>
        <v>0</v>
      </c>
      <c r="AY108" s="26" t="s">
        <v>304</v>
      </c>
      <c r="AZ108" s="26" t="s">
        <v>68</v>
      </c>
      <c r="BA108" s="9" t="s">
        <v>60</v>
      </c>
      <c r="BC108" s="24">
        <f t="shared" si="94"/>
        <v>0</v>
      </c>
      <c r="BD108" s="24">
        <f t="shared" si="95"/>
        <v>0</v>
      </c>
      <c r="BE108" s="24">
        <v>0</v>
      </c>
      <c r="BF108" s="24">
        <f t="shared" si="96"/>
        <v>1.24E-3</v>
      </c>
      <c r="BH108" s="24">
        <f t="shared" si="97"/>
        <v>0</v>
      </c>
      <c r="BI108" s="24">
        <f t="shared" si="98"/>
        <v>0</v>
      </c>
      <c r="BJ108" s="24">
        <f t="shared" si="99"/>
        <v>0</v>
      </c>
      <c r="BK108" s="24"/>
      <c r="BL108" s="24">
        <v>725</v>
      </c>
      <c r="BW108" s="24">
        <v>12</v>
      </c>
      <c r="BX108" s="4" t="s">
        <v>346</v>
      </c>
    </row>
    <row r="109" spans="1:76" ht="14.4" x14ac:dyDescent="0.3">
      <c r="A109" s="2" t="s">
        <v>347</v>
      </c>
      <c r="B109" s="3" t="s">
        <v>348</v>
      </c>
      <c r="C109" s="76" t="s">
        <v>349</v>
      </c>
      <c r="D109" s="71"/>
      <c r="E109" s="3" t="s">
        <v>57</v>
      </c>
      <c r="F109" s="24">
        <v>2</v>
      </c>
      <c r="G109" s="24">
        <v>0</v>
      </c>
      <c r="H109" s="24">
        <f t="shared" si="74"/>
        <v>0</v>
      </c>
      <c r="I109" s="24">
        <f t="shared" si="75"/>
        <v>0</v>
      </c>
      <c r="J109" s="24">
        <f t="shared" si="76"/>
        <v>0</v>
      </c>
      <c r="K109" s="24">
        <v>2.4000000000000001E-4</v>
      </c>
      <c r="L109" s="25">
        <f t="shared" si="77"/>
        <v>4.8000000000000001E-4</v>
      </c>
      <c r="Z109" s="24">
        <f t="shared" si="78"/>
        <v>0</v>
      </c>
      <c r="AB109" s="24">
        <f t="shared" si="79"/>
        <v>0</v>
      </c>
      <c r="AC109" s="24">
        <f t="shared" si="80"/>
        <v>0</v>
      </c>
      <c r="AD109" s="24">
        <f t="shared" si="81"/>
        <v>0</v>
      </c>
      <c r="AE109" s="24">
        <f t="shared" si="82"/>
        <v>0</v>
      </c>
      <c r="AF109" s="24">
        <f t="shared" si="83"/>
        <v>0</v>
      </c>
      <c r="AG109" s="24">
        <f t="shared" si="84"/>
        <v>0</v>
      </c>
      <c r="AH109" s="24">
        <f t="shared" si="85"/>
        <v>0</v>
      </c>
      <c r="AI109" s="9" t="s">
        <v>51</v>
      </c>
      <c r="AJ109" s="24">
        <f t="shared" si="86"/>
        <v>0</v>
      </c>
      <c r="AK109" s="24">
        <f t="shared" si="87"/>
        <v>0</v>
      </c>
      <c r="AL109" s="24">
        <f t="shared" si="88"/>
        <v>0</v>
      </c>
      <c r="AN109" s="24">
        <v>12</v>
      </c>
      <c r="AO109" s="24">
        <f>G109*0.050059361</f>
        <v>0</v>
      </c>
      <c r="AP109" s="24">
        <f>G109*(1-0.050059361)</f>
        <v>0</v>
      </c>
      <c r="AQ109" s="26" t="s">
        <v>66</v>
      </c>
      <c r="AV109" s="24">
        <f t="shared" si="91"/>
        <v>0</v>
      </c>
      <c r="AW109" s="24">
        <f t="shared" si="92"/>
        <v>0</v>
      </c>
      <c r="AX109" s="24">
        <f t="shared" si="93"/>
        <v>0</v>
      </c>
      <c r="AY109" s="26" t="s">
        <v>304</v>
      </c>
      <c r="AZ109" s="26" t="s">
        <v>68</v>
      </c>
      <c r="BA109" s="9" t="s">
        <v>60</v>
      </c>
      <c r="BC109" s="24">
        <f t="shared" si="94"/>
        <v>0</v>
      </c>
      <c r="BD109" s="24">
        <f t="shared" si="95"/>
        <v>0</v>
      </c>
      <c r="BE109" s="24">
        <v>0</v>
      </c>
      <c r="BF109" s="24">
        <f t="shared" si="96"/>
        <v>4.8000000000000001E-4</v>
      </c>
      <c r="BH109" s="24">
        <f t="shared" si="97"/>
        <v>0</v>
      </c>
      <c r="BI109" s="24">
        <f t="shared" si="98"/>
        <v>0</v>
      </c>
      <c r="BJ109" s="24">
        <f t="shared" si="99"/>
        <v>0</v>
      </c>
      <c r="BK109" s="24"/>
      <c r="BL109" s="24">
        <v>725</v>
      </c>
      <c r="BW109" s="24">
        <v>12</v>
      </c>
      <c r="BX109" s="4" t="s">
        <v>349</v>
      </c>
    </row>
    <row r="110" spans="1:76" ht="14.4" x14ac:dyDescent="0.3">
      <c r="A110" s="2" t="s">
        <v>350</v>
      </c>
      <c r="B110" s="3" t="s">
        <v>351</v>
      </c>
      <c r="C110" s="76" t="s">
        <v>352</v>
      </c>
      <c r="D110" s="71"/>
      <c r="E110" s="3" t="s">
        <v>276</v>
      </c>
      <c r="F110" s="24">
        <v>24</v>
      </c>
      <c r="G110" s="24">
        <v>0</v>
      </c>
      <c r="H110" s="24">
        <f t="shared" si="74"/>
        <v>0</v>
      </c>
      <c r="I110" s="24">
        <f t="shared" si="75"/>
        <v>0</v>
      </c>
      <c r="J110" s="24">
        <f t="shared" si="76"/>
        <v>0</v>
      </c>
      <c r="K110" s="24">
        <v>2.4000000000000001E-4</v>
      </c>
      <c r="L110" s="25">
        <f t="shared" si="77"/>
        <v>5.7600000000000004E-3</v>
      </c>
      <c r="Z110" s="24">
        <f t="shared" si="78"/>
        <v>0</v>
      </c>
      <c r="AB110" s="24">
        <f t="shared" si="79"/>
        <v>0</v>
      </c>
      <c r="AC110" s="24">
        <f t="shared" si="80"/>
        <v>0</v>
      </c>
      <c r="AD110" s="24">
        <f t="shared" si="81"/>
        <v>0</v>
      </c>
      <c r="AE110" s="24">
        <f t="shared" si="82"/>
        <v>0</v>
      </c>
      <c r="AF110" s="24">
        <f t="shared" si="83"/>
        <v>0</v>
      </c>
      <c r="AG110" s="24">
        <f t="shared" si="84"/>
        <v>0</v>
      </c>
      <c r="AH110" s="24">
        <f t="shared" si="85"/>
        <v>0</v>
      </c>
      <c r="AI110" s="9" t="s">
        <v>51</v>
      </c>
      <c r="AJ110" s="24">
        <f t="shared" si="86"/>
        <v>0</v>
      </c>
      <c r="AK110" s="24">
        <f t="shared" si="87"/>
        <v>0</v>
      </c>
      <c r="AL110" s="24">
        <f t="shared" si="88"/>
        <v>0</v>
      </c>
      <c r="AN110" s="24">
        <v>12</v>
      </c>
      <c r="AO110" s="24">
        <f>G110*0.750506329</f>
        <v>0</v>
      </c>
      <c r="AP110" s="24">
        <f>G110*(1-0.750506329)</f>
        <v>0</v>
      </c>
      <c r="AQ110" s="26" t="s">
        <v>66</v>
      </c>
      <c r="AV110" s="24">
        <f t="shared" si="91"/>
        <v>0</v>
      </c>
      <c r="AW110" s="24">
        <f t="shared" si="92"/>
        <v>0</v>
      </c>
      <c r="AX110" s="24">
        <f t="shared" si="93"/>
        <v>0</v>
      </c>
      <c r="AY110" s="26" t="s">
        <v>304</v>
      </c>
      <c r="AZ110" s="26" t="s">
        <v>68</v>
      </c>
      <c r="BA110" s="9" t="s">
        <v>60</v>
      </c>
      <c r="BC110" s="24">
        <f t="shared" si="94"/>
        <v>0</v>
      </c>
      <c r="BD110" s="24">
        <f t="shared" si="95"/>
        <v>0</v>
      </c>
      <c r="BE110" s="24">
        <v>0</v>
      </c>
      <c r="BF110" s="24">
        <f t="shared" si="96"/>
        <v>5.7600000000000004E-3</v>
      </c>
      <c r="BH110" s="24">
        <f t="shared" si="97"/>
        <v>0</v>
      </c>
      <c r="BI110" s="24">
        <f t="shared" si="98"/>
        <v>0</v>
      </c>
      <c r="BJ110" s="24">
        <f t="shared" si="99"/>
        <v>0</v>
      </c>
      <c r="BK110" s="24"/>
      <c r="BL110" s="24">
        <v>725</v>
      </c>
      <c r="BW110" s="24">
        <v>12</v>
      </c>
      <c r="BX110" s="4" t="s">
        <v>352</v>
      </c>
    </row>
    <row r="111" spans="1:76" ht="14.4" x14ac:dyDescent="0.3">
      <c r="A111" s="2" t="s">
        <v>353</v>
      </c>
      <c r="B111" s="3" t="s">
        <v>354</v>
      </c>
      <c r="C111" s="76" t="s">
        <v>355</v>
      </c>
      <c r="D111" s="71"/>
      <c r="E111" s="3" t="s">
        <v>276</v>
      </c>
      <c r="F111" s="24">
        <v>12</v>
      </c>
      <c r="G111" s="24">
        <v>0</v>
      </c>
      <c r="H111" s="24">
        <f t="shared" si="74"/>
        <v>0</v>
      </c>
      <c r="I111" s="24">
        <f t="shared" si="75"/>
        <v>0</v>
      </c>
      <c r="J111" s="24">
        <f t="shared" si="76"/>
        <v>0</v>
      </c>
      <c r="K111" s="24">
        <v>2.4000000000000001E-4</v>
      </c>
      <c r="L111" s="25">
        <f t="shared" si="77"/>
        <v>2.8800000000000002E-3</v>
      </c>
      <c r="Z111" s="24">
        <f t="shared" si="78"/>
        <v>0</v>
      </c>
      <c r="AB111" s="24">
        <f t="shared" si="79"/>
        <v>0</v>
      </c>
      <c r="AC111" s="24">
        <f t="shared" si="80"/>
        <v>0</v>
      </c>
      <c r="AD111" s="24">
        <f t="shared" si="81"/>
        <v>0</v>
      </c>
      <c r="AE111" s="24">
        <f t="shared" si="82"/>
        <v>0</v>
      </c>
      <c r="AF111" s="24">
        <f t="shared" si="83"/>
        <v>0</v>
      </c>
      <c r="AG111" s="24">
        <f t="shared" si="84"/>
        <v>0</v>
      </c>
      <c r="AH111" s="24">
        <f t="shared" si="85"/>
        <v>0</v>
      </c>
      <c r="AI111" s="9" t="s">
        <v>51</v>
      </c>
      <c r="AJ111" s="24">
        <f t="shared" si="86"/>
        <v>0</v>
      </c>
      <c r="AK111" s="24">
        <f t="shared" si="87"/>
        <v>0</v>
      </c>
      <c r="AL111" s="24">
        <f t="shared" si="88"/>
        <v>0</v>
      </c>
      <c r="AN111" s="24">
        <v>12</v>
      </c>
      <c r="AO111" s="24">
        <f>G111*0.80811359</f>
        <v>0</v>
      </c>
      <c r="AP111" s="24">
        <f>G111*(1-0.80811359)</f>
        <v>0</v>
      </c>
      <c r="AQ111" s="26" t="s">
        <v>66</v>
      </c>
      <c r="AV111" s="24">
        <f t="shared" si="91"/>
        <v>0</v>
      </c>
      <c r="AW111" s="24">
        <f t="shared" si="92"/>
        <v>0</v>
      </c>
      <c r="AX111" s="24">
        <f t="shared" si="93"/>
        <v>0</v>
      </c>
      <c r="AY111" s="26" t="s">
        <v>304</v>
      </c>
      <c r="AZ111" s="26" t="s">
        <v>68</v>
      </c>
      <c r="BA111" s="9" t="s">
        <v>60</v>
      </c>
      <c r="BC111" s="24">
        <f t="shared" si="94"/>
        <v>0</v>
      </c>
      <c r="BD111" s="24">
        <f t="shared" si="95"/>
        <v>0</v>
      </c>
      <c r="BE111" s="24">
        <v>0</v>
      </c>
      <c r="BF111" s="24">
        <f t="shared" si="96"/>
        <v>2.8800000000000002E-3</v>
      </c>
      <c r="BH111" s="24">
        <f t="shared" si="97"/>
        <v>0</v>
      </c>
      <c r="BI111" s="24">
        <f t="shared" si="98"/>
        <v>0</v>
      </c>
      <c r="BJ111" s="24">
        <f t="shared" si="99"/>
        <v>0</v>
      </c>
      <c r="BK111" s="24"/>
      <c r="BL111" s="24">
        <v>725</v>
      </c>
      <c r="BW111" s="24">
        <v>12</v>
      </c>
      <c r="BX111" s="4" t="s">
        <v>355</v>
      </c>
    </row>
    <row r="112" spans="1:76" ht="14.4" x14ac:dyDescent="0.3">
      <c r="A112" s="2" t="s">
        <v>356</v>
      </c>
      <c r="B112" s="3" t="s">
        <v>357</v>
      </c>
      <c r="C112" s="76" t="s">
        <v>358</v>
      </c>
      <c r="D112" s="71"/>
      <c r="E112" s="3" t="s">
        <v>57</v>
      </c>
      <c r="F112" s="24">
        <v>6</v>
      </c>
      <c r="G112" s="24">
        <v>0</v>
      </c>
      <c r="H112" s="24">
        <f t="shared" si="74"/>
        <v>0</v>
      </c>
      <c r="I112" s="24">
        <f t="shared" si="75"/>
        <v>0</v>
      </c>
      <c r="J112" s="24">
        <f t="shared" si="76"/>
        <v>0</v>
      </c>
      <c r="K112" s="24">
        <v>8.4999999999999995E-4</v>
      </c>
      <c r="L112" s="25">
        <f t="shared" si="77"/>
        <v>5.0999999999999995E-3</v>
      </c>
      <c r="Z112" s="24">
        <f t="shared" si="78"/>
        <v>0</v>
      </c>
      <c r="AB112" s="24">
        <f t="shared" si="79"/>
        <v>0</v>
      </c>
      <c r="AC112" s="24">
        <f t="shared" si="80"/>
        <v>0</v>
      </c>
      <c r="AD112" s="24">
        <f t="shared" si="81"/>
        <v>0</v>
      </c>
      <c r="AE112" s="24">
        <f t="shared" si="82"/>
        <v>0</v>
      </c>
      <c r="AF112" s="24">
        <f t="shared" si="83"/>
        <v>0</v>
      </c>
      <c r="AG112" s="24">
        <f t="shared" si="84"/>
        <v>0</v>
      </c>
      <c r="AH112" s="24">
        <f t="shared" si="85"/>
        <v>0</v>
      </c>
      <c r="AI112" s="9" t="s">
        <v>51</v>
      </c>
      <c r="AJ112" s="24">
        <f t="shared" si="86"/>
        <v>0</v>
      </c>
      <c r="AK112" s="24">
        <f t="shared" si="87"/>
        <v>0</v>
      </c>
      <c r="AL112" s="24">
        <f t="shared" si="88"/>
        <v>0</v>
      </c>
      <c r="AN112" s="24">
        <v>12</v>
      </c>
      <c r="AO112" s="24">
        <f>G112*0.884522449</f>
        <v>0</v>
      </c>
      <c r="AP112" s="24">
        <f>G112*(1-0.884522449)</f>
        <v>0</v>
      </c>
      <c r="AQ112" s="26" t="s">
        <v>66</v>
      </c>
      <c r="AV112" s="24">
        <f t="shared" si="91"/>
        <v>0</v>
      </c>
      <c r="AW112" s="24">
        <f t="shared" si="92"/>
        <v>0</v>
      </c>
      <c r="AX112" s="24">
        <f t="shared" si="93"/>
        <v>0</v>
      </c>
      <c r="AY112" s="26" t="s">
        <v>304</v>
      </c>
      <c r="AZ112" s="26" t="s">
        <v>68</v>
      </c>
      <c r="BA112" s="9" t="s">
        <v>60</v>
      </c>
      <c r="BC112" s="24">
        <f t="shared" si="94"/>
        <v>0</v>
      </c>
      <c r="BD112" s="24">
        <f t="shared" si="95"/>
        <v>0</v>
      </c>
      <c r="BE112" s="24">
        <v>0</v>
      </c>
      <c r="BF112" s="24">
        <f t="shared" si="96"/>
        <v>5.0999999999999995E-3</v>
      </c>
      <c r="BH112" s="24">
        <f t="shared" si="97"/>
        <v>0</v>
      </c>
      <c r="BI112" s="24">
        <f t="shared" si="98"/>
        <v>0</v>
      </c>
      <c r="BJ112" s="24">
        <f t="shared" si="99"/>
        <v>0</v>
      </c>
      <c r="BK112" s="24"/>
      <c r="BL112" s="24">
        <v>725</v>
      </c>
      <c r="BW112" s="24">
        <v>12</v>
      </c>
      <c r="BX112" s="4" t="s">
        <v>358</v>
      </c>
    </row>
    <row r="113" spans="1:76" ht="14.4" x14ac:dyDescent="0.3">
      <c r="A113" s="2" t="s">
        <v>359</v>
      </c>
      <c r="B113" s="3" t="s">
        <v>360</v>
      </c>
      <c r="C113" s="76" t="s">
        <v>361</v>
      </c>
      <c r="D113" s="71"/>
      <c r="E113" s="3" t="s">
        <v>57</v>
      </c>
      <c r="F113" s="24">
        <v>6</v>
      </c>
      <c r="G113" s="24">
        <v>0</v>
      </c>
      <c r="H113" s="24">
        <f t="shared" si="74"/>
        <v>0</v>
      </c>
      <c r="I113" s="24">
        <f t="shared" si="75"/>
        <v>0</v>
      </c>
      <c r="J113" s="24">
        <f t="shared" si="76"/>
        <v>0</v>
      </c>
      <c r="K113" s="24">
        <v>1.64E-3</v>
      </c>
      <c r="L113" s="25">
        <f t="shared" si="77"/>
        <v>9.8399999999999998E-3</v>
      </c>
      <c r="Z113" s="24">
        <f t="shared" si="78"/>
        <v>0</v>
      </c>
      <c r="AB113" s="24">
        <f t="shared" si="79"/>
        <v>0</v>
      </c>
      <c r="AC113" s="24">
        <f t="shared" si="80"/>
        <v>0</v>
      </c>
      <c r="AD113" s="24">
        <f t="shared" si="81"/>
        <v>0</v>
      </c>
      <c r="AE113" s="24">
        <f t="shared" si="82"/>
        <v>0</v>
      </c>
      <c r="AF113" s="24">
        <f t="shared" si="83"/>
        <v>0</v>
      </c>
      <c r="AG113" s="24">
        <f t="shared" si="84"/>
        <v>0</v>
      </c>
      <c r="AH113" s="24">
        <f t="shared" si="85"/>
        <v>0</v>
      </c>
      <c r="AI113" s="9" t="s">
        <v>51</v>
      </c>
      <c r="AJ113" s="24">
        <f t="shared" si="86"/>
        <v>0</v>
      </c>
      <c r="AK113" s="24">
        <f t="shared" si="87"/>
        <v>0</v>
      </c>
      <c r="AL113" s="24">
        <f t="shared" si="88"/>
        <v>0</v>
      </c>
      <c r="AN113" s="24">
        <v>12</v>
      </c>
      <c r="AO113" s="24">
        <f>G113*0.87563956</f>
        <v>0</v>
      </c>
      <c r="AP113" s="24">
        <f>G113*(1-0.87563956)</f>
        <v>0</v>
      </c>
      <c r="AQ113" s="26" t="s">
        <v>66</v>
      </c>
      <c r="AV113" s="24">
        <f t="shared" si="91"/>
        <v>0</v>
      </c>
      <c r="AW113" s="24">
        <f t="shared" si="92"/>
        <v>0</v>
      </c>
      <c r="AX113" s="24">
        <f t="shared" si="93"/>
        <v>0</v>
      </c>
      <c r="AY113" s="26" t="s">
        <v>304</v>
      </c>
      <c r="AZ113" s="26" t="s">
        <v>68</v>
      </c>
      <c r="BA113" s="9" t="s">
        <v>60</v>
      </c>
      <c r="BC113" s="24">
        <f t="shared" si="94"/>
        <v>0</v>
      </c>
      <c r="BD113" s="24">
        <f t="shared" si="95"/>
        <v>0</v>
      </c>
      <c r="BE113" s="24">
        <v>0</v>
      </c>
      <c r="BF113" s="24">
        <f t="shared" si="96"/>
        <v>9.8399999999999998E-3</v>
      </c>
      <c r="BH113" s="24">
        <f t="shared" si="97"/>
        <v>0</v>
      </c>
      <c r="BI113" s="24">
        <f t="shared" si="98"/>
        <v>0</v>
      </c>
      <c r="BJ113" s="24">
        <f t="shared" si="99"/>
        <v>0</v>
      </c>
      <c r="BK113" s="24"/>
      <c r="BL113" s="24">
        <v>725</v>
      </c>
      <c r="BW113" s="24">
        <v>12</v>
      </c>
      <c r="BX113" s="4" t="s">
        <v>361</v>
      </c>
    </row>
    <row r="114" spans="1:76" ht="14.4" x14ac:dyDescent="0.3">
      <c r="A114" s="2" t="s">
        <v>362</v>
      </c>
      <c r="B114" s="3" t="s">
        <v>363</v>
      </c>
      <c r="C114" s="76" t="s">
        <v>364</v>
      </c>
      <c r="D114" s="71"/>
      <c r="E114" s="3" t="s">
        <v>276</v>
      </c>
      <c r="F114" s="24">
        <v>4</v>
      </c>
      <c r="G114" s="24">
        <v>0</v>
      </c>
      <c r="H114" s="24">
        <f t="shared" si="74"/>
        <v>0</v>
      </c>
      <c r="I114" s="24">
        <f t="shared" si="75"/>
        <v>0</v>
      </c>
      <c r="J114" s="24">
        <f t="shared" si="76"/>
        <v>0</v>
      </c>
      <c r="K114" s="24">
        <v>1.34E-3</v>
      </c>
      <c r="L114" s="25">
        <f t="shared" si="77"/>
        <v>5.3600000000000002E-3</v>
      </c>
      <c r="Z114" s="24">
        <f t="shared" si="78"/>
        <v>0</v>
      </c>
      <c r="AB114" s="24">
        <f t="shared" si="79"/>
        <v>0</v>
      </c>
      <c r="AC114" s="24">
        <f t="shared" si="80"/>
        <v>0</v>
      </c>
      <c r="AD114" s="24">
        <f t="shared" si="81"/>
        <v>0</v>
      </c>
      <c r="AE114" s="24">
        <f t="shared" si="82"/>
        <v>0</v>
      </c>
      <c r="AF114" s="24">
        <f t="shared" si="83"/>
        <v>0</v>
      </c>
      <c r="AG114" s="24">
        <f t="shared" si="84"/>
        <v>0</v>
      </c>
      <c r="AH114" s="24">
        <f t="shared" si="85"/>
        <v>0</v>
      </c>
      <c r="AI114" s="9" t="s">
        <v>51</v>
      </c>
      <c r="AJ114" s="24">
        <f t="shared" si="86"/>
        <v>0</v>
      </c>
      <c r="AK114" s="24">
        <f t="shared" si="87"/>
        <v>0</v>
      </c>
      <c r="AL114" s="24">
        <f t="shared" si="88"/>
        <v>0</v>
      </c>
      <c r="AN114" s="24">
        <v>12</v>
      </c>
      <c r="AO114" s="24">
        <f>G114*0.86647585</f>
        <v>0</v>
      </c>
      <c r="AP114" s="24">
        <f>G114*(1-0.86647585)</f>
        <v>0</v>
      </c>
      <c r="AQ114" s="26" t="s">
        <v>66</v>
      </c>
      <c r="AV114" s="24">
        <f t="shared" si="91"/>
        <v>0</v>
      </c>
      <c r="AW114" s="24">
        <f t="shared" si="92"/>
        <v>0</v>
      </c>
      <c r="AX114" s="24">
        <f t="shared" si="93"/>
        <v>0</v>
      </c>
      <c r="AY114" s="26" t="s">
        <v>304</v>
      </c>
      <c r="AZ114" s="26" t="s">
        <v>68</v>
      </c>
      <c r="BA114" s="9" t="s">
        <v>60</v>
      </c>
      <c r="BC114" s="24">
        <f t="shared" si="94"/>
        <v>0</v>
      </c>
      <c r="BD114" s="24">
        <f t="shared" si="95"/>
        <v>0</v>
      </c>
      <c r="BE114" s="24">
        <v>0</v>
      </c>
      <c r="BF114" s="24">
        <f t="shared" si="96"/>
        <v>5.3600000000000002E-3</v>
      </c>
      <c r="BH114" s="24">
        <f t="shared" si="97"/>
        <v>0</v>
      </c>
      <c r="BI114" s="24">
        <f t="shared" si="98"/>
        <v>0</v>
      </c>
      <c r="BJ114" s="24">
        <f t="shared" si="99"/>
        <v>0</v>
      </c>
      <c r="BK114" s="24"/>
      <c r="BL114" s="24">
        <v>725</v>
      </c>
      <c r="BW114" s="24">
        <v>12</v>
      </c>
      <c r="BX114" s="4" t="s">
        <v>364</v>
      </c>
    </row>
    <row r="115" spans="1:76" ht="14.4" x14ac:dyDescent="0.3">
      <c r="A115" s="2" t="s">
        <v>365</v>
      </c>
      <c r="B115" s="3" t="s">
        <v>366</v>
      </c>
      <c r="C115" s="76" t="s">
        <v>367</v>
      </c>
      <c r="D115" s="71"/>
      <c r="E115" s="3" t="s">
        <v>57</v>
      </c>
      <c r="F115" s="24">
        <v>2</v>
      </c>
      <c r="G115" s="24">
        <v>0</v>
      </c>
      <c r="H115" s="24">
        <f t="shared" si="74"/>
        <v>0</v>
      </c>
      <c r="I115" s="24">
        <f t="shared" si="75"/>
        <v>0</v>
      </c>
      <c r="J115" s="24">
        <f t="shared" si="76"/>
        <v>0</v>
      </c>
      <c r="K115" s="24">
        <v>1.5200000000000001E-3</v>
      </c>
      <c r="L115" s="25">
        <f t="shared" si="77"/>
        <v>3.0400000000000002E-3</v>
      </c>
      <c r="Z115" s="24">
        <f t="shared" si="78"/>
        <v>0</v>
      </c>
      <c r="AB115" s="24">
        <f t="shared" si="79"/>
        <v>0</v>
      </c>
      <c r="AC115" s="24">
        <f t="shared" si="80"/>
        <v>0</v>
      </c>
      <c r="AD115" s="24">
        <f t="shared" si="81"/>
        <v>0</v>
      </c>
      <c r="AE115" s="24">
        <f t="shared" si="82"/>
        <v>0</v>
      </c>
      <c r="AF115" s="24">
        <f t="shared" si="83"/>
        <v>0</v>
      </c>
      <c r="AG115" s="24">
        <f t="shared" si="84"/>
        <v>0</v>
      </c>
      <c r="AH115" s="24">
        <f t="shared" si="85"/>
        <v>0</v>
      </c>
      <c r="AI115" s="9" t="s">
        <v>51</v>
      </c>
      <c r="AJ115" s="24">
        <f t="shared" si="86"/>
        <v>0</v>
      </c>
      <c r="AK115" s="24">
        <f t="shared" si="87"/>
        <v>0</v>
      </c>
      <c r="AL115" s="24">
        <f t="shared" si="88"/>
        <v>0</v>
      </c>
      <c r="AN115" s="24">
        <v>12</v>
      </c>
      <c r="AO115" s="24">
        <f>G115*0.839828326</f>
        <v>0</v>
      </c>
      <c r="AP115" s="24">
        <f>G115*(1-0.839828326)</f>
        <v>0</v>
      </c>
      <c r="AQ115" s="26" t="s">
        <v>66</v>
      </c>
      <c r="AV115" s="24">
        <f t="shared" si="91"/>
        <v>0</v>
      </c>
      <c r="AW115" s="24">
        <f t="shared" si="92"/>
        <v>0</v>
      </c>
      <c r="AX115" s="24">
        <f t="shared" si="93"/>
        <v>0</v>
      </c>
      <c r="AY115" s="26" t="s">
        <v>304</v>
      </c>
      <c r="AZ115" s="26" t="s">
        <v>68</v>
      </c>
      <c r="BA115" s="9" t="s">
        <v>60</v>
      </c>
      <c r="BC115" s="24">
        <f t="shared" si="94"/>
        <v>0</v>
      </c>
      <c r="BD115" s="24">
        <f t="shared" si="95"/>
        <v>0</v>
      </c>
      <c r="BE115" s="24">
        <v>0</v>
      </c>
      <c r="BF115" s="24">
        <f t="shared" si="96"/>
        <v>3.0400000000000002E-3</v>
      </c>
      <c r="BH115" s="24">
        <f t="shared" si="97"/>
        <v>0</v>
      </c>
      <c r="BI115" s="24">
        <f t="shared" si="98"/>
        <v>0</v>
      </c>
      <c r="BJ115" s="24">
        <f t="shared" si="99"/>
        <v>0</v>
      </c>
      <c r="BK115" s="24"/>
      <c r="BL115" s="24">
        <v>725</v>
      </c>
      <c r="BW115" s="24">
        <v>12</v>
      </c>
      <c r="BX115" s="4" t="s">
        <v>367</v>
      </c>
    </row>
    <row r="116" spans="1:76" ht="14.4" x14ac:dyDescent="0.3">
      <c r="A116" s="2" t="s">
        <v>368</v>
      </c>
      <c r="B116" s="3" t="s">
        <v>369</v>
      </c>
      <c r="C116" s="76" t="s">
        <v>370</v>
      </c>
      <c r="D116" s="71"/>
      <c r="E116" s="3" t="s">
        <v>57</v>
      </c>
      <c r="F116" s="24">
        <v>6</v>
      </c>
      <c r="G116" s="24">
        <v>0</v>
      </c>
      <c r="H116" s="24">
        <f t="shared" si="74"/>
        <v>0</v>
      </c>
      <c r="I116" s="24">
        <f t="shared" si="75"/>
        <v>0</v>
      </c>
      <c r="J116" s="24">
        <f t="shared" si="76"/>
        <v>0</v>
      </c>
      <c r="K116" s="24">
        <v>2.7999999999999998E-4</v>
      </c>
      <c r="L116" s="25">
        <f t="shared" si="77"/>
        <v>1.6799999999999999E-3</v>
      </c>
      <c r="Z116" s="24">
        <f t="shared" si="78"/>
        <v>0</v>
      </c>
      <c r="AB116" s="24">
        <f t="shared" si="79"/>
        <v>0</v>
      </c>
      <c r="AC116" s="24">
        <f t="shared" si="80"/>
        <v>0</v>
      </c>
      <c r="AD116" s="24">
        <f t="shared" si="81"/>
        <v>0</v>
      </c>
      <c r="AE116" s="24">
        <f t="shared" si="82"/>
        <v>0</v>
      </c>
      <c r="AF116" s="24">
        <f t="shared" si="83"/>
        <v>0</v>
      </c>
      <c r="AG116" s="24">
        <f t="shared" si="84"/>
        <v>0</v>
      </c>
      <c r="AH116" s="24">
        <f t="shared" si="85"/>
        <v>0</v>
      </c>
      <c r="AI116" s="9" t="s">
        <v>51</v>
      </c>
      <c r="AJ116" s="24">
        <f t="shared" si="86"/>
        <v>0</v>
      </c>
      <c r="AK116" s="24">
        <f t="shared" si="87"/>
        <v>0</v>
      </c>
      <c r="AL116" s="24">
        <f t="shared" si="88"/>
        <v>0</v>
      </c>
      <c r="AN116" s="24">
        <v>12</v>
      </c>
      <c r="AO116" s="24">
        <f>G116*0.856522936</f>
        <v>0</v>
      </c>
      <c r="AP116" s="24">
        <f>G116*(1-0.856522936)</f>
        <v>0</v>
      </c>
      <c r="AQ116" s="26" t="s">
        <v>66</v>
      </c>
      <c r="AV116" s="24">
        <f t="shared" si="91"/>
        <v>0</v>
      </c>
      <c r="AW116" s="24">
        <f t="shared" si="92"/>
        <v>0</v>
      </c>
      <c r="AX116" s="24">
        <f t="shared" si="93"/>
        <v>0</v>
      </c>
      <c r="AY116" s="26" t="s">
        <v>304</v>
      </c>
      <c r="AZ116" s="26" t="s">
        <v>68</v>
      </c>
      <c r="BA116" s="9" t="s">
        <v>60</v>
      </c>
      <c r="BC116" s="24">
        <f t="shared" si="94"/>
        <v>0</v>
      </c>
      <c r="BD116" s="24">
        <f t="shared" si="95"/>
        <v>0</v>
      </c>
      <c r="BE116" s="24">
        <v>0</v>
      </c>
      <c r="BF116" s="24">
        <f t="shared" si="96"/>
        <v>1.6799999999999999E-3</v>
      </c>
      <c r="BH116" s="24">
        <f t="shared" si="97"/>
        <v>0</v>
      </c>
      <c r="BI116" s="24">
        <f t="shared" si="98"/>
        <v>0</v>
      </c>
      <c r="BJ116" s="24">
        <f t="shared" si="99"/>
        <v>0</v>
      </c>
      <c r="BK116" s="24"/>
      <c r="BL116" s="24">
        <v>725</v>
      </c>
      <c r="BW116" s="24">
        <v>12</v>
      </c>
      <c r="BX116" s="4" t="s">
        <v>370</v>
      </c>
    </row>
    <row r="117" spans="1:76" ht="14.4" x14ac:dyDescent="0.3">
      <c r="A117" s="2" t="s">
        <v>371</v>
      </c>
      <c r="B117" s="3" t="s">
        <v>372</v>
      </c>
      <c r="C117" s="76" t="s">
        <v>373</v>
      </c>
      <c r="D117" s="71"/>
      <c r="E117" s="3" t="s">
        <v>57</v>
      </c>
      <c r="F117" s="24">
        <v>6</v>
      </c>
      <c r="G117" s="24">
        <v>0</v>
      </c>
      <c r="H117" s="24">
        <f t="shared" si="74"/>
        <v>0</v>
      </c>
      <c r="I117" s="24">
        <f t="shared" si="75"/>
        <v>0</v>
      </c>
      <c r="J117" s="24">
        <f t="shared" si="76"/>
        <v>0</v>
      </c>
      <c r="K117" s="24">
        <v>5.0000000000000001E-4</v>
      </c>
      <c r="L117" s="25">
        <f t="shared" si="77"/>
        <v>3.0000000000000001E-3</v>
      </c>
      <c r="Z117" s="24">
        <f t="shared" si="78"/>
        <v>0</v>
      </c>
      <c r="AB117" s="24">
        <f t="shared" si="79"/>
        <v>0</v>
      </c>
      <c r="AC117" s="24">
        <f t="shared" si="80"/>
        <v>0</v>
      </c>
      <c r="AD117" s="24">
        <f t="shared" si="81"/>
        <v>0</v>
      </c>
      <c r="AE117" s="24">
        <f t="shared" si="82"/>
        <v>0</v>
      </c>
      <c r="AF117" s="24">
        <f t="shared" si="83"/>
        <v>0</v>
      </c>
      <c r="AG117" s="24">
        <f t="shared" si="84"/>
        <v>0</v>
      </c>
      <c r="AH117" s="24">
        <f t="shared" si="85"/>
        <v>0</v>
      </c>
      <c r="AI117" s="9" t="s">
        <v>51</v>
      </c>
      <c r="AJ117" s="24">
        <f t="shared" si="86"/>
        <v>0</v>
      </c>
      <c r="AK117" s="24">
        <f t="shared" si="87"/>
        <v>0</v>
      </c>
      <c r="AL117" s="24">
        <f t="shared" si="88"/>
        <v>0</v>
      </c>
      <c r="AN117" s="24">
        <v>12</v>
      </c>
      <c r="AO117" s="24">
        <f>G117*0.909233894</f>
        <v>0</v>
      </c>
      <c r="AP117" s="24">
        <f>G117*(1-0.909233894)</f>
        <v>0</v>
      </c>
      <c r="AQ117" s="26" t="s">
        <v>66</v>
      </c>
      <c r="AV117" s="24">
        <f t="shared" si="91"/>
        <v>0</v>
      </c>
      <c r="AW117" s="24">
        <f t="shared" si="92"/>
        <v>0</v>
      </c>
      <c r="AX117" s="24">
        <f t="shared" si="93"/>
        <v>0</v>
      </c>
      <c r="AY117" s="26" t="s">
        <v>304</v>
      </c>
      <c r="AZ117" s="26" t="s">
        <v>68</v>
      </c>
      <c r="BA117" s="9" t="s">
        <v>60</v>
      </c>
      <c r="BC117" s="24">
        <f t="shared" si="94"/>
        <v>0</v>
      </c>
      <c r="BD117" s="24">
        <f t="shared" si="95"/>
        <v>0</v>
      </c>
      <c r="BE117" s="24">
        <v>0</v>
      </c>
      <c r="BF117" s="24">
        <f t="shared" si="96"/>
        <v>3.0000000000000001E-3</v>
      </c>
      <c r="BH117" s="24">
        <f t="shared" si="97"/>
        <v>0</v>
      </c>
      <c r="BI117" s="24">
        <f t="shared" si="98"/>
        <v>0</v>
      </c>
      <c r="BJ117" s="24">
        <f t="shared" si="99"/>
        <v>0</v>
      </c>
      <c r="BK117" s="24"/>
      <c r="BL117" s="24">
        <v>725</v>
      </c>
      <c r="BW117" s="24">
        <v>12</v>
      </c>
      <c r="BX117" s="4" t="s">
        <v>373</v>
      </c>
    </row>
    <row r="118" spans="1:76" ht="14.4" x14ac:dyDescent="0.3">
      <c r="A118" s="2" t="s">
        <v>374</v>
      </c>
      <c r="B118" s="3" t="s">
        <v>375</v>
      </c>
      <c r="C118" s="76" t="s">
        <v>376</v>
      </c>
      <c r="D118" s="71"/>
      <c r="E118" s="3" t="s">
        <v>57</v>
      </c>
      <c r="F118" s="24">
        <v>6</v>
      </c>
      <c r="G118" s="24">
        <v>0</v>
      </c>
      <c r="H118" s="24">
        <f t="shared" si="74"/>
        <v>0</v>
      </c>
      <c r="I118" s="24">
        <f t="shared" si="75"/>
        <v>0</v>
      </c>
      <c r="J118" s="24">
        <f t="shared" si="76"/>
        <v>0</v>
      </c>
      <c r="K118" s="24">
        <v>8.0000000000000007E-5</v>
      </c>
      <c r="L118" s="25">
        <f t="shared" si="77"/>
        <v>4.8000000000000007E-4</v>
      </c>
      <c r="Z118" s="24">
        <f t="shared" si="78"/>
        <v>0</v>
      </c>
      <c r="AB118" s="24">
        <f t="shared" si="79"/>
        <v>0</v>
      </c>
      <c r="AC118" s="24">
        <f t="shared" si="80"/>
        <v>0</v>
      </c>
      <c r="AD118" s="24">
        <f t="shared" si="81"/>
        <v>0</v>
      </c>
      <c r="AE118" s="24">
        <f t="shared" si="82"/>
        <v>0</v>
      </c>
      <c r="AF118" s="24">
        <f t="shared" si="83"/>
        <v>0</v>
      </c>
      <c r="AG118" s="24">
        <f t="shared" si="84"/>
        <v>0</v>
      </c>
      <c r="AH118" s="24">
        <f t="shared" si="85"/>
        <v>0</v>
      </c>
      <c r="AI118" s="9" t="s">
        <v>51</v>
      </c>
      <c r="AJ118" s="24">
        <f t="shared" si="86"/>
        <v>0</v>
      </c>
      <c r="AK118" s="24">
        <f t="shared" si="87"/>
        <v>0</v>
      </c>
      <c r="AL118" s="24">
        <f t="shared" si="88"/>
        <v>0</v>
      </c>
      <c r="AN118" s="24">
        <v>12</v>
      </c>
      <c r="AO118" s="24">
        <f>G118*0.892147743</f>
        <v>0</v>
      </c>
      <c r="AP118" s="24">
        <f>G118*(1-0.892147743)</f>
        <v>0</v>
      </c>
      <c r="AQ118" s="26" t="s">
        <v>66</v>
      </c>
      <c r="AV118" s="24">
        <f t="shared" si="91"/>
        <v>0</v>
      </c>
      <c r="AW118" s="24">
        <f t="shared" si="92"/>
        <v>0</v>
      </c>
      <c r="AX118" s="24">
        <f t="shared" si="93"/>
        <v>0</v>
      </c>
      <c r="AY118" s="26" t="s">
        <v>304</v>
      </c>
      <c r="AZ118" s="26" t="s">
        <v>68</v>
      </c>
      <c r="BA118" s="9" t="s">
        <v>60</v>
      </c>
      <c r="BC118" s="24">
        <f t="shared" si="94"/>
        <v>0</v>
      </c>
      <c r="BD118" s="24">
        <f t="shared" si="95"/>
        <v>0</v>
      </c>
      <c r="BE118" s="24">
        <v>0</v>
      </c>
      <c r="BF118" s="24">
        <f t="shared" si="96"/>
        <v>4.8000000000000007E-4</v>
      </c>
      <c r="BH118" s="24">
        <f t="shared" si="97"/>
        <v>0</v>
      </c>
      <c r="BI118" s="24">
        <f t="shared" si="98"/>
        <v>0</v>
      </c>
      <c r="BJ118" s="24">
        <f t="shared" si="99"/>
        <v>0</v>
      </c>
      <c r="BK118" s="24"/>
      <c r="BL118" s="24">
        <v>725</v>
      </c>
      <c r="BW118" s="24">
        <v>12</v>
      </c>
      <c r="BX118" s="4" t="s">
        <v>376</v>
      </c>
    </row>
    <row r="119" spans="1:76" ht="14.4" x14ac:dyDescent="0.3">
      <c r="A119" s="2" t="s">
        <v>377</v>
      </c>
      <c r="B119" s="3" t="s">
        <v>378</v>
      </c>
      <c r="C119" s="76" t="s">
        <v>379</v>
      </c>
      <c r="D119" s="71"/>
      <c r="E119" s="3" t="s">
        <v>57</v>
      </c>
      <c r="F119" s="24">
        <v>4</v>
      </c>
      <c r="G119" s="24">
        <v>0</v>
      </c>
      <c r="H119" s="24">
        <f t="shared" si="74"/>
        <v>0</v>
      </c>
      <c r="I119" s="24">
        <f t="shared" si="75"/>
        <v>0</v>
      </c>
      <c r="J119" s="24">
        <f t="shared" si="76"/>
        <v>0</v>
      </c>
      <c r="K119" s="24">
        <v>8.0000000000000004E-4</v>
      </c>
      <c r="L119" s="25">
        <f t="shared" si="77"/>
        <v>3.2000000000000002E-3</v>
      </c>
      <c r="Z119" s="24">
        <f t="shared" si="78"/>
        <v>0</v>
      </c>
      <c r="AB119" s="24">
        <f t="shared" si="79"/>
        <v>0</v>
      </c>
      <c r="AC119" s="24">
        <f t="shared" si="80"/>
        <v>0</v>
      </c>
      <c r="AD119" s="24">
        <f t="shared" si="81"/>
        <v>0</v>
      </c>
      <c r="AE119" s="24">
        <f t="shared" si="82"/>
        <v>0</v>
      </c>
      <c r="AF119" s="24">
        <f t="shared" si="83"/>
        <v>0</v>
      </c>
      <c r="AG119" s="24">
        <f t="shared" si="84"/>
        <v>0</v>
      </c>
      <c r="AH119" s="24">
        <f t="shared" si="85"/>
        <v>0</v>
      </c>
      <c r="AI119" s="9" t="s">
        <v>51</v>
      </c>
      <c r="AJ119" s="24">
        <f t="shared" si="86"/>
        <v>0</v>
      </c>
      <c r="AK119" s="24">
        <f t="shared" si="87"/>
        <v>0</v>
      </c>
      <c r="AL119" s="24">
        <f t="shared" si="88"/>
        <v>0</v>
      </c>
      <c r="AN119" s="24">
        <v>12</v>
      </c>
      <c r="AO119" s="24">
        <f>G119*0.37308461</f>
        <v>0</v>
      </c>
      <c r="AP119" s="24">
        <f>G119*(1-0.37308461)</f>
        <v>0</v>
      </c>
      <c r="AQ119" s="26" t="s">
        <v>66</v>
      </c>
      <c r="AV119" s="24">
        <f t="shared" si="91"/>
        <v>0</v>
      </c>
      <c r="AW119" s="24">
        <f t="shared" si="92"/>
        <v>0</v>
      </c>
      <c r="AX119" s="24">
        <f t="shared" si="93"/>
        <v>0</v>
      </c>
      <c r="AY119" s="26" t="s">
        <v>304</v>
      </c>
      <c r="AZ119" s="26" t="s">
        <v>68</v>
      </c>
      <c r="BA119" s="9" t="s">
        <v>60</v>
      </c>
      <c r="BC119" s="24">
        <f t="shared" si="94"/>
        <v>0</v>
      </c>
      <c r="BD119" s="24">
        <f t="shared" si="95"/>
        <v>0</v>
      </c>
      <c r="BE119" s="24">
        <v>0</v>
      </c>
      <c r="BF119" s="24">
        <f t="shared" si="96"/>
        <v>3.2000000000000002E-3</v>
      </c>
      <c r="BH119" s="24">
        <f t="shared" si="97"/>
        <v>0</v>
      </c>
      <c r="BI119" s="24">
        <f t="shared" si="98"/>
        <v>0</v>
      </c>
      <c r="BJ119" s="24">
        <f t="shared" si="99"/>
        <v>0</v>
      </c>
      <c r="BK119" s="24"/>
      <c r="BL119" s="24">
        <v>725</v>
      </c>
      <c r="BW119" s="24">
        <v>12</v>
      </c>
      <c r="BX119" s="4" t="s">
        <v>379</v>
      </c>
    </row>
    <row r="120" spans="1:76" ht="14.4" x14ac:dyDescent="0.3">
      <c r="A120" s="2" t="s">
        <v>380</v>
      </c>
      <c r="B120" s="3" t="s">
        <v>381</v>
      </c>
      <c r="C120" s="76" t="s">
        <v>382</v>
      </c>
      <c r="D120" s="71"/>
      <c r="E120" s="3" t="s">
        <v>57</v>
      </c>
      <c r="F120" s="24">
        <v>2</v>
      </c>
      <c r="G120" s="24">
        <v>0</v>
      </c>
      <c r="H120" s="24">
        <f t="shared" si="74"/>
        <v>0</v>
      </c>
      <c r="I120" s="24">
        <f t="shared" si="75"/>
        <v>0</v>
      </c>
      <c r="J120" s="24">
        <f t="shared" si="76"/>
        <v>0</v>
      </c>
      <c r="K120" s="24">
        <v>1.0999999999999999E-2</v>
      </c>
      <c r="L120" s="25">
        <f t="shared" si="77"/>
        <v>2.1999999999999999E-2</v>
      </c>
      <c r="Z120" s="24">
        <f t="shared" si="78"/>
        <v>0</v>
      </c>
      <c r="AB120" s="24">
        <f t="shared" si="79"/>
        <v>0</v>
      </c>
      <c r="AC120" s="24">
        <f t="shared" si="80"/>
        <v>0</v>
      </c>
      <c r="AD120" s="24">
        <f t="shared" si="81"/>
        <v>0</v>
      </c>
      <c r="AE120" s="24">
        <f t="shared" si="82"/>
        <v>0</v>
      </c>
      <c r="AF120" s="24">
        <f t="shared" si="83"/>
        <v>0</v>
      </c>
      <c r="AG120" s="24">
        <f t="shared" si="84"/>
        <v>0</v>
      </c>
      <c r="AH120" s="24">
        <f t="shared" si="85"/>
        <v>0</v>
      </c>
      <c r="AI120" s="9" t="s">
        <v>51</v>
      </c>
      <c r="AJ120" s="24">
        <f t="shared" si="86"/>
        <v>0</v>
      </c>
      <c r="AK120" s="24">
        <f t="shared" si="87"/>
        <v>0</v>
      </c>
      <c r="AL120" s="24">
        <f t="shared" si="88"/>
        <v>0</v>
      </c>
      <c r="AN120" s="24">
        <v>12</v>
      </c>
      <c r="AO120" s="24">
        <f>G120*1</f>
        <v>0</v>
      </c>
      <c r="AP120" s="24">
        <f>G120*(1-1)</f>
        <v>0</v>
      </c>
      <c r="AQ120" s="26" t="s">
        <v>66</v>
      </c>
      <c r="AV120" s="24">
        <f t="shared" si="91"/>
        <v>0</v>
      </c>
      <c r="AW120" s="24">
        <f t="shared" si="92"/>
        <v>0</v>
      </c>
      <c r="AX120" s="24">
        <f t="shared" si="93"/>
        <v>0</v>
      </c>
      <c r="AY120" s="26" t="s">
        <v>304</v>
      </c>
      <c r="AZ120" s="26" t="s">
        <v>68</v>
      </c>
      <c r="BA120" s="9" t="s">
        <v>60</v>
      </c>
      <c r="BC120" s="24">
        <f t="shared" si="94"/>
        <v>0</v>
      </c>
      <c r="BD120" s="24">
        <f t="shared" si="95"/>
        <v>0</v>
      </c>
      <c r="BE120" s="24">
        <v>0</v>
      </c>
      <c r="BF120" s="24">
        <f t="shared" si="96"/>
        <v>2.1999999999999999E-2</v>
      </c>
      <c r="BH120" s="24">
        <f t="shared" si="97"/>
        <v>0</v>
      </c>
      <c r="BI120" s="24">
        <f t="shared" si="98"/>
        <v>0</v>
      </c>
      <c r="BJ120" s="24">
        <f t="shared" si="99"/>
        <v>0</v>
      </c>
      <c r="BK120" s="24"/>
      <c r="BL120" s="24">
        <v>725</v>
      </c>
      <c r="BW120" s="24">
        <v>12</v>
      </c>
      <c r="BX120" s="4" t="s">
        <v>382</v>
      </c>
    </row>
    <row r="121" spans="1:76" ht="14.4" x14ac:dyDescent="0.3">
      <c r="A121" s="2" t="s">
        <v>383</v>
      </c>
      <c r="B121" s="3" t="s">
        <v>384</v>
      </c>
      <c r="C121" s="76" t="s">
        <v>385</v>
      </c>
      <c r="D121" s="71"/>
      <c r="E121" s="3" t="s">
        <v>57</v>
      </c>
      <c r="F121" s="24">
        <v>2</v>
      </c>
      <c r="G121" s="24">
        <v>0</v>
      </c>
      <c r="H121" s="24">
        <f t="shared" si="74"/>
        <v>0</v>
      </c>
      <c r="I121" s="24">
        <f t="shared" si="75"/>
        <v>0</v>
      </c>
      <c r="J121" s="24">
        <f t="shared" si="76"/>
        <v>0</v>
      </c>
      <c r="K121" s="24">
        <v>3.7499999999999999E-2</v>
      </c>
      <c r="L121" s="25">
        <f t="shared" si="77"/>
        <v>7.4999999999999997E-2</v>
      </c>
      <c r="Z121" s="24">
        <f t="shared" si="78"/>
        <v>0</v>
      </c>
      <c r="AB121" s="24">
        <f t="shared" si="79"/>
        <v>0</v>
      </c>
      <c r="AC121" s="24">
        <f t="shared" si="80"/>
        <v>0</v>
      </c>
      <c r="AD121" s="24">
        <f t="shared" si="81"/>
        <v>0</v>
      </c>
      <c r="AE121" s="24">
        <f t="shared" si="82"/>
        <v>0</v>
      </c>
      <c r="AF121" s="24">
        <f t="shared" si="83"/>
        <v>0</v>
      </c>
      <c r="AG121" s="24">
        <f t="shared" si="84"/>
        <v>0</v>
      </c>
      <c r="AH121" s="24">
        <f t="shared" si="85"/>
        <v>0</v>
      </c>
      <c r="AI121" s="9" t="s">
        <v>51</v>
      </c>
      <c r="AJ121" s="24">
        <f t="shared" si="86"/>
        <v>0</v>
      </c>
      <c r="AK121" s="24">
        <f t="shared" si="87"/>
        <v>0</v>
      </c>
      <c r="AL121" s="24">
        <f t="shared" si="88"/>
        <v>0</v>
      </c>
      <c r="AN121" s="24">
        <v>12</v>
      </c>
      <c r="AO121" s="24">
        <f>G121*1</f>
        <v>0</v>
      </c>
      <c r="AP121" s="24">
        <f>G121*(1-1)</f>
        <v>0</v>
      </c>
      <c r="AQ121" s="26" t="s">
        <v>66</v>
      </c>
      <c r="AV121" s="24">
        <f t="shared" si="91"/>
        <v>0</v>
      </c>
      <c r="AW121" s="24">
        <f t="shared" si="92"/>
        <v>0</v>
      </c>
      <c r="AX121" s="24">
        <f t="shared" si="93"/>
        <v>0</v>
      </c>
      <c r="AY121" s="26" t="s">
        <v>304</v>
      </c>
      <c r="AZ121" s="26" t="s">
        <v>68</v>
      </c>
      <c r="BA121" s="9" t="s">
        <v>60</v>
      </c>
      <c r="BC121" s="24">
        <f t="shared" si="94"/>
        <v>0</v>
      </c>
      <c r="BD121" s="24">
        <f t="shared" si="95"/>
        <v>0</v>
      </c>
      <c r="BE121" s="24">
        <v>0</v>
      </c>
      <c r="BF121" s="24">
        <f t="shared" si="96"/>
        <v>7.4999999999999997E-2</v>
      </c>
      <c r="BH121" s="24">
        <f t="shared" si="97"/>
        <v>0</v>
      </c>
      <c r="BI121" s="24">
        <f t="shared" si="98"/>
        <v>0</v>
      </c>
      <c r="BJ121" s="24">
        <f t="shared" si="99"/>
        <v>0</v>
      </c>
      <c r="BK121" s="24"/>
      <c r="BL121" s="24">
        <v>725</v>
      </c>
      <c r="BW121" s="24">
        <v>12</v>
      </c>
      <c r="BX121" s="4" t="s">
        <v>385</v>
      </c>
    </row>
    <row r="122" spans="1:76" ht="14.4" x14ac:dyDescent="0.3">
      <c r="A122" s="2" t="s">
        <v>386</v>
      </c>
      <c r="B122" s="3" t="s">
        <v>387</v>
      </c>
      <c r="C122" s="76" t="s">
        <v>388</v>
      </c>
      <c r="D122" s="71"/>
      <c r="E122" s="3" t="s">
        <v>137</v>
      </c>
      <c r="F122" s="24">
        <v>6</v>
      </c>
      <c r="G122" s="24">
        <v>0</v>
      </c>
      <c r="H122" s="24">
        <f t="shared" si="74"/>
        <v>0</v>
      </c>
      <c r="I122" s="24">
        <f t="shared" si="75"/>
        <v>0</v>
      </c>
      <c r="J122" s="24">
        <f t="shared" si="76"/>
        <v>0</v>
      </c>
      <c r="K122" s="24">
        <v>0</v>
      </c>
      <c r="L122" s="25">
        <f t="shared" si="77"/>
        <v>0</v>
      </c>
      <c r="Z122" s="24">
        <f t="shared" si="78"/>
        <v>0</v>
      </c>
      <c r="AB122" s="24">
        <f t="shared" si="79"/>
        <v>0</v>
      </c>
      <c r="AC122" s="24">
        <f t="shared" si="80"/>
        <v>0</v>
      </c>
      <c r="AD122" s="24">
        <f t="shared" si="81"/>
        <v>0</v>
      </c>
      <c r="AE122" s="24">
        <f t="shared" si="82"/>
        <v>0</v>
      </c>
      <c r="AF122" s="24">
        <f t="shared" si="83"/>
        <v>0</v>
      </c>
      <c r="AG122" s="24">
        <f t="shared" si="84"/>
        <v>0</v>
      </c>
      <c r="AH122" s="24">
        <f t="shared" si="85"/>
        <v>0</v>
      </c>
      <c r="AI122" s="9" t="s">
        <v>51</v>
      </c>
      <c r="AJ122" s="24">
        <f t="shared" si="86"/>
        <v>0</v>
      </c>
      <c r="AK122" s="24">
        <f t="shared" si="87"/>
        <v>0</v>
      </c>
      <c r="AL122" s="24">
        <f t="shared" si="88"/>
        <v>0</v>
      </c>
      <c r="AN122" s="24">
        <v>12</v>
      </c>
      <c r="AO122" s="24">
        <f>G122*1</f>
        <v>0</v>
      </c>
      <c r="AP122" s="24">
        <f>G122*(1-1)</f>
        <v>0</v>
      </c>
      <c r="AQ122" s="26" t="s">
        <v>66</v>
      </c>
      <c r="AV122" s="24">
        <f t="shared" si="91"/>
        <v>0</v>
      </c>
      <c r="AW122" s="24">
        <f t="shared" si="92"/>
        <v>0</v>
      </c>
      <c r="AX122" s="24">
        <f t="shared" si="93"/>
        <v>0</v>
      </c>
      <c r="AY122" s="26" t="s">
        <v>304</v>
      </c>
      <c r="AZ122" s="26" t="s">
        <v>68</v>
      </c>
      <c r="BA122" s="9" t="s">
        <v>60</v>
      </c>
      <c r="BC122" s="24">
        <f t="shared" si="94"/>
        <v>0</v>
      </c>
      <c r="BD122" s="24">
        <f t="shared" si="95"/>
        <v>0</v>
      </c>
      <c r="BE122" s="24">
        <v>0</v>
      </c>
      <c r="BF122" s="24">
        <f t="shared" si="96"/>
        <v>0</v>
      </c>
      <c r="BH122" s="24">
        <f t="shared" si="97"/>
        <v>0</v>
      </c>
      <c r="BI122" s="24">
        <f t="shared" si="98"/>
        <v>0</v>
      </c>
      <c r="BJ122" s="24">
        <f t="shared" si="99"/>
        <v>0</v>
      </c>
      <c r="BK122" s="24"/>
      <c r="BL122" s="24">
        <v>725</v>
      </c>
      <c r="BW122" s="24">
        <v>12</v>
      </c>
      <c r="BX122" s="4" t="s">
        <v>388</v>
      </c>
    </row>
    <row r="123" spans="1:76" ht="14.4" x14ac:dyDescent="0.3">
      <c r="A123" s="27" t="s">
        <v>51</v>
      </c>
      <c r="B123" s="28" t="s">
        <v>317</v>
      </c>
      <c r="C123" s="94" t="s">
        <v>389</v>
      </c>
      <c r="D123" s="95"/>
      <c r="E123" s="29" t="s">
        <v>18</v>
      </c>
      <c r="F123" s="29" t="s">
        <v>18</v>
      </c>
      <c r="G123" s="29" t="s">
        <v>18</v>
      </c>
      <c r="H123" s="1">
        <f>SUM(H124:H130)</f>
        <v>0</v>
      </c>
      <c r="I123" s="1">
        <f>SUM(I124:I130)</f>
        <v>0</v>
      </c>
      <c r="J123" s="1">
        <f>SUM(J124:J130)</f>
        <v>0</v>
      </c>
      <c r="K123" s="9" t="s">
        <v>51</v>
      </c>
      <c r="L123" s="30">
        <f>SUM(L124:L130)</f>
        <v>24.55734</v>
      </c>
      <c r="AI123" s="9" t="s">
        <v>51</v>
      </c>
      <c r="AS123" s="1">
        <f>SUM(AJ124:AJ130)</f>
        <v>0</v>
      </c>
      <c r="AT123" s="1">
        <f>SUM(AK124:AK130)</f>
        <v>0</v>
      </c>
      <c r="AU123" s="1">
        <f>SUM(AL124:AL130)</f>
        <v>0</v>
      </c>
    </row>
    <row r="124" spans="1:76" ht="14.4" x14ac:dyDescent="0.3">
      <c r="A124" s="2" t="s">
        <v>390</v>
      </c>
      <c r="B124" s="3" t="s">
        <v>391</v>
      </c>
      <c r="C124" s="76" t="s">
        <v>392</v>
      </c>
      <c r="D124" s="71"/>
      <c r="E124" s="3" t="s">
        <v>75</v>
      </c>
      <c r="F124" s="24">
        <v>24</v>
      </c>
      <c r="G124" s="24">
        <v>0</v>
      </c>
      <c r="H124" s="24">
        <f t="shared" ref="H124:H130" si="100">ROUND(F124*AO124,2)</f>
        <v>0</v>
      </c>
      <c r="I124" s="24">
        <f t="shared" ref="I124:I130" si="101">ROUND(F124*AP124,2)</f>
        <v>0</v>
      </c>
      <c r="J124" s="24">
        <f t="shared" ref="J124:J130" si="102">ROUND(F124*G124,2)</f>
        <v>0</v>
      </c>
      <c r="K124" s="24">
        <v>0.90803</v>
      </c>
      <c r="L124" s="25">
        <f t="shared" ref="L124:L130" si="103">F124*K124</f>
        <v>21.792719999999999</v>
      </c>
      <c r="Z124" s="24">
        <f t="shared" ref="Z124:Z130" si="104">ROUND(IF(AQ124="5",BJ124,0),2)</f>
        <v>0</v>
      </c>
      <c r="AB124" s="24">
        <f t="shared" ref="AB124:AB130" si="105">ROUND(IF(AQ124="1",BH124,0),2)</f>
        <v>0</v>
      </c>
      <c r="AC124" s="24">
        <f t="shared" ref="AC124:AC130" si="106">ROUND(IF(AQ124="1",BI124,0),2)</f>
        <v>0</v>
      </c>
      <c r="AD124" s="24">
        <f t="shared" ref="AD124:AD130" si="107">ROUND(IF(AQ124="7",BH124,0),2)</f>
        <v>0</v>
      </c>
      <c r="AE124" s="24">
        <f t="shared" ref="AE124:AE130" si="108">ROUND(IF(AQ124="7",BI124,0),2)</f>
        <v>0</v>
      </c>
      <c r="AF124" s="24">
        <f t="shared" ref="AF124:AF130" si="109">ROUND(IF(AQ124="2",BH124,0),2)</f>
        <v>0</v>
      </c>
      <c r="AG124" s="24">
        <f t="shared" ref="AG124:AG130" si="110">ROUND(IF(AQ124="2",BI124,0),2)</f>
        <v>0</v>
      </c>
      <c r="AH124" s="24">
        <f t="shared" ref="AH124:AH130" si="111">ROUND(IF(AQ124="0",BJ124,0),2)</f>
        <v>0</v>
      </c>
      <c r="AI124" s="9" t="s">
        <v>51</v>
      </c>
      <c r="AJ124" s="24">
        <f t="shared" ref="AJ124:AJ130" si="112">IF(AN124=0,J124,0)</f>
        <v>0</v>
      </c>
      <c r="AK124" s="24">
        <f t="shared" ref="AK124:AK130" si="113">IF(AN124=12,J124,0)</f>
        <v>0</v>
      </c>
      <c r="AL124" s="24">
        <f t="shared" ref="AL124:AL130" si="114">IF(AN124=21,J124,0)</f>
        <v>0</v>
      </c>
      <c r="AN124" s="24">
        <v>12</v>
      </c>
      <c r="AO124" s="24">
        <f>G124*0.286804735</f>
        <v>0</v>
      </c>
      <c r="AP124" s="24">
        <f>G124*(1-0.286804735)</f>
        <v>0</v>
      </c>
      <c r="AQ124" s="26" t="s">
        <v>54</v>
      </c>
      <c r="AV124" s="24">
        <f t="shared" ref="AV124:AV130" si="115">ROUND(AW124+AX124,2)</f>
        <v>0</v>
      </c>
      <c r="AW124" s="24">
        <f t="shared" ref="AW124:AW130" si="116">ROUND(F124*AO124,2)</f>
        <v>0</v>
      </c>
      <c r="AX124" s="24">
        <f t="shared" ref="AX124:AX130" si="117">ROUND(F124*AP124,2)</f>
        <v>0</v>
      </c>
      <c r="AY124" s="26" t="s">
        <v>393</v>
      </c>
      <c r="AZ124" s="26" t="s">
        <v>394</v>
      </c>
      <c r="BA124" s="9" t="s">
        <v>60</v>
      </c>
      <c r="BC124" s="24">
        <f t="shared" ref="BC124:BC130" si="118">AW124+AX124</f>
        <v>0</v>
      </c>
      <c r="BD124" s="24">
        <f t="shared" ref="BD124:BD130" si="119">G124/(100-BE124)*100</f>
        <v>0</v>
      </c>
      <c r="BE124" s="24">
        <v>0</v>
      </c>
      <c r="BF124" s="24">
        <f t="shared" ref="BF124:BF130" si="120">L124</f>
        <v>21.792719999999999</v>
      </c>
      <c r="BH124" s="24">
        <f t="shared" ref="BH124:BH130" si="121">F124*AO124</f>
        <v>0</v>
      </c>
      <c r="BI124" s="24">
        <f t="shared" ref="BI124:BI130" si="122">F124*AP124</f>
        <v>0</v>
      </c>
      <c r="BJ124" s="24">
        <f t="shared" ref="BJ124:BJ130" si="123">F124*G124</f>
        <v>0</v>
      </c>
      <c r="BK124" s="24"/>
      <c r="BL124" s="24">
        <v>83</v>
      </c>
      <c r="BW124" s="24">
        <v>12</v>
      </c>
      <c r="BX124" s="4" t="s">
        <v>392</v>
      </c>
    </row>
    <row r="125" spans="1:76" ht="14.4" x14ac:dyDescent="0.3">
      <c r="A125" s="2" t="s">
        <v>395</v>
      </c>
      <c r="B125" s="3" t="s">
        <v>391</v>
      </c>
      <c r="C125" s="76" t="s">
        <v>396</v>
      </c>
      <c r="D125" s="71"/>
      <c r="E125" s="3" t="s">
        <v>75</v>
      </c>
      <c r="F125" s="24">
        <v>3</v>
      </c>
      <c r="G125" s="24">
        <v>0</v>
      </c>
      <c r="H125" s="24">
        <f t="shared" si="100"/>
        <v>0</v>
      </c>
      <c r="I125" s="24">
        <f t="shared" si="101"/>
        <v>0</v>
      </c>
      <c r="J125" s="24">
        <f t="shared" si="102"/>
        <v>0</v>
      </c>
      <c r="K125" s="24">
        <v>0.90803</v>
      </c>
      <c r="L125" s="25">
        <f t="shared" si="103"/>
        <v>2.7240899999999999</v>
      </c>
      <c r="Z125" s="24">
        <f t="shared" si="104"/>
        <v>0</v>
      </c>
      <c r="AB125" s="24">
        <f t="shared" si="105"/>
        <v>0</v>
      </c>
      <c r="AC125" s="24">
        <f t="shared" si="106"/>
        <v>0</v>
      </c>
      <c r="AD125" s="24">
        <f t="shared" si="107"/>
        <v>0</v>
      </c>
      <c r="AE125" s="24">
        <f t="shared" si="108"/>
        <v>0</v>
      </c>
      <c r="AF125" s="24">
        <f t="shared" si="109"/>
        <v>0</v>
      </c>
      <c r="AG125" s="24">
        <f t="shared" si="110"/>
        <v>0</v>
      </c>
      <c r="AH125" s="24">
        <f t="shared" si="111"/>
        <v>0</v>
      </c>
      <c r="AI125" s="9" t="s">
        <v>51</v>
      </c>
      <c r="AJ125" s="24">
        <f t="shared" si="112"/>
        <v>0</v>
      </c>
      <c r="AK125" s="24">
        <f t="shared" si="113"/>
        <v>0</v>
      </c>
      <c r="AL125" s="24">
        <f t="shared" si="114"/>
        <v>0</v>
      </c>
      <c r="AN125" s="24">
        <v>12</v>
      </c>
      <c r="AO125" s="24">
        <f>G125*0.28680943</f>
        <v>0</v>
      </c>
      <c r="AP125" s="24">
        <f>G125*(1-0.28680943)</f>
        <v>0</v>
      </c>
      <c r="AQ125" s="26" t="s">
        <v>54</v>
      </c>
      <c r="AV125" s="24">
        <f t="shared" si="115"/>
        <v>0</v>
      </c>
      <c r="AW125" s="24">
        <f t="shared" si="116"/>
        <v>0</v>
      </c>
      <c r="AX125" s="24">
        <f t="shared" si="117"/>
        <v>0</v>
      </c>
      <c r="AY125" s="26" t="s">
        <v>393</v>
      </c>
      <c r="AZ125" s="26" t="s">
        <v>394</v>
      </c>
      <c r="BA125" s="9" t="s">
        <v>60</v>
      </c>
      <c r="BC125" s="24">
        <f t="shared" si="118"/>
        <v>0</v>
      </c>
      <c r="BD125" s="24">
        <f t="shared" si="119"/>
        <v>0</v>
      </c>
      <c r="BE125" s="24">
        <v>0</v>
      </c>
      <c r="BF125" s="24">
        <f t="shared" si="120"/>
        <v>2.7240899999999999</v>
      </c>
      <c r="BH125" s="24">
        <f t="shared" si="121"/>
        <v>0</v>
      </c>
      <c r="BI125" s="24">
        <f t="shared" si="122"/>
        <v>0</v>
      </c>
      <c r="BJ125" s="24">
        <f t="shared" si="123"/>
        <v>0</v>
      </c>
      <c r="BK125" s="24"/>
      <c r="BL125" s="24">
        <v>83</v>
      </c>
      <c r="BW125" s="24">
        <v>12</v>
      </c>
      <c r="BX125" s="4" t="s">
        <v>396</v>
      </c>
    </row>
    <row r="126" spans="1:76" ht="14.4" x14ac:dyDescent="0.3">
      <c r="A126" s="2" t="s">
        <v>397</v>
      </c>
      <c r="B126" s="3" t="s">
        <v>398</v>
      </c>
      <c r="C126" s="76" t="s">
        <v>399</v>
      </c>
      <c r="D126" s="71"/>
      <c r="E126" s="3" t="s">
        <v>75</v>
      </c>
      <c r="F126" s="24">
        <v>27</v>
      </c>
      <c r="G126" s="24">
        <v>0</v>
      </c>
      <c r="H126" s="24">
        <f t="shared" si="100"/>
        <v>0</v>
      </c>
      <c r="I126" s="24">
        <f t="shared" si="101"/>
        <v>0</v>
      </c>
      <c r="J126" s="24">
        <f t="shared" si="102"/>
        <v>0</v>
      </c>
      <c r="K126" s="24">
        <v>0</v>
      </c>
      <c r="L126" s="25">
        <f t="shared" si="103"/>
        <v>0</v>
      </c>
      <c r="Z126" s="24">
        <f t="shared" si="104"/>
        <v>0</v>
      </c>
      <c r="AB126" s="24">
        <f t="shared" si="105"/>
        <v>0</v>
      </c>
      <c r="AC126" s="24">
        <f t="shared" si="106"/>
        <v>0</v>
      </c>
      <c r="AD126" s="24">
        <f t="shared" si="107"/>
        <v>0</v>
      </c>
      <c r="AE126" s="24">
        <f t="shared" si="108"/>
        <v>0</v>
      </c>
      <c r="AF126" s="24">
        <f t="shared" si="109"/>
        <v>0</v>
      </c>
      <c r="AG126" s="24">
        <f t="shared" si="110"/>
        <v>0</v>
      </c>
      <c r="AH126" s="24">
        <f t="shared" si="111"/>
        <v>0</v>
      </c>
      <c r="AI126" s="9" t="s">
        <v>51</v>
      </c>
      <c r="AJ126" s="24">
        <f t="shared" si="112"/>
        <v>0</v>
      </c>
      <c r="AK126" s="24">
        <f t="shared" si="113"/>
        <v>0</v>
      </c>
      <c r="AL126" s="24">
        <f t="shared" si="114"/>
        <v>0</v>
      </c>
      <c r="AN126" s="24">
        <v>12</v>
      </c>
      <c r="AO126" s="24">
        <f>G126*0.302952756</f>
        <v>0</v>
      </c>
      <c r="AP126" s="24">
        <f>G126*(1-0.302952756)</f>
        <v>0</v>
      </c>
      <c r="AQ126" s="26" t="s">
        <v>54</v>
      </c>
      <c r="AV126" s="24">
        <f t="shared" si="115"/>
        <v>0</v>
      </c>
      <c r="AW126" s="24">
        <f t="shared" si="116"/>
        <v>0</v>
      </c>
      <c r="AX126" s="24">
        <f t="shared" si="117"/>
        <v>0</v>
      </c>
      <c r="AY126" s="26" t="s">
        <v>393</v>
      </c>
      <c r="AZ126" s="26" t="s">
        <v>394</v>
      </c>
      <c r="BA126" s="9" t="s">
        <v>60</v>
      </c>
      <c r="BC126" s="24">
        <f t="shared" si="118"/>
        <v>0</v>
      </c>
      <c r="BD126" s="24">
        <f t="shared" si="119"/>
        <v>0</v>
      </c>
      <c r="BE126" s="24">
        <v>0</v>
      </c>
      <c r="BF126" s="24">
        <f t="shared" si="120"/>
        <v>0</v>
      </c>
      <c r="BH126" s="24">
        <f t="shared" si="121"/>
        <v>0</v>
      </c>
      <c r="BI126" s="24">
        <f t="shared" si="122"/>
        <v>0</v>
      </c>
      <c r="BJ126" s="24">
        <f t="shared" si="123"/>
        <v>0</v>
      </c>
      <c r="BK126" s="24"/>
      <c r="BL126" s="24">
        <v>83</v>
      </c>
      <c r="BW126" s="24">
        <v>12</v>
      </c>
      <c r="BX126" s="4" t="s">
        <v>399</v>
      </c>
    </row>
    <row r="127" spans="1:76" ht="14.4" x14ac:dyDescent="0.3">
      <c r="A127" s="2" t="s">
        <v>400</v>
      </c>
      <c r="B127" s="3" t="s">
        <v>401</v>
      </c>
      <c r="C127" s="76" t="s">
        <v>402</v>
      </c>
      <c r="D127" s="71"/>
      <c r="E127" s="3" t="s">
        <v>75</v>
      </c>
      <c r="F127" s="24">
        <v>27</v>
      </c>
      <c r="G127" s="24">
        <v>0</v>
      </c>
      <c r="H127" s="24">
        <f t="shared" si="100"/>
        <v>0</v>
      </c>
      <c r="I127" s="24">
        <f t="shared" si="101"/>
        <v>0</v>
      </c>
      <c r="J127" s="24">
        <f t="shared" si="102"/>
        <v>0</v>
      </c>
      <c r="K127" s="24">
        <v>0</v>
      </c>
      <c r="L127" s="25">
        <f t="shared" si="103"/>
        <v>0</v>
      </c>
      <c r="Z127" s="24">
        <f t="shared" si="104"/>
        <v>0</v>
      </c>
      <c r="AB127" s="24">
        <f t="shared" si="105"/>
        <v>0</v>
      </c>
      <c r="AC127" s="24">
        <f t="shared" si="106"/>
        <v>0</v>
      </c>
      <c r="AD127" s="24">
        <f t="shared" si="107"/>
        <v>0</v>
      </c>
      <c r="AE127" s="24">
        <f t="shared" si="108"/>
        <v>0</v>
      </c>
      <c r="AF127" s="24">
        <f t="shared" si="109"/>
        <v>0</v>
      </c>
      <c r="AG127" s="24">
        <f t="shared" si="110"/>
        <v>0</v>
      </c>
      <c r="AH127" s="24">
        <f t="shared" si="111"/>
        <v>0</v>
      </c>
      <c r="AI127" s="9" t="s">
        <v>51</v>
      </c>
      <c r="AJ127" s="24">
        <f t="shared" si="112"/>
        <v>0</v>
      </c>
      <c r="AK127" s="24">
        <f t="shared" si="113"/>
        <v>0</v>
      </c>
      <c r="AL127" s="24">
        <f t="shared" si="114"/>
        <v>0</v>
      </c>
      <c r="AN127" s="24">
        <v>12</v>
      </c>
      <c r="AO127" s="24">
        <f>G127*0</f>
        <v>0</v>
      </c>
      <c r="AP127" s="24">
        <f>G127*(1-0)</f>
        <v>0</v>
      </c>
      <c r="AQ127" s="26" t="s">
        <v>54</v>
      </c>
      <c r="AV127" s="24">
        <f t="shared" si="115"/>
        <v>0</v>
      </c>
      <c r="AW127" s="24">
        <f t="shared" si="116"/>
        <v>0</v>
      </c>
      <c r="AX127" s="24">
        <f t="shared" si="117"/>
        <v>0</v>
      </c>
      <c r="AY127" s="26" t="s">
        <v>393</v>
      </c>
      <c r="AZ127" s="26" t="s">
        <v>394</v>
      </c>
      <c r="BA127" s="9" t="s">
        <v>60</v>
      </c>
      <c r="BC127" s="24">
        <f t="shared" si="118"/>
        <v>0</v>
      </c>
      <c r="BD127" s="24">
        <f t="shared" si="119"/>
        <v>0</v>
      </c>
      <c r="BE127" s="24">
        <v>0</v>
      </c>
      <c r="BF127" s="24">
        <f t="shared" si="120"/>
        <v>0</v>
      </c>
      <c r="BH127" s="24">
        <f t="shared" si="121"/>
        <v>0</v>
      </c>
      <c r="BI127" s="24">
        <f t="shared" si="122"/>
        <v>0</v>
      </c>
      <c r="BJ127" s="24">
        <f t="shared" si="123"/>
        <v>0</v>
      </c>
      <c r="BK127" s="24"/>
      <c r="BL127" s="24">
        <v>83</v>
      </c>
      <c r="BW127" s="24">
        <v>12</v>
      </c>
      <c r="BX127" s="4" t="s">
        <v>402</v>
      </c>
    </row>
    <row r="128" spans="1:76" ht="14.4" x14ac:dyDescent="0.3">
      <c r="A128" s="2" t="s">
        <v>403</v>
      </c>
      <c r="B128" s="3" t="s">
        <v>404</v>
      </c>
      <c r="C128" s="76" t="s">
        <v>405</v>
      </c>
      <c r="D128" s="71"/>
      <c r="E128" s="3" t="s">
        <v>57</v>
      </c>
      <c r="F128" s="24">
        <v>2</v>
      </c>
      <c r="G128" s="24">
        <v>0</v>
      </c>
      <c r="H128" s="24">
        <f t="shared" si="100"/>
        <v>0</v>
      </c>
      <c r="I128" s="24">
        <f t="shared" si="101"/>
        <v>0</v>
      </c>
      <c r="J128" s="24">
        <f t="shared" si="102"/>
        <v>0</v>
      </c>
      <c r="K128" s="24">
        <v>2.0199999999999999E-2</v>
      </c>
      <c r="L128" s="25">
        <f t="shared" si="103"/>
        <v>4.0399999999999998E-2</v>
      </c>
      <c r="Z128" s="24">
        <f t="shared" si="104"/>
        <v>0</v>
      </c>
      <c r="AB128" s="24">
        <f t="shared" si="105"/>
        <v>0</v>
      </c>
      <c r="AC128" s="24">
        <f t="shared" si="106"/>
        <v>0</v>
      </c>
      <c r="AD128" s="24">
        <f t="shared" si="107"/>
        <v>0</v>
      </c>
      <c r="AE128" s="24">
        <f t="shared" si="108"/>
        <v>0</v>
      </c>
      <c r="AF128" s="24">
        <f t="shared" si="109"/>
        <v>0</v>
      </c>
      <c r="AG128" s="24">
        <f t="shared" si="110"/>
        <v>0</v>
      </c>
      <c r="AH128" s="24">
        <f t="shared" si="111"/>
        <v>0</v>
      </c>
      <c r="AI128" s="9" t="s">
        <v>51</v>
      </c>
      <c r="AJ128" s="24">
        <f t="shared" si="112"/>
        <v>0</v>
      </c>
      <c r="AK128" s="24">
        <f t="shared" si="113"/>
        <v>0</v>
      </c>
      <c r="AL128" s="24">
        <f t="shared" si="114"/>
        <v>0</v>
      </c>
      <c r="AN128" s="24">
        <v>12</v>
      </c>
      <c r="AO128" s="24">
        <f>G128*0.858243243</f>
        <v>0</v>
      </c>
      <c r="AP128" s="24">
        <f>G128*(1-0.858243243)</f>
        <v>0</v>
      </c>
      <c r="AQ128" s="26" t="s">
        <v>54</v>
      </c>
      <c r="AV128" s="24">
        <f t="shared" si="115"/>
        <v>0</v>
      </c>
      <c r="AW128" s="24">
        <f t="shared" si="116"/>
        <v>0</v>
      </c>
      <c r="AX128" s="24">
        <f t="shared" si="117"/>
        <v>0</v>
      </c>
      <c r="AY128" s="26" t="s">
        <v>393</v>
      </c>
      <c r="AZ128" s="26" t="s">
        <v>394</v>
      </c>
      <c r="BA128" s="9" t="s">
        <v>60</v>
      </c>
      <c r="BC128" s="24">
        <f t="shared" si="118"/>
        <v>0</v>
      </c>
      <c r="BD128" s="24">
        <f t="shared" si="119"/>
        <v>0</v>
      </c>
      <c r="BE128" s="24">
        <v>0</v>
      </c>
      <c r="BF128" s="24">
        <f t="shared" si="120"/>
        <v>4.0399999999999998E-2</v>
      </c>
      <c r="BH128" s="24">
        <f t="shared" si="121"/>
        <v>0</v>
      </c>
      <c r="BI128" s="24">
        <f t="shared" si="122"/>
        <v>0</v>
      </c>
      <c r="BJ128" s="24">
        <f t="shared" si="123"/>
        <v>0</v>
      </c>
      <c r="BK128" s="24"/>
      <c r="BL128" s="24">
        <v>83</v>
      </c>
      <c r="BW128" s="24">
        <v>12</v>
      </c>
      <c r="BX128" s="4" t="s">
        <v>405</v>
      </c>
    </row>
    <row r="129" spans="1:76" ht="14.4" x14ac:dyDescent="0.3">
      <c r="A129" s="2" t="s">
        <v>406</v>
      </c>
      <c r="B129" s="3" t="s">
        <v>407</v>
      </c>
      <c r="C129" s="76" t="s">
        <v>408</v>
      </c>
      <c r="D129" s="71"/>
      <c r="E129" s="3" t="s">
        <v>409</v>
      </c>
      <c r="F129" s="24">
        <v>1</v>
      </c>
      <c r="G129" s="24">
        <v>0</v>
      </c>
      <c r="H129" s="24">
        <f t="shared" si="100"/>
        <v>0</v>
      </c>
      <c r="I129" s="24">
        <f t="shared" si="101"/>
        <v>0</v>
      </c>
      <c r="J129" s="24">
        <f t="shared" si="102"/>
        <v>0</v>
      </c>
      <c r="K129" s="24">
        <v>1.2999999999999999E-4</v>
      </c>
      <c r="L129" s="25">
        <f t="shared" si="103"/>
        <v>1.2999999999999999E-4</v>
      </c>
      <c r="Z129" s="24">
        <f t="shared" si="104"/>
        <v>0</v>
      </c>
      <c r="AB129" s="24">
        <f t="shared" si="105"/>
        <v>0</v>
      </c>
      <c r="AC129" s="24">
        <f t="shared" si="106"/>
        <v>0</v>
      </c>
      <c r="AD129" s="24">
        <f t="shared" si="107"/>
        <v>0</v>
      </c>
      <c r="AE129" s="24">
        <f t="shared" si="108"/>
        <v>0</v>
      </c>
      <c r="AF129" s="24">
        <f t="shared" si="109"/>
        <v>0</v>
      </c>
      <c r="AG129" s="24">
        <f t="shared" si="110"/>
        <v>0</v>
      </c>
      <c r="AH129" s="24">
        <f t="shared" si="111"/>
        <v>0</v>
      </c>
      <c r="AI129" s="9" t="s">
        <v>51</v>
      </c>
      <c r="AJ129" s="24">
        <f t="shared" si="112"/>
        <v>0</v>
      </c>
      <c r="AK129" s="24">
        <f t="shared" si="113"/>
        <v>0</v>
      </c>
      <c r="AL129" s="24">
        <f t="shared" si="114"/>
        <v>0</v>
      </c>
      <c r="AN129" s="24">
        <v>12</v>
      </c>
      <c r="AO129" s="24">
        <f>G129*0.093144828</f>
        <v>0</v>
      </c>
      <c r="AP129" s="24">
        <f>G129*(1-0.093144828)</f>
        <v>0</v>
      </c>
      <c r="AQ129" s="26" t="s">
        <v>54</v>
      </c>
      <c r="AV129" s="24">
        <f t="shared" si="115"/>
        <v>0</v>
      </c>
      <c r="AW129" s="24">
        <f t="shared" si="116"/>
        <v>0</v>
      </c>
      <c r="AX129" s="24">
        <f t="shared" si="117"/>
        <v>0</v>
      </c>
      <c r="AY129" s="26" t="s">
        <v>393</v>
      </c>
      <c r="AZ129" s="26" t="s">
        <v>394</v>
      </c>
      <c r="BA129" s="9" t="s">
        <v>60</v>
      </c>
      <c r="BC129" s="24">
        <f t="shared" si="118"/>
        <v>0</v>
      </c>
      <c r="BD129" s="24">
        <f t="shared" si="119"/>
        <v>0</v>
      </c>
      <c r="BE129" s="24">
        <v>0</v>
      </c>
      <c r="BF129" s="24">
        <f t="shared" si="120"/>
        <v>1.2999999999999999E-4</v>
      </c>
      <c r="BH129" s="24">
        <f t="shared" si="121"/>
        <v>0</v>
      </c>
      <c r="BI129" s="24">
        <f t="shared" si="122"/>
        <v>0</v>
      </c>
      <c r="BJ129" s="24">
        <f t="shared" si="123"/>
        <v>0</v>
      </c>
      <c r="BK129" s="24"/>
      <c r="BL129" s="24">
        <v>83</v>
      </c>
      <c r="BW129" s="24">
        <v>12</v>
      </c>
      <c r="BX129" s="4" t="s">
        <v>408</v>
      </c>
    </row>
    <row r="130" spans="1:76" ht="14.4" x14ac:dyDescent="0.3">
      <c r="A130" s="2" t="s">
        <v>410</v>
      </c>
      <c r="B130" s="3" t="s">
        <v>411</v>
      </c>
      <c r="C130" s="76" t="s">
        <v>412</v>
      </c>
      <c r="D130" s="71"/>
      <c r="E130" s="3" t="s">
        <v>75</v>
      </c>
      <c r="F130" s="24">
        <v>27</v>
      </c>
      <c r="G130" s="24">
        <v>0</v>
      </c>
      <c r="H130" s="24">
        <f t="shared" si="100"/>
        <v>0</v>
      </c>
      <c r="I130" s="24">
        <f t="shared" si="101"/>
        <v>0</v>
      </c>
      <c r="J130" s="24">
        <f t="shared" si="102"/>
        <v>0</v>
      </c>
      <c r="K130" s="24">
        <v>0</v>
      </c>
      <c r="L130" s="25">
        <f t="shared" si="103"/>
        <v>0</v>
      </c>
      <c r="Z130" s="24">
        <f t="shared" si="104"/>
        <v>0</v>
      </c>
      <c r="AB130" s="24">
        <f t="shared" si="105"/>
        <v>0</v>
      </c>
      <c r="AC130" s="24">
        <f t="shared" si="106"/>
        <v>0</v>
      </c>
      <c r="AD130" s="24">
        <f t="shared" si="107"/>
        <v>0</v>
      </c>
      <c r="AE130" s="24">
        <f t="shared" si="108"/>
        <v>0</v>
      </c>
      <c r="AF130" s="24">
        <f t="shared" si="109"/>
        <v>0</v>
      </c>
      <c r="AG130" s="24">
        <f t="shared" si="110"/>
        <v>0</v>
      </c>
      <c r="AH130" s="24">
        <f t="shared" si="111"/>
        <v>0</v>
      </c>
      <c r="AI130" s="9" t="s">
        <v>51</v>
      </c>
      <c r="AJ130" s="24">
        <f t="shared" si="112"/>
        <v>0</v>
      </c>
      <c r="AK130" s="24">
        <f t="shared" si="113"/>
        <v>0</v>
      </c>
      <c r="AL130" s="24">
        <f t="shared" si="114"/>
        <v>0</v>
      </c>
      <c r="AN130" s="24">
        <v>12</v>
      </c>
      <c r="AO130" s="24">
        <f>G130*0.054402985</f>
        <v>0</v>
      </c>
      <c r="AP130" s="24">
        <f>G130*(1-0.054402985)</f>
        <v>0</v>
      </c>
      <c r="AQ130" s="26" t="s">
        <v>54</v>
      </c>
      <c r="AV130" s="24">
        <f t="shared" si="115"/>
        <v>0</v>
      </c>
      <c r="AW130" s="24">
        <f t="shared" si="116"/>
        <v>0</v>
      </c>
      <c r="AX130" s="24">
        <f t="shared" si="117"/>
        <v>0</v>
      </c>
      <c r="AY130" s="26" t="s">
        <v>393</v>
      </c>
      <c r="AZ130" s="26" t="s">
        <v>394</v>
      </c>
      <c r="BA130" s="9" t="s">
        <v>60</v>
      </c>
      <c r="BC130" s="24">
        <f t="shared" si="118"/>
        <v>0</v>
      </c>
      <c r="BD130" s="24">
        <f t="shared" si="119"/>
        <v>0</v>
      </c>
      <c r="BE130" s="24">
        <v>0</v>
      </c>
      <c r="BF130" s="24">
        <f t="shared" si="120"/>
        <v>0</v>
      </c>
      <c r="BH130" s="24">
        <f t="shared" si="121"/>
        <v>0</v>
      </c>
      <c r="BI130" s="24">
        <f t="shared" si="122"/>
        <v>0</v>
      </c>
      <c r="BJ130" s="24">
        <f t="shared" si="123"/>
        <v>0</v>
      </c>
      <c r="BK130" s="24"/>
      <c r="BL130" s="24">
        <v>83</v>
      </c>
      <c r="BW130" s="24">
        <v>12</v>
      </c>
      <c r="BX130" s="4" t="s">
        <v>412</v>
      </c>
    </row>
    <row r="131" spans="1:76" ht="14.4" x14ac:dyDescent="0.3">
      <c r="A131" s="27" t="s">
        <v>51</v>
      </c>
      <c r="B131" s="28" t="s">
        <v>338</v>
      </c>
      <c r="C131" s="94" t="s">
        <v>413</v>
      </c>
      <c r="D131" s="95"/>
      <c r="E131" s="29" t="s">
        <v>18</v>
      </c>
      <c r="F131" s="29" t="s">
        <v>18</v>
      </c>
      <c r="G131" s="29" t="s">
        <v>18</v>
      </c>
      <c r="H131" s="1">
        <f>SUM(H132:H132)</f>
        <v>0</v>
      </c>
      <c r="I131" s="1">
        <f>SUM(I132:I132)</f>
        <v>0</v>
      </c>
      <c r="J131" s="1">
        <f>SUM(J132:J132)</f>
        <v>0</v>
      </c>
      <c r="K131" s="9" t="s">
        <v>51</v>
      </c>
      <c r="L131" s="30">
        <f>SUM(L132:L132)</f>
        <v>0</v>
      </c>
      <c r="AI131" s="9" t="s">
        <v>51</v>
      </c>
      <c r="AS131" s="1">
        <f>SUM(AJ132:AJ132)</f>
        <v>0</v>
      </c>
      <c r="AT131" s="1">
        <f>SUM(AK132:AK132)</f>
        <v>0</v>
      </c>
      <c r="AU131" s="1">
        <f>SUM(AL132:AL132)</f>
        <v>0</v>
      </c>
    </row>
    <row r="132" spans="1:76" ht="14.4" x14ac:dyDescent="0.3">
      <c r="A132" s="2" t="s">
        <v>414</v>
      </c>
      <c r="B132" s="3" t="s">
        <v>415</v>
      </c>
      <c r="C132" s="76" t="s">
        <v>416</v>
      </c>
      <c r="D132" s="71"/>
      <c r="E132" s="3" t="s">
        <v>417</v>
      </c>
      <c r="F132" s="24">
        <v>36</v>
      </c>
      <c r="G132" s="24">
        <v>0</v>
      </c>
      <c r="H132" s="24">
        <f>ROUND(F132*AO132,2)</f>
        <v>0</v>
      </c>
      <c r="I132" s="24">
        <f>ROUND(F132*AP132,2)</f>
        <v>0</v>
      </c>
      <c r="J132" s="24">
        <f>ROUND(F132*G132,2)</f>
        <v>0</v>
      </c>
      <c r="K132" s="24">
        <v>0</v>
      </c>
      <c r="L132" s="25">
        <f>F132*K132</f>
        <v>0</v>
      </c>
      <c r="Z132" s="24">
        <f>ROUND(IF(AQ132="5",BJ132,0),2)</f>
        <v>0</v>
      </c>
      <c r="AB132" s="24">
        <f>ROUND(IF(AQ132="1",BH132,0),2)</f>
        <v>0</v>
      </c>
      <c r="AC132" s="24">
        <f>ROUND(IF(AQ132="1",BI132,0),2)</f>
        <v>0</v>
      </c>
      <c r="AD132" s="24">
        <f>ROUND(IF(AQ132="7",BH132,0),2)</f>
        <v>0</v>
      </c>
      <c r="AE132" s="24">
        <f>ROUND(IF(AQ132="7",BI132,0),2)</f>
        <v>0</v>
      </c>
      <c r="AF132" s="24">
        <f>ROUND(IF(AQ132="2",BH132,0),2)</f>
        <v>0</v>
      </c>
      <c r="AG132" s="24">
        <f>ROUND(IF(AQ132="2",BI132,0),2)</f>
        <v>0</v>
      </c>
      <c r="AH132" s="24">
        <f>ROUND(IF(AQ132="0",BJ132,0),2)</f>
        <v>0</v>
      </c>
      <c r="AI132" s="9" t="s">
        <v>51</v>
      </c>
      <c r="AJ132" s="24">
        <f>IF(AN132=0,J132,0)</f>
        <v>0</v>
      </c>
      <c r="AK132" s="24">
        <f>IF(AN132=12,J132,0)</f>
        <v>0</v>
      </c>
      <c r="AL132" s="24">
        <f>IF(AN132=21,J132,0)</f>
        <v>0</v>
      </c>
      <c r="AN132" s="24">
        <v>12</v>
      </c>
      <c r="AO132" s="24">
        <f>G132*0</f>
        <v>0</v>
      </c>
      <c r="AP132" s="24">
        <f>G132*(1-0)</f>
        <v>0</v>
      </c>
      <c r="AQ132" s="26" t="s">
        <v>54</v>
      </c>
      <c r="AV132" s="24">
        <f>ROUND(AW132+AX132,2)</f>
        <v>0</v>
      </c>
      <c r="AW132" s="24">
        <f>ROUND(F132*AO132,2)</f>
        <v>0</v>
      </c>
      <c r="AX132" s="24">
        <f>ROUND(F132*AP132,2)</f>
        <v>0</v>
      </c>
      <c r="AY132" s="26" t="s">
        <v>418</v>
      </c>
      <c r="AZ132" s="26" t="s">
        <v>419</v>
      </c>
      <c r="BA132" s="9" t="s">
        <v>60</v>
      </c>
      <c r="BC132" s="24">
        <f>AW132+AX132</f>
        <v>0</v>
      </c>
      <c r="BD132" s="24">
        <f>G132/(100-BE132)*100</f>
        <v>0</v>
      </c>
      <c r="BE132" s="24">
        <v>0</v>
      </c>
      <c r="BF132" s="24">
        <f>L132</f>
        <v>0</v>
      </c>
      <c r="BH132" s="24">
        <f>F132*AO132</f>
        <v>0</v>
      </c>
      <c r="BI132" s="24">
        <f>F132*AP132</f>
        <v>0</v>
      </c>
      <c r="BJ132" s="24">
        <f>F132*G132</f>
        <v>0</v>
      </c>
      <c r="BK132" s="24"/>
      <c r="BL132" s="24">
        <v>90</v>
      </c>
      <c r="BW132" s="24">
        <v>12</v>
      </c>
      <c r="BX132" s="4" t="s">
        <v>416</v>
      </c>
    </row>
    <row r="133" spans="1:76" ht="14.4" x14ac:dyDescent="0.3">
      <c r="A133" s="27" t="s">
        <v>51</v>
      </c>
      <c r="B133" s="28" t="s">
        <v>359</v>
      </c>
      <c r="C133" s="94" t="s">
        <v>420</v>
      </c>
      <c r="D133" s="95"/>
      <c r="E133" s="29" t="s">
        <v>18</v>
      </c>
      <c r="F133" s="29" t="s">
        <v>18</v>
      </c>
      <c r="G133" s="29" t="s">
        <v>18</v>
      </c>
      <c r="H133" s="1">
        <f>SUM(H134:H138)</f>
        <v>0</v>
      </c>
      <c r="I133" s="1">
        <f>SUM(I134:I138)</f>
        <v>0</v>
      </c>
      <c r="J133" s="1">
        <f>SUM(J134:J138)</f>
        <v>0</v>
      </c>
      <c r="K133" s="9" t="s">
        <v>51</v>
      </c>
      <c r="L133" s="30">
        <f>SUM(L134:L138)</f>
        <v>0.75165999999999999</v>
      </c>
      <c r="AI133" s="9" t="s">
        <v>51</v>
      </c>
      <c r="AS133" s="1">
        <f>SUM(AJ134:AJ138)</f>
        <v>0</v>
      </c>
      <c r="AT133" s="1">
        <f>SUM(AK134:AK138)</f>
        <v>0</v>
      </c>
      <c r="AU133" s="1">
        <f>SUM(AL134:AL138)</f>
        <v>0</v>
      </c>
    </row>
    <row r="134" spans="1:76" ht="14.4" x14ac:dyDescent="0.3">
      <c r="A134" s="2" t="s">
        <v>421</v>
      </c>
      <c r="B134" s="3" t="s">
        <v>422</v>
      </c>
      <c r="C134" s="76" t="s">
        <v>423</v>
      </c>
      <c r="D134" s="71"/>
      <c r="E134" s="3" t="s">
        <v>57</v>
      </c>
      <c r="F134" s="24">
        <v>1</v>
      </c>
      <c r="G134" s="24">
        <v>0</v>
      </c>
      <c r="H134" s="24">
        <f>ROUND(F134*AO134,2)</f>
        <v>0</v>
      </c>
      <c r="I134" s="24">
        <f>ROUND(F134*AP134,2)</f>
        <v>0</v>
      </c>
      <c r="J134" s="24">
        <f>ROUND(F134*G134,2)</f>
        <v>0</v>
      </c>
      <c r="K134" s="24">
        <v>0.11333</v>
      </c>
      <c r="L134" s="25">
        <f>F134*K134</f>
        <v>0.11333</v>
      </c>
      <c r="Z134" s="24">
        <f>ROUND(IF(AQ134="5",BJ134,0),2)</f>
        <v>0</v>
      </c>
      <c r="AB134" s="24">
        <f>ROUND(IF(AQ134="1",BH134,0),2)</f>
        <v>0</v>
      </c>
      <c r="AC134" s="24">
        <f>ROUND(IF(AQ134="1",BI134,0),2)</f>
        <v>0</v>
      </c>
      <c r="AD134" s="24">
        <f>ROUND(IF(AQ134="7",BH134,0),2)</f>
        <v>0</v>
      </c>
      <c r="AE134" s="24">
        <f>ROUND(IF(AQ134="7",BI134,0),2)</f>
        <v>0</v>
      </c>
      <c r="AF134" s="24">
        <f>ROUND(IF(AQ134="2",BH134,0),2)</f>
        <v>0</v>
      </c>
      <c r="AG134" s="24">
        <f>ROUND(IF(AQ134="2",BI134,0),2)</f>
        <v>0</v>
      </c>
      <c r="AH134" s="24">
        <f>ROUND(IF(AQ134="0",BJ134,0),2)</f>
        <v>0</v>
      </c>
      <c r="AI134" s="9" t="s">
        <v>51</v>
      </c>
      <c r="AJ134" s="24">
        <f>IF(AN134=0,J134,0)</f>
        <v>0</v>
      </c>
      <c r="AK134" s="24">
        <f>IF(AN134=12,J134,0)</f>
        <v>0</v>
      </c>
      <c r="AL134" s="24">
        <f>IF(AN134=21,J134,0)</f>
        <v>0</v>
      </c>
      <c r="AN134" s="24">
        <v>12</v>
      </c>
      <c r="AO134" s="24">
        <f>G134*0.041165254</f>
        <v>0</v>
      </c>
      <c r="AP134" s="24">
        <f>G134*(1-0.041165254)</f>
        <v>0</v>
      </c>
      <c r="AQ134" s="26" t="s">
        <v>54</v>
      </c>
      <c r="AV134" s="24">
        <f>ROUND(AW134+AX134,2)</f>
        <v>0</v>
      </c>
      <c r="AW134" s="24">
        <f>ROUND(F134*AO134,2)</f>
        <v>0</v>
      </c>
      <c r="AX134" s="24">
        <f>ROUND(F134*AP134,2)</f>
        <v>0</v>
      </c>
      <c r="AY134" s="26" t="s">
        <v>424</v>
      </c>
      <c r="AZ134" s="26" t="s">
        <v>419</v>
      </c>
      <c r="BA134" s="9" t="s">
        <v>60</v>
      </c>
      <c r="BC134" s="24">
        <f>AW134+AX134</f>
        <v>0</v>
      </c>
      <c r="BD134" s="24">
        <f>G134/(100-BE134)*100</f>
        <v>0</v>
      </c>
      <c r="BE134" s="24">
        <v>0</v>
      </c>
      <c r="BF134" s="24">
        <f>L134</f>
        <v>0.11333</v>
      </c>
      <c r="BH134" s="24">
        <f>F134*AO134</f>
        <v>0</v>
      </c>
      <c r="BI134" s="24">
        <f>F134*AP134</f>
        <v>0</v>
      </c>
      <c r="BJ134" s="24">
        <f>F134*G134</f>
        <v>0</v>
      </c>
      <c r="BK134" s="24"/>
      <c r="BL134" s="24">
        <v>97</v>
      </c>
      <c r="BW134" s="24">
        <v>12</v>
      </c>
      <c r="BX134" s="4" t="s">
        <v>423</v>
      </c>
    </row>
    <row r="135" spans="1:76" ht="14.4" x14ac:dyDescent="0.3">
      <c r="A135" s="2" t="s">
        <v>425</v>
      </c>
      <c r="B135" s="3" t="s">
        <v>426</v>
      </c>
      <c r="C135" s="76" t="s">
        <v>427</v>
      </c>
      <c r="D135" s="71"/>
      <c r="E135" s="3" t="s">
        <v>57</v>
      </c>
      <c r="F135" s="24">
        <v>1</v>
      </c>
      <c r="G135" s="24">
        <v>0</v>
      </c>
      <c r="H135" s="24">
        <f>ROUND(F135*AO135,2)</f>
        <v>0</v>
      </c>
      <c r="I135" s="24">
        <f>ROUND(F135*AP135,2)</f>
        <v>0</v>
      </c>
      <c r="J135" s="24">
        <f>ROUND(F135*G135,2)</f>
        <v>0</v>
      </c>
      <c r="K135" s="24">
        <v>2.8340000000000001E-2</v>
      </c>
      <c r="L135" s="25">
        <f>F135*K135</f>
        <v>2.8340000000000001E-2</v>
      </c>
      <c r="Z135" s="24">
        <f>ROUND(IF(AQ135="5",BJ135,0),2)</f>
        <v>0</v>
      </c>
      <c r="AB135" s="24">
        <f>ROUND(IF(AQ135="1",BH135,0),2)</f>
        <v>0</v>
      </c>
      <c r="AC135" s="24">
        <f>ROUND(IF(AQ135="1",BI135,0),2)</f>
        <v>0</v>
      </c>
      <c r="AD135" s="24">
        <f>ROUND(IF(AQ135="7",BH135,0),2)</f>
        <v>0</v>
      </c>
      <c r="AE135" s="24">
        <f>ROUND(IF(AQ135="7",BI135,0),2)</f>
        <v>0</v>
      </c>
      <c r="AF135" s="24">
        <f>ROUND(IF(AQ135="2",BH135,0),2)</f>
        <v>0</v>
      </c>
      <c r="AG135" s="24">
        <f>ROUND(IF(AQ135="2",BI135,0),2)</f>
        <v>0</v>
      </c>
      <c r="AH135" s="24">
        <f>ROUND(IF(AQ135="0",BJ135,0),2)</f>
        <v>0</v>
      </c>
      <c r="AI135" s="9" t="s">
        <v>51</v>
      </c>
      <c r="AJ135" s="24">
        <f>IF(AN135=0,J135,0)</f>
        <v>0</v>
      </c>
      <c r="AK135" s="24">
        <f>IF(AN135=12,J135,0)</f>
        <v>0</v>
      </c>
      <c r="AL135" s="24">
        <f>IF(AN135=21,J135,0)</f>
        <v>0</v>
      </c>
      <c r="AN135" s="24">
        <v>12</v>
      </c>
      <c r="AO135" s="24">
        <f>G135*0.066530612</f>
        <v>0</v>
      </c>
      <c r="AP135" s="24">
        <f>G135*(1-0.066530612)</f>
        <v>0</v>
      </c>
      <c r="AQ135" s="26" t="s">
        <v>54</v>
      </c>
      <c r="AV135" s="24">
        <f>ROUND(AW135+AX135,2)</f>
        <v>0</v>
      </c>
      <c r="AW135" s="24">
        <f>ROUND(F135*AO135,2)</f>
        <v>0</v>
      </c>
      <c r="AX135" s="24">
        <f>ROUND(F135*AP135,2)</f>
        <v>0</v>
      </c>
      <c r="AY135" s="26" t="s">
        <v>424</v>
      </c>
      <c r="AZ135" s="26" t="s">
        <v>419</v>
      </c>
      <c r="BA135" s="9" t="s">
        <v>60</v>
      </c>
      <c r="BC135" s="24">
        <f>AW135+AX135</f>
        <v>0</v>
      </c>
      <c r="BD135" s="24">
        <f>G135/(100-BE135)*100</f>
        <v>0</v>
      </c>
      <c r="BE135" s="24">
        <v>0</v>
      </c>
      <c r="BF135" s="24">
        <f>L135</f>
        <v>2.8340000000000001E-2</v>
      </c>
      <c r="BH135" s="24">
        <f>F135*AO135</f>
        <v>0</v>
      </c>
      <c r="BI135" s="24">
        <f>F135*AP135</f>
        <v>0</v>
      </c>
      <c r="BJ135" s="24">
        <f>F135*G135</f>
        <v>0</v>
      </c>
      <c r="BK135" s="24"/>
      <c r="BL135" s="24">
        <v>97</v>
      </c>
      <c r="BW135" s="24">
        <v>12</v>
      </c>
      <c r="BX135" s="4" t="s">
        <v>427</v>
      </c>
    </row>
    <row r="136" spans="1:76" ht="14.4" x14ac:dyDescent="0.3">
      <c r="A136" s="2" t="s">
        <v>428</v>
      </c>
      <c r="B136" s="3" t="s">
        <v>429</v>
      </c>
      <c r="C136" s="76" t="s">
        <v>430</v>
      </c>
      <c r="D136" s="71"/>
      <c r="E136" s="3" t="s">
        <v>57</v>
      </c>
      <c r="F136" s="24">
        <v>4</v>
      </c>
      <c r="G136" s="24">
        <v>0</v>
      </c>
      <c r="H136" s="24">
        <f>ROUND(F136*AO136,2)</f>
        <v>0</v>
      </c>
      <c r="I136" s="24">
        <f>ROUND(F136*AP136,2)</f>
        <v>0</v>
      </c>
      <c r="J136" s="24">
        <f>ROUND(F136*G136,2)</f>
        <v>0</v>
      </c>
      <c r="K136" s="24">
        <v>3.2000000000000001E-2</v>
      </c>
      <c r="L136" s="25">
        <f>F136*K136</f>
        <v>0.128</v>
      </c>
      <c r="Z136" s="24">
        <f>ROUND(IF(AQ136="5",BJ136,0),2)</f>
        <v>0</v>
      </c>
      <c r="AB136" s="24">
        <f>ROUND(IF(AQ136="1",BH136,0),2)</f>
        <v>0</v>
      </c>
      <c r="AC136" s="24">
        <f>ROUND(IF(AQ136="1",BI136,0),2)</f>
        <v>0</v>
      </c>
      <c r="AD136" s="24">
        <f>ROUND(IF(AQ136="7",BH136,0),2)</f>
        <v>0</v>
      </c>
      <c r="AE136" s="24">
        <f>ROUND(IF(AQ136="7",BI136,0),2)</f>
        <v>0</v>
      </c>
      <c r="AF136" s="24">
        <f>ROUND(IF(AQ136="2",BH136,0),2)</f>
        <v>0</v>
      </c>
      <c r="AG136" s="24">
        <f>ROUND(IF(AQ136="2",BI136,0),2)</f>
        <v>0</v>
      </c>
      <c r="AH136" s="24">
        <f>ROUND(IF(AQ136="0",BJ136,0),2)</f>
        <v>0</v>
      </c>
      <c r="AI136" s="9" t="s">
        <v>51</v>
      </c>
      <c r="AJ136" s="24">
        <f>IF(AN136=0,J136,0)</f>
        <v>0</v>
      </c>
      <c r="AK136" s="24">
        <f>IF(AN136=12,J136,0)</f>
        <v>0</v>
      </c>
      <c r="AL136" s="24">
        <f>IF(AN136=21,J136,0)</f>
        <v>0</v>
      </c>
      <c r="AN136" s="24">
        <v>12</v>
      </c>
      <c r="AO136" s="24">
        <f>G136*0</f>
        <v>0</v>
      </c>
      <c r="AP136" s="24">
        <f>G136*(1-0)</f>
        <v>0</v>
      </c>
      <c r="AQ136" s="26" t="s">
        <v>54</v>
      </c>
      <c r="AV136" s="24">
        <f>ROUND(AW136+AX136,2)</f>
        <v>0</v>
      </c>
      <c r="AW136" s="24">
        <f>ROUND(F136*AO136,2)</f>
        <v>0</v>
      </c>
      <c r="AX136" s="24">
        <f>ROUND(F136*AP136,2)</f>
        <v>0</v>
      </c>
      <c r="AY136" s="26" t="s">
        <v>424</v>
      </c>
      <c r="AZ136" s="26" t="s">
        <v>419</v>
      </c>
      <c r="BA136" s="9" t="s">
        <v>60</v>
      </c>
      <c r="BC136" s="24">
        <f>AW136+AX136</f>
        <v>0</v>
      </c>
      <c r="BD136" s="24">
        <f>G136/(100-BE136)*100</f>
        <v>0</v>
      </c>
      <c r="BE136" s="24">
        <v>0</v>
      </c>
      <c r="BF136" s="24">
        <f>L136</f>
        <v>0.128</v>
      </c>
      <c r="BH136" s="24">
        <f>F136*AO136</f>
        <v>0</v>
      </c>
      <c r="BI136" s="24">
        <f>F136*AP136</f>
        <v>0</v>
      </c>
      <c r="BJ136" s="24">
        <f>F136*G136</f>
        <v>0</v>
      </c>
      <c r="BK136" s="24"/>
      <c r="BL136" s="24">
        <v>97</v>
      </c>
      <c r="BW136" s="24">
        <v>12</v>
      </c>
      <c r="BX136" s="4" t="s">
        <v>430</v>
      </c>
    </row>
    <row r="137" spans="1:76" ht="14.4" x14ac:dyDescent="0.3">
      <c r="A137" s="2" t="s">
        <v>431</v>
      </c>
      <c r="B137" s="3" t="s">
        <v>432</v>
      </c>
      <c r="C137" s="76" t="s">
        <v>433</v>
      </c>
      <c r="D137" s="71"/>
      <c r="E137" s="3" t="s">
        <v>57</v>
      </c>
      <c r="F137" s="24">
        <v>2</v>
      </c>
      <c r="G137" s="24">
        <v>0</v>
      </c>
      <c r="H137" s="24">
        <f>ROUND(F137*AO137,2)</f>
        <v>0</v>
      </c>
      <c r="I137" s="24">
        <f>ROUND(F137*AP137,2)</f>
        <v>0</v>
      </c>
      <c r="J137" s="24">
        <f>ROUND(F137*G137,2)</f>
        <v>0</v>
      </c>
      <c r="K137" s="24">
        <v>2.4330000000000001E-2</v>
      </c>
      <c r="L137" s="25">
        <f>F137*K137</f>
        <v>4.8660000000000002E-2</v>
      </c>
      <c r="Z137" s="24">
        <f>ROUND(IF(AQ137="5",BJ137,0),2)</f>
        <v>0</v>
      </c>
      <c r="AB137" s="24">
        <f>ROUND(IF(AQ137="1",BH137,0),2)</f>
        <v>0</v>
      </c>
      <c r="AC137" s="24">
        <f>ROUND(IF(AQ137="1",BI137,0),2)</f>
        <v>0</v>
      </c>
      <c r="AD137" s="24">
        <f>ROUND(IF(AQ137="7",BH137,0),2)</f>
        <v>0</v>
      </c>
      <c r="AE137" s="24">
        <f>ROUND(IF(AQ137="7",BI137,0),2)</f>
        <v>0</v>
      </c>
      <c r="AF137" s="24">
        <f>ROUND(IF(AQ137="2",BH137,0),2)</f>
        <v>0</v>
      </c>
      <c r="AG137" s="24">
        <f>ROUND(IF(AQ137="2",BI137,0),2)</f>
        <v>0</v>
      </c>
      <c r="AH137" s="24">
        <f>ROUND(IF(AQ137="0",BJ137,0),2)</f>
        <v>0</v>
      </c>
      <c r="AI137" s="9" t="s">
        <v>51</v>
      </c>
      <c r="AJ137" s="24">
        <f>IF(AN137=0,J137,0)</f>
        <v>0</v>
      </c>
      <c r="AK137" s="24">
        <f>IF(AN137=12,J137,0)</f>
        <v>0</v>
      </c>
      <c r="AL137" s="24">
        <f>IF(AN137=21,J137,0)</f>
        <v>0</v>
      </c>
      <c r="AN137" s="24">
        <v>12</v>
      </c>
      <c r="AO137" s="24">
        <f>G137*0.05969278</f>
        <v>0</v>
      </c>
      <c r="AP137" s="24">
        <f>G137*(1-0.05969278)</f>
        <v>0</v>
      </c>
      <c r="AQ137" s="26" t="s">
        <v>54</v>
      </c>
      <c r="AV137" s="24">
        <f>ROUND(AW137+AX137,2)</f>
        <v>0</v>
      </c>
      <c r="AW137" s="24">
        <f>ROUND(F137*AO137,2)</f>
        <v>0</v>
      </c>
      <c r="AX137" s="24">
        <f>ROUND(F137*AP137,2)</f>
        <v>0</v>
      </c>
      <c r="AY137" s="26" t="s">
        <v>424</v>
      </c>
      <c r="AZ137" s="26" t="s">
        <v>419</v>
      </c>
      <c r="BA137" s="9" t="s">
        <v>60</v>
      </c>
      <c r="BC137" s="24">
        <f>AW137+AX137</f>
        <v>0</v>
      </c>
      <c r="BD137" s="24">
        <f>G137/(100-BE137)*100</f>
        <v>0</v>
      </c>
      <c r="BE137" s="24">
        <v>0</v>
      </c>
      <c r="BF137" s="24">
        <f>L137</f>
        <v>4.8660000000000002E-2</v>
      </c>
      <c r="BH137" s="24">
        <f>F137*AO137</f>
        <v>0</v>
      </c>
      <c r="BI137" s="24">
        <f>F137*AP137</f>
        <v>0</v>
      </c>
      <c r="BJ137" s="24">
        <f>F137*G137</f>
        <v>0</v>
      </c>
      <c r="BK137" s="24"/>
      <c r="BL137" s="24">
        <v>97</v>
      </c>
      <c r="BW137" s="24">
        <v>12</v>
      </c>
      <c r="BX137" s="4" t="s">
        <v>433</v>
      </c>
    </row>
    <row r="138" spans="1:76" ht="14.4" x14ac:dyDescent="0.3">
      <c r="A138" s="2" t="s">
        <v>434</v>
      </c>
      <c r="B138" s="3" t="s">
        <v>435</v>
      </c>
      <c r="C138" s="76" t="s">
        <v>436</v>
      </c>
      <c r="D138" s="71"/>
      <c r="E138" s="3" t="s">
        <v>75</v>
      </c>
      <c r="F138" s="24">
        <v>17</v>
      </c>
      <c r="G138" s="24">
        <v>0</v>
      </c>
      <c r="H138" s="24">
        <f>ROUND(F138*AO138,2)</f>
        <v>0</v>
      </c>
      <c r="I138" s="24">
        <f>ROUND(F138*AP138,2)</f>
        <v>0</v>
      </c>
      <c r="J138" s="24">
        <f>ROUND(F138*G138,2)</f>
        <v>0</v>
      </c>
      <c r="K138" s="24">
        <v>2.5489999999999999E-2</v>
      </c>
      <c r="L138" s="25">
        <f>F138*K138</f>
        <v>0.43332999999999999</v>
      </c>
      <c r="Z138" s="24">
        <f>ROUND(IF(AQ138="5",BJ138,0),2)</f>
        <v>0</v>
      </c>
      <c r="AB138" s="24">
        <f>ROUND(IF(AQ138="1",BH138,0),2)</f>
        <v>0</v>
      </c>
      <c r="AC138" s="24">
        <f>ROUND(IF(AQ138="1",BI138,0),2)</f>
        <v>0</v>
      </c>
      <c r="AD138" s="24">
        <f>ROUND(IF(AQ138="7",BH138,0),2)</f>
        <v>0</v>
      </c>
      <c r="AE138" s="24">
        <f>ROUND(IF(AQ138="7",BI138,0),2)</f>
        <v>0</v>
      </c>
      <c r="AF138" s="24">
        <f>ROUND(IF(AQ138="2",BH138,0),2)</f>
        <v>0</v>
      </c>
      <c r="AG138" s="24">
        <f>ROUND(IF(AQ138="2",BI138,0),2)</f>
        <v>0</v>
      </c>
      <c r="AH138" s="24">
        <f>ROUND(IF(AQ138="0",BJ138,0),2)</f>
        <v>0</v>
      </c>
      <c r="AI138" s="9" t="s">
        <v>51</v>
      </c>
      <c r="AJ138" s="24">
        <f>IF(AN138=0,J138,0)</f>
        <v>0</v>
      </c>
      <c r="AK138" s="24">
        <f>IF(AN138=12,J138,0)</f>
        <v>0</v>
      </c>
      <c r="AL138" s="24">
        <f>IF(AN138=21,J138,0)</f>
        <v>0</v>
      </c>
      <c r="AN138" s="24">
        <v>12</v>
      </c>
      <c r="AO138" s="24">
        <f>G138*0.065525114</f>
        <v>0</v>
      </c>
      <c r="AP138" s="24">
        <f>G138*(1-0.065525114)</f>
        <v>0</v>
      </c>
      <c r="AQ138" s="26" t="s">
        <v>54</v>
      </c>
      <c r="AV138" s="24">
        <f>ROUND(AW138+AX138,2)</f>
        <v>0</v>
      </c>
      <c r="AW138" s="24">
        <f>ROUND(F138*AO138,2)</f>
        <v>0</v>
      </c>
      <c r="AX138" s="24">
        <f>ROUND(F138*AP138,2)</f>
        <v>0</v>
      </c>
      <c r="AY138" s="26" t="s">
        <v>424</v>
      </c>
      <c r="AZ138" s="26" t="s">
        <v>419</v>
      </c>
      <c r="BA138" s="9" t="s">
        <v>60</v>
      </c>
      <c r="BC138" s="24">
        <f>AW138+AX138</f>
        <v>0</v>
      </c>
      <c r="BD138" s="24">
        <f>G138/(100-BE138)*100</f>
        <v>0</v>
      </c>
      <c r="BE138" s="24">
        <v>0</v>
      </c>
      <c r="BF138" s="24">
        <f>L138</f>
        <v>0.43332999999999999</v>
      </c>
      <c r="BH138" s="24">
        <f>F138*AO138</f>
        <v>0</v>
      </c>
      <c r="BI138" s="24">
        <f>F138*AP138</f>
        <v>0</v>
      </c>
      <c r="BJ138" s="24">
        <f>F138*G138</f>
        <v>0</v>
      </c>
      <c r="BK138" s="24"/>
      <c r="BL138" s="24">
        <v>97</v>
      </c>
      <c r="BW138" s="24">
        <v>12</v>
      </c>
      <c r="BX138" s="4" t="s">
        <v>436</v>
      </c>
    </row>
    <row r="139" spans="1:76" ht="14.4" x14ac:dyDescent="0.3">
      <c r="A139" s="27" t="s">
        <v>51</v>
      </c>
      <c r="B139" s="28" t="s">
        <v>437</v>
      </c>
      <c r="C139" s="94" t="s">
        <v>438</v>
      </c>
      <c r="D139" s="95"/>
      <c r="E139" s="29" t="s">
        <v>18</v>
      </c>
      <c r="F139" s="29" t="s">
        <v>18</v>
      </c>
      <c r="G139" s="29" t="s">
        <v>18</v>
      </c>
      <c r="H139" s="1">
        <f>SUM(H140:H140)</f>
        <v>0</v>
      </c>
      <c r="I139" s="1">
        <f>SUM(I140:I140)</f>
        <v>0</v>
      </c>
      <c r="J139" s="1">
        <f>SUM(J140:J140)</f>
        <v>0</v>
      </c>
      <c r="K139" s="9" t="s">
        <v>51</v>
      </c>
      <c r="L139" s="30">
        <f>SUM(L140:L140)</f>
        <v>0</v>
      </c>
      <c r="AI139" s="9" t="s">
        <v>51</v>
      </c>
      <c r="AS139" s="1">
        <f>SUM(AJ140:AJ140)</f>
        <v>0</v>
      </c>
      <c r="AT139" s="1">
        <f>SUM(AK140:AK140)</f>
        <v>0</v>
      </c>
      <c r="AU139" s="1">
        <f>SUM(AL140:AL140)</f>
        <v>0</v>
      </c>
    </row>
    <row r="140" spans="1:76" ht="14.4" x14ac:dyDescent="0.3">
      <c r="A140" s="2" t="s">
        <v>439</v>
      </c>
      <c r="B140" s="3" t="s">
        <v>440</v>
      </c>
      <c r="C140" s="76" t="s">
        <v>441</v>
      </c>
      <c r="D140" s="71"/>
      <c r="E140" s="3" t="s">
        <v>144</v>
      </c>
      <c r="F140" s="24">
        <v>24.6</v>
      </c>
      <c r="G140" s="24">
        <v>0</v>
      </c>
      <c r="H140" s="24">
        <f>ROUND(F140*AO140,2)</f>
        <v>0</v>
      </c>
      <c r="I140" s="24">
        <f>ROUND(F140*AP140,2)</f>
        <v>0</v>
      </c>
      <c r="J140" s="24">
        <f>ROUND(F140*G140,2)</f>
        <v>0</v>
      </c>
      <c r="K140" s="24">
        <v>0</v>
      </c>
      <c r="L140" s="25">
        <f>F140*K140</f>
        <v>0</v>
      </c>
      <c r="Z140" s="24">
        <f>ROUND(IF(AQ140="5",BJ140,0),2)</f>
        <v>0</v>
      </c>
      <c r="AB140" s="24">
        <f>ROUND(IF(AQ140="1",BH140,0),2)</f>
        <v>0</v>
      </c>
      <c r="AC140" s="24">
        <f>ROUND(IF(AQ140="1",BI140,0),2)</f>
        <v>0</v>
      </c>
      <c r="AD140" s="24">
        <f>ROUND(IF(AQ140="7",BH140,0),2)</f>
        <v>0</v>
      </c>
      <c r="AE140" s="24">
        <f>ROUND(IF(AQ140="7",BI140,0),2)</f>
        <v>0</v>
      </c>
      <c r="AF140" s="24">
        <f>ROUND(IF(AQ140="2",BH140,0),2)</f>
        <v>0</v>
      </c>
      <c r="AG140" s="24">
        <f>ROUND(IF(AQ140="2",BI140,0),2)</f>
        <v>0</v>
      </c>
      <c r="AH140" s="24">
        <f>ROUND(IF(AQ140="0",BJ140,0),2)</f>
        <v>0</v>
      </c>
      <c r="AI140" s="9" t="s">
        <v>51</v>
      </c>
      <c r="AJ140" s="24">
        <f>IF(AN140=0,J140,0)</f>
        <v>0</v>
      </c>
      <c r="AK140" s="24">
        <f>IF(AN140=12,J140,0)</f>
        <v>0</v>
      </c>
      <c r="AL140" s="24">
        <f>IF(AN140=21,J140,0)</f>
        <v>0</v>
      </c>
      <c r="AN140" s="24">
        <v>12</v>
      </c>
      <c r="AO140" s="24">
        <f>G140*0</f>
        <v>0</v>
      </c>
      <c r="AP140" s="24">
        <f>G140*(1-0)</f>
        <v>0</v>
      </c>
      <c r="AQ140" s="26" t="s">
        <v>76</v>
      </c>
      <c r="AV140" s="24">
        <f>ROUND(AW140+AX140,2)</f>
        <v>0</v>
      </c>
      <c r="AW140" s="24">
        <f>ROUND(F140*AO140,2)</f>
        <v>0</v>
      </c>
      <c r="AX140" s="24">
        <f>ROUND(F140*AP140,2)</f>
        <v>0</v>
      </c>
      <c r="AY140" s="26" t="s">
        <v>442</v>
      </c>
      <c r="AZ140" s="26" t="s">
        <v>419</v>
      </c>
      <c r="BA140" s="9" t="s">
        <v>60</v>
      </c>
      <c r="BC140" s="24">
        <f>AW140+AX140</f>
        <v>0</v>
      </c>
      <c r="BD140" s="24">
        <f>G140/(100-BE140)*100</f>
        <v>0</v>
      </c>
      <c r="BE140" s="24">
        <v>0</v>
      </c>
      <c r="BF140" s="24">
        <f>L140</f>
        <v>0</v>
      </c>
      <c r="BH140" s="24">
        <f>F140*AO140</f>
        <v>0</v>
      </c>
      <c r="BI140" s="24">
        <f>F140*AP140</f>
        <v>0</v>
      </c>
      <c r="BJ140" s="24">
        <f>F140*G140</f>
        <v>0</v>
      </c>
      <c r="BK140" s="24"/>
      <c r="BL140" s="24"/>
      <c r="BW140" s="24">
        <v>12</v>
      </c>
      <c r="BX140" s="4" t="s">
        <v>441</v>
      </c>
    </row>
    <row r="141" spans="1:76" ht="14.4" x14ac:dyDescent="0.3">
      <c r="A141" s="27" t="s">
        <v>51</v>
      </c>
      <c r="B141" s="28" t="s">
        <v>443</v>
      </c>
      <c r="C141" s="94" t="s">
        <v>62</v>
      </c>
      <c r="D141" s="95"/>
      <c r="E141" s="29" t="s">
        <v>18</v>
      </c>
      <c r="F141" s="29" t="s">
        <v>18</v>
      </c>
      <c r="G141" s="29" t="s">
        <v>18</v>
      </c>
      <c r="H141" s="1">
        <f>SUM(H142:H144)</f>
        <v>0</v>
      </c>
      <c r="I141" s="1">
        <f>SUM(I142:I144)</f>
        <v>0</v>
      </c>
      <c r="J141" s="1">
        <f>SUM(J142:J144)</f>
        <v>0</v>
      </c>
      <c r="K141" s="9" t="s">
        <v>51</v>
      </c>
      <c r="L141" s="30">
        <f>SUM(L142:L144)</f>
        <v>0</v>
      </c>
      <c r="AI141" s="9" t="s">
        <v>51</v>
      </c>
      <c r="AS141" s="1">
        <f>SUM(AJ142:AJ144)</f>
        <v>0</v>
      </c>
      <c r="AT141" s="1">
        <f>SUM(AK142:AK144)</f>
        <v>0</v>
      </c>
      <c r="AU141" s="1">
        <f>SUM(AL142:AL144)</f>
        <v>0</v>
      </c>
    </row>
    <row r="142" spans="1:76" ht="14.4" x14ac:dyDescent="0.3">
      <c r="A142" s="2" t="s">
        <v>444</v>
      </c>
      <c r="B142" s="3" t="s">
        <v>445</v>
      </c>
      <c r="C142" s="76" t="s">
        <v>446</v>
      </c>
      <c r="D142" s="71"/>
      <c r="E142" s="3" t="s">
        <v>144</v>
      </c>
      <c r="F142" s="24">
        <v>0.8</v>
      </c>
      <c r="G142" s="24">
        <v>0</v>
      </c>
      <c r="H142" s="24">
        <f>ROUND(F142*AO142,2)</f>
        <v>0</v>
      </c>
      <c r="I142" s="24">
        <f>ROUND(F142*AP142,2)</f>
        <v>0</v>
      </c>
      <c r="J142" s="24">
        <f>ROUND(F142*G142,2)</f>
        <v>0</v>
      </c>
      <c r="K142" s="24">
        <v>0</v>
      </c>
      <c r="L142" s="25">
        <f>F142*K142</f>
        <v>0</v>
      </c>
      <c r="Z142" s="24">
        <f>ROUND(IF(AQ142="5",BJ142,0),2)</f>
        <v>0</v>
      </c>
      <c r="AB142" s="24">
        <f>ROUND(IF(AQ142="1",BH142,0),2)</f>
        <v>0</v>
      </c>
      <c r="AC142" s="24">
        <f>ROUND(IF(AQ142="1",BI142,0),2)</f>
        <v>0</v>
      </c>
      <c r="AD142" s="24">
        <f>ROUND(IF(AQ142="7",BH142,0),2)</f>
        <v>0</v>
      </c>
      <c r="AE142" s="24">
        <f>ROUND(IF(AQ142="7",BI142,0),2)</f>
        <v>0</v>
      </c>
      <c r="AF142" s="24">
        <f>ROUND(IF(AQ142="2",BH142,0),2)</f>
        <v>0</v>
      </c>
      <c r="AG142" s="24">
        <f>ROUND(IF(AQ142="2",BI142,0),2)</f>
        <v>0</v>
      </c>
      <c r="AH142" s="24">
        <f>ROUND(IF(AQ142="0",BJ142,0),2)</f>
        <v>0</v>
      </c>
      <c r="AI142" s="9" t="s">
        <v>51</v>
      </c>
      <c r="AJ142" s="24">
        <f>IF(AN142=0,J142,0)</f>
        <v>0</v>
      </c>
      <c r="AK142" s="24">
        <f>IF(AN142=12,J142,0)</f>
        <v>0</v>
      </c>
      <c r="AL142" s="24">
        <f>IF(AN142=21,J142,0)</f>
        <v>0</v>
      </c>
      <c r="AN142" s="24">
        <v>12</v>
      </c>
      <c r="AO142" s="24">
        <f>G142*0</f>
        <v>0</v>
      </c>
      <c r="AP142" s="24">
        <f>G142*(1-0)</f>
        <v>0</v>
      </c>
      <c r="AQ142" s="26" t="s">
        <v>76</v>
      </c>
      <c r="AV142" s="24">
        <f>ROUND(AW142+AX142,2)</f>
        <v>0</v>
      </c>
      <c r="AW142" s="24">
        <f>ROUND(F142*AO142,2)</f>
        <v>0</v>
      </c>
      <c r="AX142" s="24">
        <f>ROUND(F142*AP142,2)</f>
        <v>0</v>
      </c>
      <c r="AY142" s="26" t="s">
        <v>447</v>
      </c>
      <c r="AZ142" s="26" t="s">
        <v>419</v>
      </c>
      <c r="BA142" s="9" t="s">
        <v>60</v>
      </c>
      <c r="BC142" s="24">
        <f>AW142+AX142</f>
        <v>0</v>
      </c>
      <c r="BD142" s="24">
        <f>G142/(100-BE142)*100</f>
        <v>0</v>
      </c>
      <c r="BE142" s="24">
        <v>0</v>
      </c>
      <c r="BF142" s="24">
        <f>L142</f>
        <v>0</v>
      </c>
      <c r="BH142" s="24">
        <f>F142*AO142</f>
        <v>0</v>
      </c>
      <c r="BI142" s="24">
        <f>F142*AP142</f>
        <v>0</v>
      </c>
      <c r="BJ142" s="24">
        <f>F142*G142</f>
        <v>0</v>
      </c>
      <c r="BK142" s="24"/>
      <c r="BL142" s="24"/>
      <c r="BW142" s="24">
        <v>12</v>
      </c>
      <c r="BX142" s="4" t="s">
        <v>446</v>
      </c>
    </row>
    <row r="143" spans="1:76" ht="14.4" x14ac:dyDescent="0.3">
      <c r="A143" s="2" t="s">
        <v>448</v>
      </c>
      <c r="B143" s="3" t="s">
        <v>449</v>
      </c>
      <c r="C143" s="76" t="s">
        <v>450</v>
      </c>
      <c r="D143" s="71"/>
      <c r="E143" s="3" t="s">
        <v>144</v>
      </c>
      <c r="F143" s="24">
        <v>0.1</v>
      </c>
      <c r="G143" s="24">
        <v>0</v>
      </c>
      <c r="H143" s="24">
        <f>ROUND(F143*AO143,2)</f>
        <v>0</v>
      </c>
      <c r="I143" s="24">
        <f>ROUND(F143*AP143,2)</f>
        <v>0</v>
      </c>
      <c r="J143" s="24">
        <f>ROUND(F143*G143,2)</f>
        <v>0</v>
      </c>
      <c r="K143" s="24">
        <v>0</v>
      </c>
      <c r="L143" s="25">
        <f>F143*K143</f>
        <v>0</v>
      </c>
      <c r="Z143" s="24">
        <f>ROUND(IF(AQ143="5",BJ143,0),2)</f>
        <v>0</v>
      </c>
      <c r="AB143" s="24">
        <f>ROUND(IF(AQ143="1",BH143,0),2)</f>
        <v>0</v>
      </c>
      <c r="AC143" s="24">
        <f>ROUND(IF(AQ143="1",BI143,0),2)</f>
        <v>0</v>
      </c>
      <c r="AD143" s="24">
        <f>ROUND(IF(AQ143="7",BH143,0),2)</f>
        <v>0</v>
      </c>
      <c r="AE143" s="24">
        <f>ROUND(IF(AQ143="7",BI143,0),2)</f>
        <v>0</v>
      </c>
      <c r="AF143" s="24">
        <f>ROUND(IF(AQ143="2",BH143,0),2)</f>
        <v>0</v>
      </c>
      <c r="AG143" s="24">
        <f>ROUND(IF(AQ143="2",BI143,0),2)</f>
        <v>0</v>
      </c>
      <c r="AH143" s="24">
        <f>ROUND(IF(AQ143="0",BJ143,0),2)</f>
        <v>0</v>
      </c>
      <c r="AI143" s="9" t="s">
        <v>51</v>
      </c>
      <c r="AJ143" s="24">
        <f>IF(AN143=0,J143,0)</f>
        <v>0</v>
      </c>
      <c r="AK143" s="24">
        <f>IF(AN143=12,J143,0)</f>
        <v>0</v>
      </c>
      <c r="AL143" s="24">
        <f>IF(AN143=21,J143,0)</f>
        <v>0</v>
      </c>
      <c r="AN143" s="24">
        <v>12</v>
      </c>
      <c r="AO143" s="24">
        <f>G143*0</f>
        <v>0</v>
      </c>
      <c r="AP143" s="24">
        <f>G143*(1-0)</f>
        <v>0</v>
      </c>
      <c r="AQ143" s="26" t="s">
        <v>76</v>
      </c>
      <c r="AV143" s="24">
        <f>ROUND(AW143+AX143,2)</f>
        <v>0</v>
      </c>
      <c r="AW143" s="24">
        <f>ROUND(F143*AO143,2)</f>
        <v>0</v>
      </c>
      <c r="AX143" s="24">
        <f>ROUND(F143*AP143,2)</f>
        <v>0</v>
      </c>
      <c r="AY143" s="26" t="s">
        <v>447</v>
      </c>
      <c r="AZ143" s="26" t="s">
        <v>419</v>
      </c>
      <c r="BA143" s="9" t="s">
        <v>60</v>
      </c>
      <c r="BC143" s="24">
        <f>AW143+AX143</f>
        <v>0</v>
      </c>
      <c r="BD143" s="24">
        <f>G143/(100-BE143)*100</f>
        <v>0</v>
      </c>
      <c r="BE143" s="24">
        <v>0</v>
      </c>
      <c r="BF143" s="24">
        <f>L143</f>
        <v>0</v>
      </c>
      <c r="BH143" s="24">
        <f>F143*AO143</f>
        <v>0</v>
      </c>
      <c r="BI143" s="24">
        <f>F143*AP143</f>
        <v>0</v>
      </c>
      <c r="BJ143" s="24">
        <f>F143*G143</f>
        <v>0</v>
      </c>
      <c r="BK143" s="24"/>
      <c r="BL143" s="24"/>
      <c r="BW143" s="24">
        <v>12</v>
      </c>
      <c r="BX143" s="4" t="s">
        <v>450</v>
      </c>
    </row>
    <row r="144" spans="1:76" ht="14.4" x14ac:dyDescent="0.3">
      <c r="A144" s="2" t="s">
        <v>451</v>
      </c>
      <c r="B144" s="3" t="s">
        <v>452</v>
      </c>
      <c r="C144" s="76" t="s">
        <v>453</v>
      </c>
      <c r="D144" s="71"/>
      <c r="E144" s="3" t="s">
        <v>144</v>
      </c>
      <c r="F144" s="24">
        <v>0.8</v>
      </c>
      <c r="G144" s="24">
        <v>0</v>
      </c>
      <c r="H144" s="24">
        <f>ROUND(F144*AO144,2)</f>
        <v>0</v>
      </c>
      <c r="I144" s="24">
        <f>ROUND(F144*AP144,2)</f>
        <v>0</v>
      </c>
      <c r="J144" s="24">
        <f>ROUND(F144*G144,2)</f>
        <v>0</v>
      </c>
      <c r="K144" s="24">
        <v>0</v>
      </c>
      <c r="L144" s="25">
        <f>F144*K144</f>
        <v>0</v>
      </c>
      <c r="Z144" s="24">
        <f>ROUND(IF(AQ144="5",BJ144,0),2)</f>
        <v>0</v>
      </c>
      <c r="AB144" s="24">
        <f>ROUND(IF(AQ144="1",BH144,0),2)</f>
        <v>0</v>
      </c>
      <c r="AC144" s="24">
        <f>ROUND(IF(AQ144="1",BI144,0),2)</f>
        <v>0</v>
      </c>
      <c r="AD144" s="24">
        <f>ROUND(IF(AQ144="7",BH144,0),2)</f>
        <v>0</v>
      </c>
      <c r="AE144" s="24">
        <f>ROUND(IF(AQ144="7",BI144,0),2)</f>
        <v>0</v>
      </c>
      <c r="AF144" s="24">
        <f>ROUND(IF(AQ144="2",BH144,0),2)</f>
        <v>0</v>
      </c>
      <c r="AG144" s="24">
        <f>ROUND(IF(AQ144="2",BI144,0),2)</f>
        <v>0</v>
      </c>
      <c r="AH144" s="24">
        <f>ROUND(IF(AQ144="0",BJ144,0),2)</f>
        <v>0</v>
      </c>
      <c r="AI144" s="9" t="s">
        <v>51</v>
      </c>
      <c r="AJ144" s="24">
        <f>IF(AN144=0,J144,0)</f>
        <v>0</v>
      </c>
      <c r="AK144" s="24">
        <f>IF(AN144=12,J144,0)</f>
        <v>0</v>
      </c>
      <c r="AL144" s="24">
        <f>IF(AN144=21,J144,0)</f>
        <v>0</v>
      </c>
      <c r="AN144" s="24">
        <v>12</v>
      </c>
      <c r="AO144" s="24">
        <f>G144*0</f>
        <v>0</v>
      </c>
      <c r="AP144" s="24">
        <f>G144*(1-0)</f>
        <v>0</v>
      </c>
      <c r="AQ144" s="26" t="s">
        <v>76</v>
      </c>
      <c r="AV144" s="24">
        <f>ROUND(AW144+AX144,2)</f>
        <v>0</v>
      </c>
      <c r="AW144" s="24">
        <f>ROUND(F144*AO144,2)</f>
        <v>0</v>
      </c>
      <c r="AX144" s="24">
        <f>ROUND(F144*AP144,2)</f>
        <v>0</v>
      </c>
      <c r="AY144" s="26" t="s">
        <v>447</v>
      </c>
      <c r="AZ144" s="26" t="s">
        <v>419</v>
      </c>
      <c r="BA144" s="9" t="s">
        <v>60</v>
      </c>
      <c r="BC144" s="24">
        <f>AW144+AX144</f>
        <v>0</v>
      </c>
      <c r="BD144" s="24">
        <f>G144/(100-BE144)*100</f>
        <v>0</v>
      </c>
      <c r="BE144" s="24">
        <v>0</v>
      </c>
      <c r="BF144" s="24">
        <f>L144</f>
        <v>0</v>
      </c>
      <c r="BH144" s="24">
        <f>F144*AO144</f>
        <v>0</v>
      </c>
      <c r="BI144" s="24">
        <f>F144*AP144</f>
        <v>0</v>
      </c>
      <c r="BJ144" s="24">
        <f>F144*G144</f>
        <v>0</v>
      </c>
      <c r="BK144" s="24"/>
      <c r="BL144" s="24"/>
      <c r="BW144" s="24">
        <v>12</v>
      </c>
      <c r="BX144" s="4" t="s">
        <v>453</v>
      </c>
    </row>
    <row r="145" spans="1:76" ht="14.4" x14ac:dyDescent="0.3">
      <c r="A145" s="27" t="s">
        <v>51</v>
      </c>
      <c r="B145" s="28" t="s">
        <v>454</v>
      </c>
      <c r="C145" s="94" t="s">
        <v>154</v>
      </c>
      <c r="D145" s="95"/>
      <c r="E145" s="29" t="s">
        <v>18</v>
      </c>
      <c r="F145" s="29" t="s">
        <v>18</v>
      </c>
      <c r="G145" s="29" t="s">
        <v>18</v>
      </c>
      <c r="H145" s="1">
        <f>SUM(H146:H148)</f>
        <v>0</v>
      </c>
      <c r="I145" s="1">
        <f>SUM(I146:I148)</f>
        <v>0</v>
      </c>
      <c r="J145" s="1">
        <f>SUM(J146:J148)</f>
        <v>0</v>
      </c>
      <c r="K145" s="9" t="s">
        <v>51</v>
      </c>
      <c r="L145" s="30">
        <f>SUM(L146:L148)</f>
        <v>0</v>
      </c>
      <c r="AI145" s="9" t="s">
        <v>51</v>
      </c>
      <c r="AS145" s="1">
        <f>SUM(AJ146:AJ148)</f>
        <v>0</v>
      </c>
      <c r="AT145" s="1">
        <f>SUM(AK146:AK148)</f>
        <v>0</v>
      </c>
      <c r="AU145" s="1">
        <f>SUM(AL146:AL148)</f>
        <v>0</v>
      </c>
    </row>
    <row r="146" spans="1:76" ht="14.4" x14ac:dyDescent="0.3">
      <c r="A146" s="2" t="s">
        <v>455</v>
      </c>
      <c r="B146" s="3" t="s">
        <v>456</v>
      </c>
      <c r="C146" s="76" t="s">
        <v>457</v>
      </c>
      <c r="D146" s="71"/>
      <c r="E146" s="3" t="s">
        <v>144</v>
      </c>
      <c r="F146" s="24">
        <v>0.2</v>
      </c>
      <c r="G146" s="24">
        <v>0</v>
      </c>
      <c r="H146" s="24">
        <f>ROUND(F146*AO146,2)</f>
        <v>0</v>
      </c>
      <c r="I146" s="24">
        <f>ROUND(F146*AP146,2)</f>
        <v>0</v>
      </c>
      <c r="J146" s="24">
        <f>ROUND(F146*G146,2)</f>
        <v>0</v>
      </c>
      <c r="K146" s="24">
        <v>0</v>
      </c>
      <c r="L146" s="25">
        <f>F146*K146</f>
        <v>0</v>
      </c>
      <c r="Z146" s="24">
        <f>ROUND(IF(AQ146="5",BJ146,0),2)</f>
        <v>0</v>
      </c>
      <c r="AB146" s="24">
        <f>ROUND(IF(AQ146="1",BH146,0),2)</f>
        <v>0</v>
      </c>
      <c r="AC146" s="24">
        <f>ROUND(IF(AQ146="1",BI146,0),2)</f>
        <v>0</v>
      </c>
      <c r="AD146" s="24">
        <f>ROUND(IF(AQ146="7",BH146,0),2)</f>
        <v>0</v>
      </c>
      <c r="AE146" s="24">
        <f>ROUND(IF(AQ146="7",BI146,0),2)</f>
        <v>0</v>
      </c>
      <c r="AF146" s="24">
        <f>ROUND(IF(AQ146="2",BH146,0),2)</f>
        <v>0</v>
      </c>
      <c r="AG146" s="24">
        <f>ROUND(IF(AQ146="2",BI146,0),2)</f>
        <v>0</v>
      </c>
      <c r="AH146" s="24">
        <f>ROUND(IF(AQ146="0",BJ146,0),2)</f>
        <v>0</v>
      </c>
      <c r="AI146" s="9" t="s">
        <v>51</v>
      </c>
      <c r="AJ146" s="24">
        <f>IF(AN146=0,J146,0)</f>
        <v>0</v>
      </c>
      <c r="AK146" s="24">
        <f>IF(AN146=12,J146,0)</f>
        <v>0</v>
      </c>
      <c r="AL146" s="24">
        <f>IF(AN146=21,J146,0)</f>
        <v>0</v>
      </c>
      <c r="AN146" s="24">
        <v>12</v>
      </c>
      <c r="AO146" s="24">
        <f>G146*0</f>
        <v>0</v>
      </c>
      <c r="AP146" s="24">
        <f>G146*(1-0)</f>
        <v>0</v>
      </c>
      <c r="AQ146" s="26" t="s">
        <v>76</v>
      </c>
      <c r="AV146" s="24">
        <f>ROUND(AW146+AX146,2)</f>
        <v>0</v>
      </c>
      <c r="AW146" s="24">
        <f>ROUND(F146*AO146,2)</f>
        <v>0</v>
      </c>
      <c r="AX146" s="24">
        <f>ROUND(F146*AP146,2)</f>
        <v>0</v>
      </c>
      <c r="AY146" s="26" t="s">
        <v>458</v>
      </c>
      <c r="AZ146" s="26" t="s">
        <v>419</v>
      </c>
      <c r="BA146" s="9" t="s">
        <v>60</v>
      </c>
      <c r="BC146" s="24">
        <f>AW146+AX146</f>
        <v>0</v>
      </c>
      <c r="BD146" s="24">
        <f>G146/(100-BE146)*100</f>
        <v>0</v>
      </c>
      <c r="BE146" s="24">
        <v>0</v>
      </c>
      <c r="BF146" s="24">
        <f>L146</f>
        <v>0</v>
      </c>
      <c r="BH146" s="24">
        <f>F146*AO146</f>
        <v>0</v>
      </c>
      <c r="BI146" s="24">
        <f>F146*AP146</f>
        <v>0</v>
      </c>
      <c r="BJ146" s="24">
        <f>F146*G146</f>
        <v>0</v>
      </c>
      <c r="BK146" s="24"/>
      <c r="BL146" s="24"/>
      <c r="BW146" s="24">
        <v>12</v>
      </c>
      <c r="BX146" s="4" t="s">
        <v>457</v>
      </c>
    </row>
    <row r="147" spans="1:76" ht="14.4" x14ac:dyDescent="0.3">
      <c r="A147" s="2" t="s">
        <v>459</v>
      </c>
      <c r="B147" s="3" t="s">
        <v>460</v>
      </c>
      <c r="C147" s="76" t="s">
        <v>461</v>
      </c>
      <c r="D147" s="71"/>
      <c r="E147" s="3" t="s">
        <v>144</v>
      </c>
      <c r="F147" s="24">
        <v>0.05</v>
      </c>
      <c r="G147" s="24">
        <v>0</v>
      </c>
      <c r="H147" s="24">
        <f>ROUND(F147*AO147,2)</f>
        <v>0</v>
      </c>
      <c r="I147" s="24">
        <f>ROUND(F147*AP147,2)</f>
        <v>0</v>
      </c>
      <c r="J147" s="24">
        <f>ROUND(F147*G147,2)</f>
        <v>0</v>
      </c>
      <c r="K147" s="24">
        <v>0</v>
      </c>
      <c r="L147" s="25">
        <f>F147*K147</f>
        <v>0</v>
      </c>
      <c r="Z147" s="24">
        <f>ROUND(IF(AQ147="5",BJ147,0),2)</f>
        <v>0</v>
      </c>
      <c r="AB147" s="24">
        <f>ROUND(IF(AQ147="1",BH147,0),2)</f>
        <v>0</v>
      </c>
      <c r="AC147" s="24">
        <f>ROUND(IF(AQ147="1",BI147,0),2)</f>
        <v>0</v>
      </c>
      <c r="AD147" s="24">
        <f>ROUND(IF(AQ147="7",BH147,0),2)</f>
        <v>0</v>
      </c>
      <c r="AE147" s="24">
        <f>ROUND(IF(AQ147="7",BI147,0),2)</f>
        <v>0</v>
      </c>
      <c r="AF147" s="24">
        <f>ROUND(IF(AQ147="2",BH147,0),2)</f>
        <v>0</v>
      </c>
      <c r="AG147" s="24">
        <f>ROUND(IF(AQ147="2",BI147,0),2)</f>
        <v>0</v>
      </c>
      <c r="AH147" s="24">
        <f>ROUND(IF(AQ147="0",BJ147,0),2)</f>
        <v>0</v>
      </c>
      <c r="AI147" s="9" t="s">
        <v>51</v>
      </c>
      <c r="AJ147" s="24">
        <f>IF(AN147=0,J147,0)</f>
        <v>0</v>
      </c>
      <c r="AK147" s="24">
        <f>IF(AN147=12,J147,0)</f>
        <v>0</v>
      </c>
      <c r="AL147" s="24">
        <f>IF(AN147=21,J147,0)</f>
        <v>0</v>
      </c>
      <c r="AN147" s="24">
        <v>12</v>
      </c>
      <c r="AO147" s="24">
        <f>G147*0</f>
        <v>0</v>
      </c>
      <c r="AP147" s="24">
        <f>G147*(1-0)</f>
        <v>0</v>
      </c>
      <c r="AQ147" s="26" t="s">
        <v>76</v>
      </c>
      <c r="AV147" s="24">
        <f>ROUND(AW147+AX147,2)</f>
        <v>0</v>
      </c>
      <c r="AW147" s="24">
        <f>ROUND(F147*AO147,2)</f>
        <v>0</v>
      </c>
      <c r="AX147" s="24">
        <f>ROUND(F147*AP147,2)</f>
        <v>0</v>
      </c>
      <c r="AY147" s="26" t="s">
        <v>458</v>
      </c>
      <c r="AZ147" s="26" t="s">
        <v>419</v>
      </c>
      <c r="BA147" s="9" t="s">
        <v>60</v>
      </c>
      <c r="BC147" s="24">
        <f>AW147+AX147</f>
        <v>0</v>
      </c>
      <c r="BD147" s="24">
        <f>G147/(100-BE147)*100</f>
        <v>0</v>
      </c>
      <c r="BE147" s="24">
        <v>0</v>
      </c>
      <c r="BF147" s="24">
        <f>L147</f>
        <v>0</v>
      </c>
      <c r="BH147" s="24">
        <f>F147*AO147</f>
        <v>0</v>
      </c>
      <c r="BI147" s="24">
        <f>F147*AP147</f>
        <v>0</v>
      </c>
      <c r="BJ147" s="24">
        <f>F147*G147</f>
        <v>0</v>
      </c>
      <c r="BK147" s="24"/>
      <c r="BL147" s="24"/>
      <c r="BW147" s="24">
        <v>12</v>
      </c>
      <c r="BX147" s="4" t="s">
        <v>461</v>
      </c>
    </row>
    <row r="148" spans="1:76" ht="14.4" x14ac:dyDescent="0.3">
      <c r="A148" s="2" t="s">
        <v>462</v>
      </c>
      <c r="B148" s="3" t="s">
        <v>463</v>
      </c>
      <c r="C148" s="76" t="s">
        <v>464</v>
      </c>
      <c r="D148" s="71"/>
      <c r="E148" s="3" t="s">
        <v>144</v>
      </c>
      <c r="F148" s="24">
        <v>0.2</v>
      </c>
      <c r="G148" s="24">
        <v>0</v>
      </c>
      <c r="H148" s="24">
        <f>ROUND(F148*AO148,2)</f>
        <v>0</v>
      </c>
      <c r="I148" s="24">
        <f>ROUND(F148*AP148,2)</f>
        <v>0</v>
      </c>
      <c r="J148" s="24">
        <f>ROUND(F148*G148,2)</f>
        <v>0</v>
      </c>
      <c r="K148" s="24">
        <v>0</v>
      </c>
      <c r="L148" s="25">
        <f>F148*K148</f>
        <v>0</v>
      </c>
      <c r="Z148" s="24">
        <f>ROUND(IF(AQ148="5",BJ148,0),2)</f>
        <v>0</v>
      </c>
      <c r="AB148" s="24">
        <f>ROUND(IF(AQ148="1",BH148,0),2)</f>
        <v>0</v>
      </c>
      <c r="AC148" s="24">
        <f>ROUND(IF(AQ148="1",BI148,0),2)</f>
        <v>0</v>
      </c>
      <c r="AD148" s="24">
        <f>ROUND(IF(AQ148="7",BH148,0),2)</f>
        <v>0</v>
      </c>
      <c r="AE148" s="24">
        <f>ROUND(IF(AQ148="7",BI148,0),2)</f>
        <v>0</v>
      </c>
      <c r="AF148" s="24">
        <f>ROUND(IF(AQ148="2",BH148,0),2)</f>
        <v>0</v>
      </c>
      <c r="AG148" s="24">
        <f>ROUND(IF(AQ148="2",BI148,0),2)</f>
        <v>0</v>
      </c>
      <c r="AH148" s="24">
        <f>ROUND(IF(AQ148="0",BJ148,0),2)</f>
        <v>0</v>
      </c>
      <c r="AI148" s="9" t="s">
        <v>51</v>
      </c>
      <c r="AJ148" s="24">
        <f>IF(AN148=0,J148,0)</f>
        <v>0</v>
      </c>
      <c r="AK148" s="24">
        <f>IF(AN148=12,J148,0)</f>
        <v>0</v>
      </c>
      <c r="AL148" s="24">
        <f>IF(AN148=21,J148,0)</f>
        <v>0</v>
      </c>
      <c r="AN148" s="24">
        <v>12</v>
      </c>
      <c r="AO148" s="24">
        <f>G148*0</f>
        <v>0</v>
      </c>
      <c r="AP148" s="24">
        <f>G148*(1-0)</f>
        <v>0</v>
      </c>
      <c r="AQ148" s="26" t="s">
        <v>76</v>
      </c>
      <c r="AV148" s="24">
        <f>ROUND(AW148+AX148,2)</f>
        <v>0</v>
      </c>
      <c r="AW148" s="24">
        <f>ROUND(F148*AO148,2)</f>
        <v>0</v>
      </c>
      <c r="AX148" s="24">
        <f>ROUND(F148*AP148,2)</f>
        <v>0</v>
      </c>
      <c r="AY148" s="26" t="s">
        <v>458</v>
      </c>
      <c r="AZ148" s="26" t="s">
        <v>419</v>
      </c>
      <c r="BA148" s="9" t="s">
        <v>60</v>
      </c>
      <c r="BC148" s="24">
        <f>AW148+AX148</f>
        <v>0</v>
      </c>
      <c r="BD148" s="24">
        <f>G148/(100-BE148)*100</f>
        <v>0</v>
      </c>
      <c r="BE148" s="24">
        <v>0</v>
      </c>
      <c r="BF148" s="24">
        <f>L148</f>
        <v>0</v>
      </c>
      <c r="BH148" s="24">
        <f>F148*AO148</f>
        <v>0</v>
      </c>
      <c r="BI148" s="24">
        <f>F148*AP148</f>
        <v>0</v>
      </c>
      <c r="BJ148" s="24">
        <f>F148*G148</f>
        <v>0</v>
      </c>
      <c r="BK148" s="24"/>
      <c r="BL148" s="24"/>
      <c r="BW148" s="24">
        <v>12</v>
      </c>
      <c r="BX148" s="4" t="s">
        <v>464</v>
      </c>
    </row>
    <row r="149" spans="1:76" ht="14.4" x14ac:dyDescent="0.3">
      <c r="A149" s="27" t="s">
        <v>51</v>
      </c>
      <c r="B149" s="28" t="s">
        <v>465</v>
      </c>
      <c r="C149" s="94" t="s">
        <v>272</v>
      </c>
      <c r="D149" s="95"/>
      <c r="E149" s="29" t="s">
        <v>18</v>
      </c>
      <c r="F149" s="29" t="s">
        <v>18</v>
      </c>
      <c r="G149" s="29" t="s">
        <v>18</v>
      </c>
      <c r="H149" s="1">
        <f>SUM(H150:H151)</f>
        <v>0</v>
      </c>
      <c r="I149" s="1">
        <f>SUM(I150:I151)</f>
        <v>0</v>
      </c>
      <c r="J149" s="1">
        <f>SUM(J150:J151)</f>
        <v>0</v>
      </c>
      <c r="K149" s="9" t="s">
        <v>51</v>
      </c>
      <c r="L149" s="30">
        <f>SUM(L150:L151)</f>
        <v>0</v>
      </c>
      <c r="AI149" s="9" t="s">
        <v>51</v>
      </c>
      <c r="AS149" s="1">
        <f>SUM(AJ150:AJ151)</f>
        <v>0</v>
      </c>
      <c r="AT149" s="1">
        <f>SUM(AK150:AK151)</f>
        <v>0</v>
      </c>
      <c r="AU149" s="1">
        <f>SUM(AL150:AL151)</f>
        <v>0</v>
      </c>
    </row>
    <row r="150" spans="1:76" ht="14.4" x14ac:dyDescent="0.3">
      <c r="A150" s="2" t="s">
        <v>466</v>
      </c>
      <c r="B150" s="3" t="s">
        <v>467</v>
      </c>
      <c r="C150" s="76" t="s">
        <v>468</v>
      </c>
      <c r="D150" s="71"/>
      <c r="E150" s="3" t="s">
        <v>144</v>
      </c>
      <c r="F150" s="24">
        <v>0.15</v>
      </c>
      <c r="G150" s="24">
        <v>0</v>
      </c>
      <c r="H150" s="24">
        <f>ROUND(F150*AO150,2)</f>
        <v>0</v>
      </c>
      <c r="I150" s="24">
        <f>ROUND(F150*AP150,2)</f>
        <v>0</v>
      </c>
      <c r="J150" s="24">
        <f>ROUND(F150*G150,2)</f>
        <v>0</v>
      </c>
      <c r="K150" s="24">
        <v>0</v>
      </c>
      <c r="L150" s="25">
        <f>F150*K150</f>
        <v>0</v>
      </c>
      <c r="Z150" s="24">
        <f>ROUND(IF(AQ150="5",BJ150,0),2)</f>
        <v>0</v>
      </c>
      <c r="AB150" s="24">
        <f>ROUND(IF(AQ150="1",BH150,0),2)</f>
        <v>0</v>
      </c>
      <c r="AC150" s="24">
        <f>ROUND(IF(AQ150="1",BI150,0),2)</f>
        <v>0</v>
      </c>
      <c r="AD150" s="24">
        <f>ROUND(IF(AQ150="7",BH150,0),2)</f>
        <v>0</v>
      </c>
      <c r="AE150" s="24">
        <f>ROUND(IF(AQ150="7",BI150,0),2)</f>
        <v>0</v>
      </c>
      <c r="AF150" s="24">
        <f>ROUND(IF(AQ150="2",BH150,0),2)</f>
        <v>0</v>
      </c>
      <c r="AG150" s="24">
        <f>ROUND(IF(AQ150="2",BI150,0),2)</f>
        <v>0</v>
      </c>
      <c r="AH150" s="24">
        <f>ROUND(IF(AQ150="0",BJ150,0),2)</f>
        <v>0</v>
      </c>
      <c r="AI150" s="9" t="s">
        <v>51</v>
      </c>
      <c r="AJ150" s="24">
        <f>IF(AN150=0,J150,0)</f>
        <v>0</v>
      </c>
      <c r="AK150" s="24">
        <f>IF(AN150=12,J150,0)</f>
        <v>0</v>
      </c>
      <c r="AL150" s="24">
        <f>IF(AN150=21,J150,0)</f>
        <v>0</v>
      </c>
      <c r="AN150" s="24">
        <v>12</v>
      </c>
      <c r="AO150" s="24">
        <f>G150*0</f>
        <v>0</v>
      </c>
      <c r="AP150" s="24">
        <f>G150*(1-0)</f>
        <v>0</v>
      </c>
      <c r="AQ150" s="26" t="s">
        <v>76</v>
      </c>
      <c r="AV150" s="24">
        <f>ROUND(AW150+AX150,2)</f>
        <v>0</v>
      </c>
      <c r="AW150" s="24">
        <f>ROUND(F150*AO150,2)</f>
        <v>0</v>
      </c>
      <c r="AX150" s="24">
        <f>ROUND(F150*AP150,2)</f>
        <v>0</v>
      </c>
      <c r="AY150" s="26" t="s">
        <v>469</v>
      </c>
      <c r="AZ150" s="26" t="s">
        <v>419</v>
      </c>
      <c r="BA150" s="9" t="s">
        <v>60</v>
      </c>
      <c r="BC150" s="24">
        <f>AW150+AX150</f>
        <v>0</v>
      </c>
      <c r="BD150" s="24">
        <f>G150/(100-BE150)*100</f>
        <v>0</v>
      </c>
      <c r="BE150" s="24">
        <v>0</v>
      </c>
      <c r="BF150" s="24">
        <f>L150</f>
        <v>0</v>
      </c>
      <c r="BH150" s="24">
        <f>F150*AO150</f>
        <v>0</v>
      </c>
      <c r="BI150" s="24">
        <f>F150*AP150</f>
        <v>0</v>
      </c>
      <c r="BJ150" s="24">
        <f>F150*G150</f>
        <v>0</v>
      </c>
      <c r="BK150" s="24"/>
      <c r="BL150" s="24"/>
      <c r="BW150" s="24">
        <v>12</v>
      </c>
      <c r="BX150" s="4" t="s">
        <v>468</v>
      </c>
    </row>
    <row r="151" spans="1:76" ht="14.4" x14ac:dyDescent="0.3">
      <c r="A151" s="2" t="s">
        <v>470</v>
      </c>
      <c r="B151" s="3" t="s">
        <v>471</v>
      </c>
      <c r="C151" s="76" t="s">
        <v>472</v>
      </c>
      <c r="D151" s="71"/>
      <c r="E151" s="3" t="s">
        <v>144</v>
      </c>
      <c r="F151" s="24">
        <v>0.15</v>
      </c>
      <c r="G151" s="24">
        <v>0</v>
      </c>
      <c r="H151" s="24">
        <f>ROUND(F151*AO151,2)</f>
        <v>0</v>
      </c>
      <c r="I151" s="24">
        <f>ROUND(F151*AP151,2)</f>
        <v>0</v>
      </c>
      <c r="J151" s="24">
        <f>ROUND(F151*G151,2)</f>
        <v>0</v>
      </c>
      <c r="K151" s="24">
        <v>0</v>
      </c>
      <c r="L151" s="25">
        <f>F151*K151</f>
        <v>0</v>
      </c>
      <c r="Z151" s="24">
        <f>ROUND(IF(AQ151="5",BJ151,0),2)</f>
        <v>0</v>
      </c>
      <c r="AB151" s="24">
        <f>ROUND(IF(AQ151="1",BH151,0),2)</f>
        <v>0</v>
      </c>
      <c r="AC151" s="24">
        <f>ROUND(IF(AQ151="1",BI151,0),2)</f>
        <v>0</v>
      </c>
      <c r="AD151" s="24">
        <f>ROUND(IF(AQ151="7",BH151,0),2)</f>
        <v>0</v>
      </c>
      <c r="AE151" s="24">
        <f>ROUND(IF(AQ151="7",BI151,0),2)</f>
        <v>0</v>
      </c>
      <c r="AF151" s="24">
        <f>ROUND(IF(AQ151="2",BH151,0),2)</f>
        <v>0</v>
      </c>
      <c r="AG151" s="24">
        <f>ROUND(IF(AQ151="2",BI151,0),2)</f>
        <v>0</v>
      </c>
      <c r="AH151" s="24">
        <f>ROUND(IF(AQ151="0",BJ151,0),2)</f>
        <v>0</v>
      </c>
      <c r="AI151" s="9" t="s">
        <v>51</v>
      </c>
      <c r="AJ151" s="24">
        <f>IF(AN151=0,J151,0)</f>
        <v>0</v>
      </c>
      <c r="AK151" s="24">
        <f>IF(AN151=12,J151,0)</f>
        <v>0</v>
      </c>
      <c r="AL151" s="24">
        <f>IF(AN151=21,J151,0)</f>
        <v>0</v>
      </c>
      <c r="AN151" s="24">
        <v>12</v>
      </c>
      <c r="AO151" s="24">
        <f>G151*0</f>
        <v>0</v>
      </c>
      <c r="AP151" s="24">
        <f>G151*(1-0)</f>
        <v>0</v>
      </c>
      <c r="AQ151" s="26" t="s">
        <v>76</v>
      </c>
      <c r="AV151" s="24">
        <f>ROUND(AW151+AX151,2)</f>
        <v>0</v>
      </c>
      <c r="AW151" s="24">
        <f>ROUND(F151*AO151,2)</f>
        <v>0</v>
      </c>
      <c r="AX151" s="24">
        <f>ROUND(F151*AP151,2)</f>
        <v>0</v>
      </c>
      <c r="AY151" s="26" t="s">
        <v>469</v>
      </c>
      <c r="AZ151" s="26" t="s">
        <v>419</v>
      </c>
      <c r="BA151" s="9" t="s">
        <v>60</v>
      </c>
      <c r="BC151" s="24">
        <f>AW151+AX151</f>
        <v>0</v>
      </c>
      <c r="BD151" s="24">
        <f>G151/(100-BE151)*100</f>
        <v>0</v>
      </c>
      <c r="BE151" s="24">
        <v>0</v>
      </c>
      <c r="BF151" s="24">
        <f>L151</f>
        <v>0</v>
      </c>
      <c r="BH151" s="24">
        <f>F151*AO151</f>
        <v>0</v>
      </c>
      <c r="BI151" s="24">
        <f>F151*AP151</f>
        <v>0</v>
      </c>
      <c r="BJ151" s="24">
        <f>F151*G151</f>
        <v>0</v>
      </c>
      <c r="BK151" s="24"/>
      <c r="BL151" s="24"/>
      <c r="BW151" s="24">
        <v>12</v>
      </c>
      <c r="BX151" s="4" t="s">
        <v>472</v>
      </c>
    </row>
    <row r="152" spans="1:76" ht="14.4" x14ac:dyDescent="0.3">
      <c r="A152" s="27" t="s">
        <v>51</v>
      </c>
      <c r="B152" s="28" t="s">
        <v>473</v>
      </c>
      <c r="C152" s="94" t="s">
        <v>300</v>
      </c>
      <c r="D152" s="95"/>
      <c r="E152" s="29" t="s">
        <v>18</v>
      </c>
      <c r="F152" s="29" t="s">
        <v>18</v>
      </c>
      <c r="G152" s="29" t="s">
        <v>18</v>
      </c>
      <c r="H152" s="1">
        <f>SUM(H153:H155)</f>
        <v>0</v>
      </c>
      <c r="I152" s="1">
        <f>SUM(I153:I155)</f>
        <v>0</v>
      </c>
      <c r="J152" s="1">
        <f>SUM(J153:J155)</f>
        <v>0</v>
      </c>
      <c r="K152" s="9" t="s">
        <v>51</v>
      </c>
      <c r="L152" s="30">
        <f>SUM(L153:L155)</f>
        <v>0</v>
      </c>
      <c r="AI152" s="9" t="s">
        <v>51</v>
      </c>
      <c r="AS152" s="1">
        <f>SUM(AJ153:AJ155)</f>
        <v>0</v>
      </c>
      <c r="AT152" s="1">
        <f>SUM(AK153:AK155)</f>
        <v>0</v>
      </c>
      <c r="AU152" s="1">
        <f>SUM(AL153:AL155)</f>
        <v>0</v>
      </c>
    </row>
    <row r="153" spans="1:76" ht="14.4" x14ac:dyDescent="0.3">
      <c r="A153" s="2" t="s">
        <v>474</v>
      </c>
      <c r="B153" s="3" t="s">
        <v>475</v>
      </c>
      <c r="C153" s="76" t="s">
        <v>476</v>
      </c>
      <c r="D153" s="71"/>
      <c r="E153" s="3" t="s">
        <v>144</v>
      </c>
      <c r="F153" s="24">
        <v>3.2</v>
      </c>
      <c r="G153" s="24">
        <v>0</v>
      </c>
      <c r="H153" s="24">
        <f>ROUND(F153*AO153,2)</f>
        <v>0</v>
      </c>
      <c r="I153" s="24">
        <f>ROUND(F153*AP153,2)</f>
        <v>0</v>
      </c>
      <c r="J153" s="24">
        <f>ROUND(F153*G153,2)</f>
        <v>0</v>
      </c>
      <c r="K153" s="24">
        <v>0</v>
      </c>
      <c r="L153" s="25">
        <f>F153*K153</f>
        <v>0</v>
      </c>
      <c r="Z153" s="24">
        <f>ROUND(IF(AQ153="5",BJ153,0),2)</f>
        <v>0</v>
      </c>
      <c r="AB153" s="24">
        <f>ROUND(IF(AQ153="1",BH153,0),2)</f>
        <v>0</v>
      </c>
      <c r="AC153" s="24">
        <f>ROUND(IF(AQ153="1",BI153,0),2)</f>
        <v>0</v>
      </c>
      <c r="AD153" s="24">
        <f>ROUND(IF(AQ153="7",BH153,0),2)</f>
        <v>0</v>
      </c>
      <c r="AE153" s="24">
        <f>ROUND(IF(AQ153="7",BI153,0),2)</f>
        <v>0</v>
      </c>
      <c r="AF153" s="24">
        <f>ROUND(IF(AQ153="2",BH153,0),2)</f>
        <v>0</v>
      </c>
      <c r="AG153" s="24">
        <f>ROUND(IF(AQ153="2",BI153,0),2)</f>
        <v>0</v>
      </c>
      <c r="AH153" s="24">
        <f>ROUND(IF(AQ153="0",BJ153,0),2)</f>
        <v>0</v>
      </c>
      <c r="AI153" s="9" t="s">
        <v>51</v>
      </c>
      <c r="AJ153" s="24">
        <f>IF(AN153=0,J153,0)</f>
        <v>0</v>
      </c>
      <c r="AK153" s="24">
        <f>IF(AN153=12,J153,0)</f>
        <v>0</v>
      </c>
      <c r="AL153" s="24">
        <f>IF(AN153=21,J153,0)</f>
        <v>0</v>
      </c>
      <c r="AN153" s="24">
        <v>12</v>
      </c>
      <c r="AO153" s="24">
        <f>G153*0</f>
        <v>0</v>
      </c>
      <c r="AP153" s="24">
        <f>G153*(1-0)</f>
        <v>0</v>
      </c>
      <c r="AQ153" s="26" t="s">
        <v>76</v>
      </c>
      <c r="AV153" s="24">
        <f>ROUND(AW153+AX153,2)</f>
        <v>0</v>
      </c>
      <c r="AW153" s="24">
        <f>ROUND(F153*AO153,2)</f>
        <v>0</v>
      </c>
      <c r="AX153" s="24">
        <f>ROUND(F153*AP153,2)</f>
        <v>0</v>
      </c>
      <c r="AY153" s="26" t="s">
        <v>477</v>
      </c>
      <c r="AZ153" s="26" t="s">
        <v>419</v>
      </c>
      <c r="BA153" s="9" t="s">
        <v>60</v>
      </c>
      <c r="BC153" s="24">
        <f>AW153+AX153</f>
        <v>0</v>
      </c>
      <c r="BD153" s="24">
        <f>G153/(100-BE153)*100</f>
        <v>0</v>
      </c>
      <c r="BE153" s="24">
        <v>0</v>
      </c>
      <c r="BF153" s="24">
        <f>L153</f>
        <v>0</v>
      </c>
      <c r="BH153" s="24">
        <f>F153*AO153</f>
        <v>0</v>
      </c>
      <c r="BI153" s="24">
        <f>F153*AP153</f>
        <v>0</v>
      </c>
      <c r="BJ153" s="24">
        <f>F153*G153</f>
        <v>0</v>
      </c>
      <c r="BK153" s="24"/>
      <c r="BL153" s="24"/>
      <c r="BW153" s="24">
        <v>12</v>
      </c>
      <c r="BX153" s="4" t="s">
        <v>476</v>
      </c>
    </row>
    <row r="154" spans="1:76" ht="14.4" x14ac:dyDescent="0.3">
      <c r="A154" s="2" t="s">
        <v>478</v>
      </c>
      <c r="B154" s="3" t="s">
        <v>479</v>
      </c>
      <c r="C154" s="76" t="s">
        <v>480</v>
      </c>
      <c r="D154" s="71"/>
      <c r="E154" s="3" t="s">
        <v>144</v>
      </c>
      <c r="F154" s="24">
        <v>1.1000000000000001</v>
      </c>
      <c r="G154" s="24">
        <v>0</v>
      </c>
      <c r="H154" s="24">
        <f>ROUND(F154*AO154,2)</f>
        <v>0</v>
      </c>
      <c r="I154" s="24">
        <f>ROUND(F154*AP154,2)</f>
        <v>0</v>
      </c>
      <c r="J154" s="24">
        <f>ROUND(F154*G154,2)</f>
        <v>0</v>
      </c>
      <c r="K154" s="24">
        <v>0</v>
      </c>
      <c r="L154" s="25">
        <f>F154*K154</f>
        <v>0</v>
      </c>
      <c r="Z154" s="24">
        <f>ROUND(IF(AQ154="5",BJ154,0),2)</f>
        <v>0</v>
      </c>
      <c r="AB154" s="24">
        <f>ROUND(IF(AQ154="1",BH154,0),2)</f>
        <v>0</v>
      </c>
      <c r="AC154" s="24">
        <f>ROUND(IF(AQ154="1",BI154,0),2)</f>
        <v>0</v>
      </c>
      <c r="AD154" s="24">
        <f>ROUND(IF(AQ154="7",BH154,0),2)</f>
        <v>0</v>
      </c>
      <c r="AE154" s="24">
        <f>ROUND(IF(AQ154="7",BI154,0),2)</f>
        <v>0</v>
      </c>
      <c r="AF154" s="24">
        <f>ROUND(IF(AQ154="2",BH154,0),2)</f>
        <v>0</v>
      </c>
      <c r="AG154" s="24">
        <f>ROUND(IF(AQ154="2",BI154,0),2)</f>
        <v>0</v>
      </c>
      <c r="AH154" s="24">
        <f>ROUND(IF(AQ154="0",BJ154,0),2)</f>
        <v>0</v>
      </c>
      <c r="AI154" s="9" t="s">
        <v>51</v>
      </c>
      <c r="AJ154" s="24">
        <f>IF(AN154=0,J154,0)</f>
        <v>0</v>
      </c>
      <c r="AK154" s="24">
        <f>IF(AN154=12,J154,0)</f>
        <v>0</v>
      </c>
      <c r="AL154" s="24">
        <f>IF(AN154=21,J154,0)</f>
        <v>0</v>
      </c>
      <c r="AN154" s="24">
        <v>12</v>
      </c>
      <c r="AO154" s="24">
        <f>G154*0</f>
        <v>0</v>
      </c>
      <c r="AP154" s="24">
        <f>G154*(1-0)</f>
        <v>0</v>
      </c>
      <c r="AQ154" s="26" t="s">
        <v>76</v>
      </c>
      <c r="AV154" s="24">
        <f>ROUND(AW154+AX154,2)</f>
        <v>0</v>
      </c>
      <c r="AW154" s="24">
        <f>ROUND(F154*AO154,2)</f>
        <v>0</v>
      </c>
      <c r="AX154" s="24">
        <f>ROUND(F154*AP154,2)</f>
        <v>0</v>
      </c>
      <c r="AY154" s="26" t="s">
        <v>477</v>
      </c>
      <c r="AZ154" s="26" t="s">
        <v>419</v>
      </c>
      <c r="BA154" s="9" t="s">
        <v>60</v>
      </c>
      <c r="BC154" s="24">
        <f>AW154+AX154</f>
        <v>0</v>
      </c>
      <c r="BD154" s="24">
        <f>G154/(100-BE154)*100</f>
        <v>0</v>
      </c>
      <c r="BE154" s="24">
        <v>0</v>
      </c>
      <c r="BF154" s="24">
        <f>L154</f>
        <v>0</v>
      </c>
      <c r="BH154" s="24">
        <f>F154*AO154</f>
        <v>0</v>
      </c>
      <c r="BI154" s="24">
        <f>F154*AP154</f>
        <v>0</v>
      </c>
      <c r="BJ154" s="24">
        <f>F154*G154</f>
        <v>0</v>
      </c>
      <c r="BK154" s="24"/>
      <c r="BL154" s="24"/>
      <c r="BW154" s="24">
        <v>12</v>
      </c>
      <c r="BX154" s="4" t="s">
        <v>480</v>
      </c>
    </row>
    <row r="155" spans="1:76" ht="14.4" x14ac:dyDescent="0.3">
      <c r="A155" s="2" t="s">
        <v>481</v>
      </c>
      <c r="B155" s="3" t="s">
        <v>482</v>
      </c>
      <c r="C155" s="76" t="s">
        <v>483</v>
      </c>
      <c r="D155" s="71"/>
      <c r="E155" s="3" t="s">
        <v>144</v>
      </c>
      <c r="F155" s="24">
        <v>3.2</v>
      </c>
      <c r="G155" s="24">
        <v>0</v>
      </c>
      <c r="H155" s="24">
        <f>ROUND(F155*AO155,2)</f>
        <v>0</v>
      </c>
      <c r="I155" s="24">
        <f>ROUND(F155*AP155,2)</f>
        <v>0</v>
      </c>
      <c r="J155" s="24">
        <f>ROUND(F155*G155,2)</f>
        <v>0</v>
      </c>
      <c r="K155" s="24">
        <v>0</v>
      </c>
      <c r="L155" s="25">
        <f>F155*K155</f>
        <v>0</v>
      </c>
      <c r="Z155" s="24">
        <f>ROUND(IF(AQ155="5",BJ155,0),2)</f>
        <v>0</v>
      </c>
      <c r="AB155" s="24">
        <f>ROUND(IF(AQ155="1",BH155,0),2)</f>
        <v>0</v>
      </c>
      <c r="AC155" s="24">
        <f>ROUND(IF(AQ155="1",BI155,0),2)</f>
        <v>0</v>
      </c>
      <c r="AD155" s="24">
        <f>ROUND(IF(AQ155="7",BH155,0),2)</f>
        <v>0</v>
      </c>
      <c r="AE155" s="24">
        <f>ROUND(IF(AQ155="7",BI155,0),2)</f>
        <v>0</v>
      </c>
      <c r="AF155" s="24">
        <f>ROUND(IF(AQ155="2",BH155,0),2)</f>
        <v>0</v>
      </c>
      <c r="AG155" s="24">
        <f>ROUND(IF(AQ155="2",BI155,0),2)</f>
        <v>0</v>
      </c>
      <c r="AH155" s="24">
        <f>ROUND(IF(AQ155="0",BJ155,0),2)</f>
        <v>0</v>
      </c>
      <c r="AI155" s="9" t="s">
        <v>51</v>
      </c>
      <c r="AJ155" s="24">
        <f>IF(AN155=0,J155,0)</f>
        <v>0</v>
      </c>
      <c r="AK155" s="24">
        <f>IF(AN155=12,J155,0)</f>
        <v>0</v>
      </c>
      <c r="AL155" s="24">
        <f>IF(AN155=21,J155,0)</f>
        <v>0</v>
      </c>
      <c r="AN155" s="24">
        <v>12</v>
      </c>
      <c r="AO155" s="24">
        <f>G155*0</f>
        <v>0</v>
      </c>
      <c r="AP155" s="24">
        <f>G155*(1-0)</f>
        <v>0</v>
      </c>
      <c r="AQ155" s="26" t="s">
        <v>76</v>
      </c>
      <c r="AV155" s="24">
        <f>ROUND(AW155+AX155,2)</f>
        <v>0</v>
      </c>
      <c r="AW155" s="24">
        <f>ROUND(F155*AO155,2)</f>
        <v>0</v>
      </c>
      <c r="AX155" s="24">
        <f>ROUND(F155*AP155,2)</f>
        <v>0</v>
      </c>
      <c r="AY155" s="26" t="s">
        <v>477</v>
      </c>
      <c r="AZ155" s="26" t="s">
        <v>419</v>
      </c>
      <c r="BA155" s="9" t="s">
        <v>60</v>
      </c>
      <c r="BC155" s="24">
        <f>AW155+AX155</f>
        <v>0</v>
      </c>
      <c r="BD155" s="24">
        <f>G155/(100-BE155)*100</f>
        <v>0</v>
      </c>
      <c r="BE155" s="24">
        <v>0</v>
      </c>
      <c r="BF155" s="24">
        <f>L155</f>
        <v>0</v>
      </c>
      <c r="BH155" s="24">
        <f>F155*AO155</f>
        <v>0</v>
      </c>
      <c r="BI155" s="24">
        <f>F155*AP155</f>
        <v>0</v>
      </c>
      <c r="BJ155" s="24">
        <f>F155*G155</f>
        <v>0</v>
      </c>
      <c r="BK155" s="24"/>
      <c r="BL155" s="24"/>
      <c r="BW155" s="24">
        <v>12</v>
      </c>
      <c r="BX155" s="4" t="s">
        <v>483</v>
      </c>
    </row>
    <row r="156" spans="1:76" ht="14.4" x14ac:dyDescent="0.3">
      <c r="A156" s="27" t="s">
        <v>51</v>
      </c>
      <c r="B156" s="28" t="s">
        <v>484</v>
      </c>
      <c r="C156" s="94" t="s">
        <v>485</v>
      </c>
      <c r="D156" s="95"/>
      <c r="E156" s="29" t="s">
        <v>18</v>
      </c>
      <c r="F156" s="29" t="s">
        <v>18</v>
      </c>
      <c r="G156" s="29" t="s">
        <v>18</v>
      </c>
      <c r="H156" s="1">
        <f>SUM(H157:H158)</f>
        <v>0</v>
      </c>
      <c r="I156" s="1">
        <f>SUM(I157:I158)</f>
        <v>0</v>
      </c>
      <c r="J156" s="1">
        <f>SUM(J157:J158)</f>
        <v>0</v>
      </c>
      <c r="K156" s="9" t="s">
        <v>51</v>
      </c>
      <c r="L156" s="30">
        <f>SUM(L157:L158)</f>
        <v>0</v>
      </c>
      <c r="AI156" s="9" t="s">
        <v>51</v>
      </c>
      <c r="AS156" s="1">
        <f>SUM(AJ157:AJ158)</f>
        <v>0</v>
      </c>
      <c r="AT156" s="1">
        <f>SUM(AK157:AK158)</f>
        <v>0</v>
      </c>
      <c r="AU156" s="1">
        <f>SUM(AL157:AL158)</f>
        <v>0</v>
      </c>
    </row>
    <row r="157" spans="1:76" ht="14.4" x14ac:dyDescent="0.3">
      <c r="A157" s="2" t="s">
        <v>486</v>
      </c>
      <c r="B157" s="3" t="s">
        <v>487</v>
      </c>
      <c r="C157" s="76" t="s">
        <v>488</v>
      </c>
      <c r="D157" s="71"/>
      <c r="E157" s="3" t="s">
        <v>144</v>
      </c>
      <c r="F157" s="24">
        <v>1</v>
      </c>
      <c r="G157" s="24">
        <v>0</v>
      </c>
      <c r="H157" s="24">
        <f>ROUND(F157*AO157,2)</f>
        <v>0</v>
      </c>
      <c r="I157" s="24">
        <f>ROUND(F157*AP157,2)</f>
        <v>0</v>
      </c>
      <c r="J157" s="24">
        <f>ROUND(F157*G157,2)</f>
        <v>0</v>
      </c>
      <c r="K157" s="24">
        <v>0</v>
      </c>
      <c r="L157" s="25">
        <f>F157*K157</f>
        <v>0</v>
      </c>
      <c r="Z157" s="24">
        <f>ROUND(IF(AQ157="5",BJ157,0),2)</f>
        <v>0</v>
      </c>
      <c r="AB157" s="24">
        <f>ROUND(IF(AQ157="1",BH157,0),2)</f>
        <v>0</v>
      </c>
      <c r="AC157" s="24">
        <f>ROUND(IF(AQ157="1",BI157,0),2)</f>
        <v>0</v>
      </c>
      <c r="AD157" s="24">
        <f>ROUND(IF(AQ157="7",BH157,0),2)</f>
        <v>0</v>
      </c>
      <c r="AE157" s="24">
        <f>ROUND(IF(AQ157="7",BI157,0),2)</f>
        <v>0</v>
      </c>
      <c r="AF157" s="24">
        <f>ROUND(IF(AQ157="2",BH157,0),2)</f>
        <v>0</v>
      </c>
      <c r="AG157" s="24">
        <f>ROUND(IF(AQ157="2",BI157,0),2)</f>
        <v>0</v>
      </c>
      <c r="AH157" s="24">
        <f>ROUND(IF(AQ157="0",BJ157,0),2)</f>
        <v>0</v>
      </c>
      <c r="AI157" s="9" t="s">
        <v>51</v>
      </c>
      <c r="AJ157" s="24">
        <f>IF(AN157=0,J157,0)</f>
        <v>0</v>
      </c>
      <c r="AK157" s="24">
        <f>IF(AN157=12,J157,0)</f>
        <v>0</v>
      </c>
      <c r="AL157" s="24">
        <f>IF(AN157=21,J157,0)</f>
        <v>0</v>
      </c>
      <c r="AN157" s="24">
        <v>12</v>
      </c>
      <c r="AO157" s="24">
        <f>G157*0</f>
        <v>0</v>
      </c>
      <c r="AP157" s="24">
        <f>G157*(1-0)</f>
        <v>0</v>
      </c>
      <c r="AQ157" s="26" t="s">
        <v>76</v>
      </c>
      <c r="AV157" s="24">
        <f>ROUND(AW157+AX157,2)</f>
        <v>0</v>
      </c>
      <c r="AW157" s="24">
        <f>ROUND(F157*AO157,2)</f>
        <v>0</v>
      </c>
      <c r="AX157" s="24">
        <f>ROUND(F157*AP157,2)</f>
        <v>0</v>
      </c>
      <c r="AY157" s="26" t="s">
        <v>489</v>
      </c>
      <c r="AZ157" s="26" t="s">
        <v>419</v>
      </c>
      <c r="BA157" s="9" t="s">
        <v>60</v>
      </c>
      <c r="BC157" s="24">
        <f>AW157+AX157</f>
        <v>0</v>
      </c>
      <c r="BD157" s="24">
        <f>G157/(100-BE157)*100</f>
        <v>0</v>
      </c>
      <c r="BE157" s="24">
        <v>0</v>
      </c>
      <c r="BF157" s="24">
        <f>L157</f>
        <v>0</v>
      </c>
      <c r="BH157" s="24">
        <f>F157*AO157</f>
        <v>0</v>
      </c>
      <c r="BI157" s="24">
        <f>F157*AP157</f>
        <v>0</v>
      </c>
      <c r="BJ157" s="24">
        <f>F157*G157</f>
        <v>0</v>
      </c>
      <c r="BK157" s="24"/>
      <c r="BL157" s="24"/>
      <c r="BW157" s="24">
        <v>12</v>
      </c>
      <c r="BX157" s="4" t="s">
        <v>488</v>
      </c>
    </row>
    <row r="158" spans="1:76" ht="14.4" x14ac:dyDescent="0.3">
      <c r="A158" s="31" t="s">
        <v>490</v>
      </c>
      <c r="B158" s="32" t="s">
        <v>491</v>
      </c>
      <c r="C158" s="96" t="s">
        <v>492</v>
      </c>
      <c r="D158" s="97"/>
      <c r="E158" s="32" t="s">
        <v>144</v>
      </c>
      <c r="F158" s="33">
        <v>3</v>
      </c>
      <c r="G158" s="33">
        <v>0</v>
      </c>
      <c r="H158" s="33">
        <f>ROUND(F158*AO158,2)</f>
        <v>0</v>
      </c>
      <c r="I158" s="33">
        <f>ROUND(F158*AP158,2)</f>
        <v>0</v>
      </c>
      <c r="J158" s="33">
        <f>ROUND(F158*G158,2)</f>
        <v>0</v>
      </c>
      <c r="K158" s="33">
        <v>0</v>
      </c>
      <c r="L158" s="34">
        <f>F158*K158</f>
        <v>0</v>
      </c>
      <c r="Z158" s="24">
        <f>ROUND(IF(AQ158="5",BJ158,0),2)</f>
        <v>0</v>
      </c>
      <c r="AB158" s="24">
        <f>ROUND(IF(AQ158="1",BH158,0),2)</f>
        <v>0</v>
      </c>
      <c r="AC158" s="24">
        <f>ROUND(IF(AQ158="1",BI158,0),2)</f>
        <v>0</v>
      </c>
      <c r="AD158" s="24">
        <f>ROUND(IF(AQ158="7",BH158,0),2)</f>
        <v>0</v>
      </c>
      <c r="AE158" s="24">
        <f>ROUND(IF(AQ158="7",BI158,0),2)</f>
        <v>0</v>
      </c>
      <c r="AF158" s="24">
        <f>ROUND(IF(AQ158="2",BH158,0),2)</f>
        <v>0</v>
      </c>
      <c r="AG158" s="24">
        <f>ROUND(IF(AQ158="2",BI158,0),2)</f>
        <v>0</v>
      </c>
      <c r="AH158" s="24">
        <f>ROUND(IF(AQ158="0",BJ158,0),2)</f>
        <v>0</v>
      </c>
      <c r="AI158" s="9" t="s">
        <v>51</v>
      </c>
      <c r="AJ158" s="24">
        <f>IF(AN158=0,J158,0)</f>
        <v>0</v>
      </c>
      <c r="AK158" s="24">
        <f>IF(AN158=12,J158,0)</f>
        <v>0</v>
      </c>
      <c r="AL158" s="24">
        <f>IF(AN158=21,J158,0)</f>
        <v>0</v>
      </c>
      <c r="AN158" s="24">
        <v>12</v>
      </c>
      <c r="AO158" s="24">
        <f>G158*0</f>
        <v>0</v>
      </c>
      <c r="AP158" s="24">
        <f>G158*(1-0)</f>
        <v>0</v>
      </c>
      <c r="AQ158" s="26" t="s">
        <v>76</v>
      </c>
      <c r="AV158" s="24">
        <f>ROUND(AW158+AX158,2)</f>
        <v>0</v>
      </c>
      <c r="AW158" s="24">
        <f>ROUND(F158*AO158,2)</f>
        <v>0</v>
      </c>
      <c r="AX158" s="24">
        <f>ROUND(F158*AP158,2)</f>
        <v>0</v>
      </c>
      <c r="AY158" s="26" t="s">
        <v>489</v>
      </c>
      <c r="AZ158" s="26" t="s">
        <v>419</v>
      </c>
      <c r="BA158" s="9" t="s">
        <v>60</v>
      </c>
      <c r="BC158" s="24">
        <f>AW158+AX158</f>
        <v>0</v>
      </c>
      <c r="BD158" s="24">
        <f>G158/(100-BE158)*100</f>
        <v>0</v>
      </c>
      <c r="BE158" s="24">
        <v>0</v>
      </c>
      <c r="BF158" s="24">
        <f>L158</f>
        <v>0</v>
      </c>
      <c r="BH158" s="24">
        <f>F158*AO158</f>
        <v>0</v>
      </c>
      <c r="BI158" s="24">
        <f>F158*AP158</f>
        <v>0</v>
      </c>
      <c r="BJ158" s="24">
        <f>F158*G158</f>
        <v>0</v>
      </c>
      <c r="BK158" s="24"/>
      <c r="BL158" s="24"/>
      <c r="BW158" s="24">
        <v>12</v>
      </c>
      <c r="BX158" s="4" t="s">
        <v>492</v>
      </c>
    </row>
    <row r="159" spans="1:76" ht="14.4" x14ac:dyDescent="0.3">
      <c r="H159" s="98" t="s">
        <v>493</v>
      </c>
      <c r="I159" s="98"/>
      <c r="J159" s="35">
        <f>ROUND(J12+J14+J44+J84+J93+J123+J131+J133+J139+J141+J145+J149+J152+J156,0)</f>
        <v>0</v>
      </c>
    </row>
    <row r="160" spans="1:76" ht="14.4" x14ac:dyDescent="0.3">
      <c r="A160" s="36" t="s">
        <v>494</v>
      </c>
    </row>
    <row r="161" spans="1:12" ht="13.5" customHeight="1" x14ac:dyDescent="0.3">
      <c r="A161" s="76" t="s">
        <v>495</v>
      </c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</row>
  </sheetData>
  <mergeCells count="178">
    <mergeCell ref="H159:I159"/>
    <mergeCell ref="A161:L161"/>
    <mergeCell ref="C154:D154"/>
    <mergeCell ref="C155:D155"/>
    <mergeCell ref="C156:D156"/>
    <mergeCell ref="C157:D157"/>
    <mergeCell ref="C158:D158"/>
    <mergeCell ref="C149:D149"/>
    <mergeCell ref="C150:D150"/>
    <mergeCell ref="C151:D151"/>
    <mergeCell ref="C152:D152"/>
    <mergeCell ref="C153:D153"/>
    <mergeCell ref="C144:D144"/>
    <mergeCell ref="C145:D145"/>
    <mergeCell ref="C146:D146"/>
    <mergeCell ref="C147:D147"/>
    <mergeCell ref="C148:D148"/>
    <mergeCell ref="C139:D139"/>
    <mergeCell ref="C140:D140"/>
    <mergeCell ref="C141:D141"/>
    <mergeCell ref="C142:D142"/>
    <mergeCell ref="C143:D143"/>
    <mergeCell ref="C134:D134"/>
    <mergeCell ref="C135:D135"/>
    <mergeCell ref="C136:D136"/>
    <mergeCell ref="C137:D137"/>
    <mergeCell ref="C138:D138"/>
    <mergeCell ref="C129:D129"/>
    <mergeCell ref="C130:D130"/>
    <mergeCell ref="C131:D131"/>
    <mergeCell ref="C132:D132"/>
    <mergeCell ref="C133:D133"/>
    <mergeCell ref="C124:D124"/>
    <mergeCell ref="C125:D125"/>
    <mergeCell ref="C126:D126"/>
    <mergeCell ref="C127:D127"/>
    <mergeCell ref="C128:D128"/>
    <mergeCell ref="C119:D119"/>
    <mergeCell ref="C120:D120"/>
    <mergeCell ref="C121:D121"/>
    <mergeCell ref="C122:D122"/>
    <mergeCell ref="C123:D123"/>
    <mergeCell ref="C114:D114"/>
    <mergeCell ref="C115:D115"/>
    <mergeCell ref="C116:D116"/>
    <mergeCell ref="C117:D117"/>
    <mergeCell ref="C118:D118"/>
    <mergeCell ref="C109:D109"/>
    <mergeCell ref="C110:D110"/>
    <mergeCell ref="C111:D111"/>
    <mergeCell ref="C112:D112"/>
    <mergeCell ref="C113:D113"/>
    <mergeCell ref="C104:D104"/>
    <mergeCell ref="C105:D105"/>
    <mergeCell ref="C106:D106"/>
    <mergeCell ref="C107:D107"/>
    <mergeCell ref="C108:D108"/>
    <mergeCell ref="C99:D99"/>
    <mergeCell ref="C100:D100"/>
    <mergeCell ref="C101:D101"/>
    <mergeCell ref="C102:D102"/>
    <mergeCell ref="C103:D103"/>
    <mergeCell ref="C94:D94"/>
    <mergeCell ref="C95:D95"/>
    <mergeCell ref="C96:D96"/>
    <mergeCell ref="C97:D97"/>
    <mergeCell ref="C98:D98"/>
    <mergeCell ref="C89:D89"/>
    <mergeCell ref="C90:D90"/>
    <mergeCell ref="C91:D91"/>
    <mergeCell ref="C92:D92"/>
    <mergeCell ref="C93:D93"/>
    <mergeCell ref="C84:D84"/>
    <mergeCell ref="C85:D85"/>
    <mergeCell ref="C86:D86"/>
    <mergeCell ref="C87:D87"/>
    <mergeCell ref="C88:D88"/>
    <mergeCell ref="C79:D79"/>
    <mergeCell ref="C80:D80"/>
    <mergeCell ref="C81:D81"/>
    <mergeCell ref="C82:D82"/>
    <mergeCell ref="C83:D83"/>
    <mergeCell ref="C74:D74"/>
    <mergeCell ref="C75:D75"/>
    <mergeCell ref="C76:D76"/>
    <mergeCell ref="C77:D77"/>
    <mergeCell ref="C78:D78"/>
    <mergeCell ref="C69:D69"/>
    <mergeCell ref="C70:D70"/>
    <mergeCell ref="C71:D71"/>
    <mergeCell ref="C72:D72"/>
    <mergeCell ref="C73:D73"/>
    <mergeCell ref="C64:D64"/>
    <mergeCell ref="C65:D65"/>
    <mergeCell ref="C66:D66"/>
    <mergeCell ref="C67:D67"/>
    <mergeCell ref="C68:D68"/>
    <mergeCell ref="C59:D59"/>
    <mergeCell ref="C60:D60"/>
    <mergeCell ref="C61:D61"/>
    <mergeCell ref="C62:D62"/>
    <mergeCell ref="C63:D63"/>
    <mergeCell ref="C54:D54"/>
    <mergeCell ref="C55:D55"/>
    <mergeCell ref="C56:D56"/>
    <mergeCell ref="C57:D57"/>
    <mergeCell ref="C58:D58"/>
    <mergeCell ref="C49:D49"/>
    <mergeCell ref="C50:D50"/>
    <mergeCell ref="C51:D51"/>
    <mergeCell ref="C52:D52"/>
    <mergeCell ref="C53:D53"/>
    <mergeCell ref="C44:D44"/>
    <mergeCell ref="C45:D45"/>
    <mergeCell ref="C46:D46"/>
    <mergeCell ref="C47:D47"/>
    <mergeCell ref="C48:D48"/>
    <mergeCell ref="C39:D39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11:D11"/>
    <mergeCell ref="H10:J10"/>
    <mergeCell ref="K10:L10"/>
    <mergeCell ref="C12:D12"/>
    <mergeCell ref="C13:D13"/>
    <mergeCell ref="I2:L3"/>
    <mergeCell ref="I4:L5"/>
    <mergeCell ref="I6:L7"/>
    <mergeCell ref="I8:L9"/>
    <mergeCell ref="C10:D10"/>
    <mergeCell ref="C8:D9"/>
    <mergeCell ref="G2:G3"/>
    <mergeCell ref="G4:G5"/>
    <mergeCell ref="G6:G7"/>
    <mergeCell ref="G8:G9"/>
    <mergeCell ref="A1:L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0"/>
  <sheetViews>
    <sheetView workbookViewId="0">
      <selection activeCell="A160" sqref="A160:G160"/>
    </sheetView>
  </sheetViews>
  <sheetFormatPr defaultColWidth="12.109375" defaultRowHeight="15" customHeight="1" x14ac:dyDescent="0.3"/>
  <cols>
    <col min="1" max="2" width="9.109375" customWidth="1"/>
    <col min="3" max="3" width="14.33203125" customWidth="1"/>
    <col min="4" max="4" width="42.88671875" customWidth="1"/>
    <col min="5" max="5" width="96.33203125" customWidth="1"/>
    <col min="6" max="6" width="24.109375" customWidth="1"/>
    <col min="7" max="7" width="15.6640625" customWidth="1"/>
    <col min="8" max="8" width="20" customWidth="1"/>
  </cols>
  <sheetData>
    <row r="1" spans="1:8" ht="54.75" customHeight="1" x14ac:dyDescent="0.3">
      <c r="A1" s="67" t="s">
        <v>496</v>
      </c>
      <c r="B1" s="67"/>
      <c r="C1" s="67"/>
      <c r="D1" s="67"/>
      <c r="E1" s="67"/>
      <c r="F1" s="67"/>
      <c r="G1" s="67"/>
      <c r="H1" s="67"/>
    </row>
    <row r="2" spans="1:8" ht="14.4" x14ac:dyDescent="0.3">
      <c r="A2" s="68" t="s">
        <v>1</v>
      </c>
      <c r="B2" s="69"/>
      <c r="C2" s="77" t="str">
        <f>'Stavební rozpočet'!C2</f>
        <v>Stavební úpravy bytového domu - část ZTI</v>
      </c>
      <c r="D2" s="78"/>
      <c r="E2" s="75" t="s">
        <v>5</v>
      </c>
      <c r="F2" s="75" t="str">
        <f>'Stavební rozpočet'!I2</f>
        <v>Město Bohumín, Masarykova158, 735 81 Bohumín</v>
      </c>
      <c r="G2" s="69"/>
      <c r="H2" s="80"/>
    </row>
    <row r="3" spans="1:8" ht="15" customHeight="1" x14ac:dyDescent="0.3">
      <c r="A3" s="70"/>
      <c r="B3" s="71"/>
      <c r="C3" s="79"/>
      <c r="D3" s="79"/>
      <c r="E3" s="71"/>
      <c r="F3" s="71"/>
      <c r="G3" s="71"/>
      <c r="H3" s="81"/>
    </row>
    <row r="4" spans="1:8" ht="14.4" x14ac:dyDescent="0.3">
      <c r="A4" s="72" t="s">
        <v>7</v>
      </c>
      <c r="B4" s="71"/>
      <c r="C4" s="76" t="str">
        <f>'Stavební rozpočet'!C4</f>
        <v>Budova pro bydlení</v>
      </c>
      <c r="D4" s="71"/>
      <c r="E4" s="76" t="s">
        <v>10</v>
      </c>
      <c r="F4" s="76" t="str">
        <f>'Stavební rozpočet'!I4</f>
        <v>Ing. Stanislav Wilczek</v>
      </c>
      <c r="G4" s="71"/>
      <c r="H4" s="81"/>
    </row>
    <row r="5" spans="1:8" ht="15" customHeight="1" x14ac:dyDescent="0.3">
      <c r="A5" s="70"/>
      <c r="B5" s="71"/>
      <c r="C5" s="71"/>
      <c r="D5" s="71"/>
      <c r="E5" s="71"/>
      <c r="F5" s="71"/>
      <c r="G5" s="71"/>
      <c r="H5" s="81"/>
    </row>
    <row r="6" spans="1:8" ht="14.4" x14ac:dyDescent="0.3">
      <c r="A6" s="72" t="s">
        <v>12</v>
      </c>
      <c r="B6" s="71"/>
      <c r="C6" s="76" t="str">
        <f>'Stavební rozpočet'!C6</f>
        <v>Partyzánská 302, Bohumín – Pudlov</v>
      </c>
      <c r="D6" s="71"/>
      <c r="E6" s="76" t="s">
        <v>15</v>
      </c>
      <c r="F6" s="76" t="str">
        <f>'Stavební rozpočet'!I6</f>
        <v> </v>
      </c>
      <c r="G6" s="71"/>
      <c r="H6" s="81"/>
    </row>
    <row r="7" spans="1:8" ht="15" customHeight="1" x14ac:dyDescent="0.3">
      <c r="A7" s="70"/>
      <c r="B7" s="71"/>
      <c r="C7" s="71"/>
      <c r="D7" s="71"/>
      <c r="E7" s="71"/>
      <c r="F7" s="71"/>
      <c r="G7" s="71"/>
      <c r="H7" s="81"/>
    </row>
    <row r="8" spans="1:8" ht="14.4" x14ac:dyDescent="0.3">
      <c r="A8" s="72" t="s">
        <v>21</v>
      </c>
      <c r="B8" s="71"/>
      <c r="C8" s="76" t="str">
        <f>'Stavební rozpočet'!I8</f>
        <v>Ing. Stanislav Wilczek</v>
      </c>
      <c r="D8" s="71"/>
      <c r="E8" s="76" t="s">
        <v>19</v>
      </c>
      <c r="F8" s="76" t="str">
        <f>'Stavební rozpočet'!G8</f>
        <v>16.02.2025</v>
      </c>
      <c r="G8" s="71"/>
      <c r="H8" s="81"/>
    </row>
    <row r="9" spans="1:8" ht="14.4" x14ac:dyDescent="0.3">
      <c r="A9" s="73"/>
      <c r="B9" s="74"/>
      <c r="C9" s="74"/>
      <c r="D9" s="74"/>
      <c r="E9" s="74"/>
      <c r="F9" s="74"/>
      <c r="G9" s="74"/>
      <c r="H9" s="82"/>
    </row>
    <row r="10" spans="1:8" ht="14.4" x14ac:dyDescent="0.3">
      <c r="A10" s="37" t="s">
        <v>22</v>
      </c>
      <c r="B10" s="38" t="s">
        <v>497</v>
      </c>
      <c r="C10" s="38" t="s">
        <v>23</v>
      </c>
      <c r="D10" s="99" t="s">
        <v>24</v>
      </c>
      <c r="E10" s="100"/>
      <c r="F10" s="38" t="s">
        <v>25</v>
      </c>
      <c r="G10" s="39" t="s">
        <v>26</v>
      </c>
      <c r="H10" s="40" t="s">
        <v>498</v>
      </c>
    </row>
    <row r="11" spans="1:8" ht="14.4" x14ac:dyDescent="0.3">
      <c r="A11" s="41" t="s">
        <v>51</v>
      </c>
      <c r="B11" s="19" t="s">
        <v>51</v>
      </c>
      <c r="C11" s="19" t="s">
        <v>52</v>
      </c>
      <c r="D11" s="93" t="s">
        <v>53</v>
      </c>
      <c r="E11" s="93"/>
      <c r="F11" s="19" t="s">
        <v>51</v>
      </c>
      <c r="G11" s="22" t="s">
        <v>51</v>
      </c>
      <c r="H11" s="42" t="s">
        <v>51</v>
      </c>
    </row>
    <row r="12" spans="1:8" ht="14.4" x14ac:dyDescent="0.3">
      <c r="A12" s="2" t="s">
        <v>54</v>
      </c>
      <c r="B12" s="3" t="s">
        <v>51</v>
      </c>
      <c r="C12" s="3" t="s">
        <v>55</v>
      </c>
      <c r="D12" s="71" t="s">
        <v>56</v>
      </c>
      <c r="E12" s="71"/>
      <c r="F12" s="3" t="s">
        <v>57</v>
      </c>
      <c r="G12" s="24">
        <v>6</v>
      </c>
      <c r="H12" s="25">
        <v>0</v>
      </c>
    </row>
    <row r="13" spans="1:8" ht="14.4" x14ac:dyDescent="0.3">
      <c r="A13" s="43" t="s">
        <v>51</v>
      </c>
      <c r="B13" s="28" t="s">
        <v>51</v>
      </c>
      <c r="C13" s="28" t="s">
        <v>61</v>
      </c>
      <c r="D13" s="95" t="s">
        <v>62</v>
      </c>
      <c r="E13" s="95"/>
      <c r="F13" s="28" t="s">
        <v>51</v>
      </c>
      <c r="G13" s="9" t="s">
        <v>51</v>
      </c>
      <c r="H13" s="44" t="s">
        <v>51</v>
      </c>
    </row>
    <row r="14" spans="1:8" ht="14.4" x14ac:dyDescent="0.3">
      <c r="A14" s="2" t="s">
        <v>63</v>
      </c>
      <c r="B14" s="3" t="s">
        <v>51</v>
      </c>
      <c r="C14" s="3" t="s">
        <v>64</v>
      </c>
      <c r="D14" s="71" t="s">
        <v>65</v>
      </c>
      <c r="E14" s="71"/>
      <c r="F14" s="3" t="s">
        <v>57</v>
      </c>
      <c r="G14" s="24">
        <v>1</v>
      </c>
      <c r="H14" s="25">
        <v>0</v>
      </c>
    </row>
    <row r="15" spans="1:8" ht="14.4" x14ac:dyDescent="0.3">
      <c r="A15" s="2" t="s">
        <v>69</v>
      </c>
      <c r="B15" s="3" t="s">
        <v>51</v>
      </c>
      <c r="C15" s="3" t="s">
        <v>70</v>
      </c>
      <c r="D15" s="71" t="s">
        <v>71</v>
      </c>
      <c r="E15" s="71"/>
      <c r="F15" s="3" t="s">
        <v>57</v>
      </c>
      <c r="G15" s="24">
        <v>1</v>
      </c>
      <c r="H15" s="25">
        <v>0</v>
      </c>
    </row>
    <row r="16" spans="1:8" ht="14.4" x14ac:dyDescent="0.3">
      <c r="A16" s="2" t="s">
        <v>72</v>
      </c>
      <c r="B16" s="3" t="s">
        <v>51</v>
      </c>
      <c r="C16" s="3" t="s">
        <v>73</v>
      </c>
      <c r="D16" s="71" t="s">
        <v>74</v>
      </c>
      <c r="E16" s="71"/>
      <c r="F16" s="3" t="s">
        <v>75</v>
      </c>
      <c r="G16" s="24">
        <v>40</v>
      </c>
      <c r="H16" s="25">
        <v>0</v>
      </c>
    </row>
    <row r="17" spans="1:8" ht="14.4" x14ac:dyDescent="0.3">
      <c r="A17" s="2" t="s">
        <v>76</v>
      </c>
      <c r="B17" s="3" t="s">
        <v>51</v>
      </c>
      <c r="C17" s="3" t="s">
        <v>77</v>
      </c>
      <c r="D17" s="71" t="s">
        <v>78</v>
      </c>
      <c r="E17" s="71"/>
      <c r="F17" s="3" t="s">
        <v>75</v>
      </c>
      <c r="G17" s="24">
        <v>40</v>
      </c>
      <c r="H17" s="25">
        <v>0</v>
      </c>
    </row>
    <row r="18" spans="1:8" ht="14.4" x14ac:dyDescent="0.3">
      <c r="A18" s="2" t="s">
        <v>79</v>
      </c>
      <c r="B18" s="3" t="s">
        <v>51</v>
      </c>
      <c r="C18" s="3" t="s">
        <v>80</v>
      </c>
      <c r="D18" s="71" t="s">
        <v>81</v>
      </c>
      <c r="E18" s="71"/>
      <c r="F18" s="3" t="s">
        <v>57</v>
      </c>
      <c r="G18" s="24">
        <v>1</v>
      </c>
      <c r="H18" s="25">
        <v>0</v>
      </c>
    </row>
    <row r="19" spans="1:8" ht="14.4" x14ac:dyDescent="0.3">
      <c r="A19" s="2" t="s">
        <v>66</v>
      </c>
      <c r="B19" s="3" t="s">
        <v>51</v>
      </c>
      <c r="C19" s="3" t="s">
        <v>82</v>
      </c>
      <c r="D19" s="71" t="s">
        <v>83</v>
      </c>
      <c r="E19" s="71"/>
      <c r="F19" s="3" t="s">
        <v>75</v>
      </c>
      <c r="G19" s="24">
        <v>3</v>
      </c>
      <c r="H19" s="25">
        <v>0</v>
      </c>
    </row>
    <row r="20" spans="1:8" ht="14.4" x14ac:dyDescent="0.3">
      <c r="A20" s="2" t="s">
        <v>84</v>
      </c>
      <c r="B20" s="3" t="s">
        <v>51</v>
      </c>
      <c r="C20" s="3" t="s">
        <v>85</v>
      </c>
      <c r="D20" s="71" t="s">
        <v>86</v>
      </c>
      <c r="E20" s="71"/>
      <c r="F20" s="3" t="s">
        <v>75</v>
      </c>
      <c r="G20" s="24">
        <v>27</v>
      </c>
      <c r="H20" s="25">
        <v>0</v>
      </c>
    </row>
    <row r="21" spans="1:8" ht="14.4" x14ac:dyDescent="0.3">
      <c r="A21" s="2" t="s">
        <v>87</v>
      </c>
      <c r="B21" s="3" t="s">
        <v>51</v>
      </c>
      <c r="C21" s="3" t="s">
        <v>88</v>
      </c>
      <c r="D21" s="71" t="s">
        <v>89</v>
      </c>
      <c r="E21" s="71"/>
      <c r="F21" s="3" t="s">
        <v>75</v>
      </c>
      <c r="G21" s="24">
        <v>7</v>
      </c>
      <c r="H21" s="25">
        <v>0</v>
      </c>
    </row>
    <row r="22" spans="1:8" ht="14.4" x14ac:dyDescent="0.3">
      <c r="A22" s="2" t="s">
        <v>90</v>
      </c>
      <c r="B22" s="3" t="s">
        <v>51</v>
      </c>
      <c r="C22" s="3" t="s">
        <v>91</v>
      </c>
      <c r="D22" s="71" t="s">
        <v>92</v>
      </c>
      <c r="E22" s="71"/>
      <c r="F22" s="3" t="s">
        <v>75</v>
      </c>
      <c r="G22" s="24">
        <v>16</v>
      </c>
      <c r="H22" s="25">
        <v>0</v>
      </c>
    </row>
    <row r="23" spans="1:8" ht="14.4" x14ac:dyDescent="0.3">
      <c r="A23" s="2" t="s">
        <v>93</v>
      </c>
      <c r="B23" s="3" t="s">
        <v>51</v>
      </c>
      <c r="C23" s="3" t="s">
        <v>94</v>
      </c>
      <c r="D23" s="71" t="s">
        <v>95</v>
      </c>
      <c r="E23" s="71"/>
      <c r="F23" s="3" t="s">
        <v>75</v>
      </c>
      <c r="G23" s="24">
        <v>20</v>
      </c>
      <c r="H23" s="25">
        <v>0</v>
      </c>
    </row>
    <row r="24" spans="1:8" ht="14.4" x14ac:dyDescent="0.3">
      <c r="A24" s="2" t="s">
        <v>96</v>
      </c>
      <c r="B24" s="3" t="s">
        <v>51</v>
      </c>
      <c r="C24" s="3" t="s">
        <v>97</v>
      </c>
      <c r="D24" s="71" t="s">
        <v>98</v>
      </c>
      <c r="E24" s="71"/>
      <c r="F24" s="3" t="s">
        <v>75</v>
      </c>
      <c r="G24" s="24">
        <v>3</v>
      </c>
      <c r="H24" s="25">
        <v>0</v>
      </c>
    </row>
    <row r="25" spans="1:8" ht="14.4" x14ac:dyDescent="0.3">
      <c r="A25" s="2" t="s">
        <v>99</v>
      </c>
      <c r="B25" s="3" t="s">
        <v>51</v>
      </c>
      <c r="C25" s="3" t="s">
        <v>100</v>
      </c>
      <c r="D25" s="71" t="s">
        <v>101</v>
      </c>
      <c r="E25" s="71"/>
      <c r="F25" s="3" t="s">
        <v>75</v>
      </c>
      <c r="G25" s="24">
        <v>23</v>
      </c>
      <c r="H25" s="25">
        <v>0</v>
      </c>
    </row>
    <row r="26" spans="1:8" ht="14.4" x14ac:dyDescent="0.3">
      <c r="A26" s="2" t="s">
        <v>102</v>
      </c>
      <c r="B26" s="3" t="s">
        <v>51</v>
      </c>
      <c r="C26" s="3" t="s">
        <v>103</v>
      </c>
      <c r="D26" s="71" t="s">
        <v>104</v>
      </c>
      <c r="E26" s="71"/>
      <c r="F26" s="3" t="s">
        <v>57</v>
      </c>
      <c r="G26" s="24">
        <v>6</v>
      </c>
      <c r="H26" s="25">
        <v>0</v>
      </c>
    </row>
    <row r="27" spans="1:8" ht="14.4" x14ac:dyDescent="0.3">
      <c r="A27" s="2" t="s">
        <v>105</v>
      </c>
      <c r="B27" s="3" t="s">
        <v>51</v>
      </c>
      <c r="C27" s="3" t="s">
        <v>106</v>
      </c>
      <c r="D27" s="71" t="s">
        <v>107</v>
      </c>
      <c r="E27" s="71"/>
      <c r="F27" s="3" t="s">
        <v>57</v>
      </c>
      <c r="G27" s="24">
        <v>24</v>
      </c>
      <c r="H27" s="25">
        <v>0</v>
      </c>
    </row>
    <row r="28" spans="1:8" ht="14.4" x14ac:dyDescent="0.3">
      <c r="A28" s="2" t="s">
        <v>108</v>
      </c>
      <c r="B28" s="3" t="s">
        <v>51</v>
      </c>
      <c r="C28" s="3" t="s">
        <v>64</v>
      </c>
      <c r="D28" s="71" t="s">
        <v>109</v>
      </c>
      <c r="E28" s="71"/>
      <c r="F28" s="3" t="s">
        <v>57</v>
      </c>
      <c r="G28" s="24">
        <v>6</v>
      </c>
      <c r="H28" s="25">
        <v>0</v>
      </c>
    </row>
    <row r="29" spans="1:8" ht="14.4" x14ac:dyDescent="0.3">
      <c r="A29" s="2" t="s">
        <v>110</v>
      </c>
      <c r="B29" s="3" t="s">
        <v>51</v>
      </c>
      <c r="C29" s="3" t="s">
        <v>111</v>
      </c>
      <c r="D29" s="71" t="s">
        <v>112</v>
      </c>
      <c r="E29" s="71"/>
      <c r="F29" s="3" t="s">
        <v>57</v>
      </c>
      <c r="G29" s="24">
        <v>2</v>
      </c>
      <c r="H29" s="25">
        <v>0</v>
      </c>
    </row>
    <row r="30" spans="1:8" ht="14.4" x14ac:dyDescent="0.3">
      <c r="A30" s="2" t="s">
        <v>113</v>
      </c>
      <c r="B30" s="3" t="s">
        <v>51</v>
      </c>
      <c r="C30" s="3" t="s">
        <v>114</v>
      </c>
      <c r="D30" s="71" t="s">
        <v>115</v>
      </c>
      <c r="E30" s="71"/>
      <c r="F30" s="3" t="s">
        <v>57</v>
      </c>
      <c r="G30" s="24">
        <v>1</v>
      </c>
      <c r="H30" s="25">
        <v>0</v>
      </c>
    </row>
    <row r="31" spans="1:8" ht="14.4" x14ac:dyDescent="0.3">
      <c r="A31" s="2" t="s">
        <v>116</v>
      </c>
      <c r="B31" s="3" t="s">
        <v>51</v>
      </c>
      <c r="C31" s="3" t="s">
        <v>117</v>
      </c>
      <c r="D31" s="71" t="s">
        <v>118</v>
      </c>
      <c r="E31" s="71"/>
      <c r="F31" s="3" t="s">
        <v>57</v>
      </c>
      <c r="G31" s="24">
        <v>1</v>
      </c>
      <c r="H31" s="25">
        <v>0</v>
      </c>
    </row>
    <row r="32" spans="1:8" ht="14.4" x14ac:dyDescent="0.3">
      <c r="A32" s="2" t="s">
        <v>119</v>
      </c>
      <c r="B32" s="3" t="s">
        <v>51</v>
      </c>
      <c r="C32" s="3" t="s">
        <v>120</v>
      </c>
      <c r="D32" s="71" t="s">
        <v>121</v>
      </c>
      <c r="E32" s="71"/>
      <c r="F32" s="3" t="s">
        <v>57</v>
      </c>
      <c r="G32" s="24">
        <v>1</v>
      </c>
      <c r="H32" s="25">
        <v>0</v>
      </c>
    </row>
    <row r="33" spans="1:8" ht="14.4" x14ac:dyDescent="0.3">
      <c r="A33" s="2" t="s">
        <v>122</v>
      </c>
      <c r="B33" s="3" t="s">
        <v>51</v>
      </c>
      <c r="C33" s="3" t="s">
        <v>123</v>
      </c>
      <c r="D33" s="71" t="s">
        <v>124</v>
      </c>
      <c r="E33" s="71"/>
      <c r="F33" s="3" t="s">
        <v>57</v>
      </c>
      <c r="G33" s="24">
        <v>1</v>
      </c>
      <c r="H33" s="25">
        <v>0</v>
      </c>
    </row>
    <row r="34" spans="1:8" ht="14.4" x14ac:dyDescent="0.3">
      <c r="A34" s="2" t="s">
        <v>125</v>
      </c>
      <c r="B34" s="3" t="s">
        <v>51</v>
      </c>
      <c r="C34" s="3" t="s">
        <v>126</v>
      </c>
      <c r="D34" s="71" t="s">
        <v>127</v>
      </c>
      <c r="E34" s="71"/>
      <c r="F34" s="3" t="s">
        <v>75</v>
      </c>
      <c r="G34" s="24">
        <v>20</v>
      </c>
      <c r="H34" s="25">
        <v>0</v>
      </c>
    </row>
    <row r="35" spans="1:8" ht="14.4" x14ac:dyDescent="0.3">
      <c r="A35" s="2" t="s">
        <v>128</v>
      </c>
      <c r="B35" s="3" t="s">
        <v>51</v>
      </c>
      <c r="C35" s="3" t="s">
        <v>129</v>
      </c>
      <c r="D35" s="71" t="s">
        <v>130</v>
      </c>
      <c r="E35" s="71"/>
      <c r="F35" s="3" t="s">
        <v>57</v>
      </c>
      <c r="G35" s="24">
        <v>6</v>
      </c>
      <c r="H35" s="25">
        <v>0</v>
      </c>
    </row>
    <row r="36" spans="1:8" ht="14.4" x14ac:dyDescent="0.3">
      <c r="A36" s="2" t="s">
        <v>131</v>
      </c>
      <c r="B36" s="3" t="s">
        <v>51</v>
      </c>
      <c r="C36" s="3" t="s">
        <v>132</v>
      </c>
      <c r="D36" s="71" t="s">
        <v>133</v>
      </c>
      <c r="E36" s="71"/>
      <c r="F36" s="3" t="s">
        <v>57</v>
      </c>
      <c r="G36" s="24">
        <v>6</v>
      </c>
      <c r="H36" s="25">
        <v>0</v>
      </c>
    </row>
    <row r="37" spans="1:8" ht="14.4" x14ac:dyDescent="0.3">
      <c r="A37" s="2" t="s">
        <v>134</v>
      </c>
      <c r="B37" s="3" t="s">
        <v>51</v>
      </c>
      <c r="C37" s="3" t="s">
        <v>135</v>
      </c>
      <c r="D37" s="71" t="s">
        <v>136</v>
      </c>
      <c r="E37" s="71"/>
      <c r="F37" s="3" t="s">
        <v>137</v>
      </c>
      <c r="G37" s="24">
        <v>12</v>
      </c>
      <c r="H37" s="25">
        <v>0</v>
      </c>
    </row>
    <row r="38" spans="1:8" ht="14.4" x14ac:dyDescent="0.3">
      <c r="A38" s="2" t="s">
        <v>138</v>
      </c>
      <c r="B38" s="3" t="s">
        <v>51</v>
      </c>
      <c r="C38" s="3" t="s">
        <v>139</v>
      </c>
      <c r="D38" s="71" t="s">
        <v>140</v>
      </c>
      <c r="E38" s="71"/>
      <c r="F38" s="3" t="s">
        <v>75</v>
      </c>
      <c r="G38" s="24">
        <v>92</v>
      </c>
      <c r="H38" s="25">
        <v>0</v>
      </c>
    </row>
    <row r="39" spans="1:8" ht="14.4" x14ac:dyDescent="0.3">
      <c r="A39" s="2" t="s">
        <v>141</v>
      </c>
      <c r="B39" s="3" t="s">
        <v>51</v>
      </c>
      <c r="C39" s="3" t="s">
        <v>142</v>
      </c>
      <c r="D39" s="71" t="s">
        <v>143</v>
      </c>
      <c r="E39" s="71"/>
      <c r="F39" s="3" t="s">
        <v>144</v>
      </c>
      <c r="G39" s="24">
        <v>0.68</v>
      </c>
      <c r="H39" s="25">
        <v>0</v>
      </c>
    </row>
    <row r="40" spans="1:8" ht="14.4" x14ac:dyDescent="0.3">
      <c r="A40" s="2" t="s">
        <v>145</v>
      </c>
      <c r="B40" s="3" t="s">
        <v>51</v>
      </c>
      <c r="C40" s="3" t="s">
        <v>146</v>
      </c>
      <c r="D40" s="71" t="s">
        <v>147</v>
      </c>
      <c r="E40" s="71"/>
      <c r="F40" s="3" t="s">
        <v>57</v>
      </c>
      <c r="G40" s="24">
        <v>2</v>
      </c>
      <c r="H40" s="25">
        <v>0</v>
      </c>
    </row>
    <row r="41" spans="1:8" ht="14.4" x14ac:dyDescent="0.3">
      <c r="A41" s="2" t="s">
        <v>148</v>
      </c>
      <c r="B41" s="3" t="s">
        <v>51</v>
      </c>
      <c r="C41" s="3" t="s">
        <v>70</v>
      </c>
      <c r="D41" s="71" t="s">
        <v>149</v>
      </c>
      <c r="E41" s="71"/>
      <c r="F41" s="3" t="s">
        <v>57</v>
      </c>
      <c r="G41" s="24">
        <v>2</v>
      </c>
      <c r="H41" s="25">
        <v>0</v>
      </c>
    </row>
    <row r="42" spans="1:8" ht="14.4" x14ac:dyDescent="0.3">
      <c r="A42" s="2" t="s">
        <v>150</v>
      </c>
      <c r="B42" s="3" t="s">
        <v>51</v>
      </c>
      <c r="C42" s="3" t="s">
        <v>151</v>
      </c>
      <c r="D42" s="71" t="s">
        <v>152</v>
      </c>
      <c r="E42" s="71"/>
      <c r="F42" s="3" t="s">
        <v>57</v>
      </c>
      <c r="G42" s="24">
        <v>2</v>
      </c>
      <c r="H42" s="25">
        <v>0</v>
      </c>
    </row>
    <row r="43" spans="1:8" ht="14.4" x14ac:dyDescent="0.3">
      <c r="A43" s="43" t="s">
        <v>51</v>
      </c>
      <c r="B43" s="28" t="s">
        <v>51</v>
      </c>
      <c r="C43" s="28" t="s">
        <v>153</v>
      </c>
      <c r="D43" s="95" t="s">
        <v>154</v>
      </c>
      <c r="E43" s="95"/>
      <c r="F43" s="28" t="s">
        <v>51</v>
      </c>
      <c r="G43" s="9" t="s">
        <v>51</v>
      </c>
      <c r="H43" s="44" t="s">
        <v>51</v>
      </c>
    </row>
    <row r="44" spans="1:8" ht="14.4" x14ac:dyDescent="0.3">
      <c r="A44" s="2" t="s">
        <v>155</v>
      </c>
      <c r="B44" s="3" t="s">
        <v>51</v>
      </c>
      <c r="C44" s="3" t="s">
        <v>156</v>
      </c>
      <c r="D44" s="71" t="s">
        <v>157</v>
      </c>
      <c r="E44" s="71"/>
      <c r="F44" s="3" t="s">
        <v>75</v>
      </c>
      <c r="G44" s="24">
        <v>20</v>
      </c>
      <c r="H44" s="25">
        <v>0</v>
      </c>
    </row>
    <row r="45" spans="1:8" ht="14.4" x14ac:dyDescent="0.3">
      <c r="A45" s="2" t="s">
        <v>159</v>
      </c>
      <c r="B45" s="3" t="s">
        <v>51</v>
      </c>
      <c r="C45" s="3" t="s">
        <v>160</v>
      </c>
      <c r="D45" s="71" t="s">
        <v>161</v>
      </c>
      <c r="E45" s="71"/>
      <c r="F45" s="3" t="s">
        <v>75</v>
      </c>
      <c r="G45" s="24">
        <v>52</v>
      </c>
      <c r="H45" s="25">
        <v>0</v>
      </c>
    </row>
    <row r="46" spans="1:8" ht="14.4" x14ac:dyDescent="0.3">
      <c r="A46" s="2" t="s">
        <v>162</v>
      </c>
      <c r="B46" s="3" t="s">
        <v>51</v>
      </c>
      <c r="C46" s="3" t="s">
        <v>163</v>
      </c>
      <c r="D46" s="71" t="s">
        <v>164</v>
      </c>
      <c r="E46" s="71"/>
      <c r="F46" s="3" t="s">
        <v>75</v>
      </c>
      <c r="G46" s="24">
        <v>20</v>
      </c>
      <c r="H46" s="25">
        <v>0</v>
      </c>
    </row>
    <row r="47" spans="1:8" ht="14.4" x14ac:dyDescent="0.3">
      <c r="A47" s="2" t="s">
        <v>165</v>
      </c>
      <c r="B47" s="3" t="s">
        <v>51</v>
      </c>
      <c r="C47" s="3" t="s">
        <v>166</v>
      </c>
      <c r="D47" s="71" t="s">
        <v>167</v>
      </c>
      <c r="E47" s="71"/>
      <c r="F47" s="3" t="s">
        <v>75</v>
      </c>
      <c r="G47" s="24">
        <v>18</v>
      </c>
      <c r="H47" s="25">
        <v>0</v>
      </c>
    </row>
    <row r="48" spans="1:8" ht="14.4" x14ac:dyDescent="0.3">
      <c r="A48" s="2" t="s">
        <v>168</v>
      </c>
      <c r="B48" s="3" t="s">
        <v>51</v>
      </c>
      <c r="C48" s="3" t="s">
        <v>169</v>
      </c>
      <c r="D48" s="71" t="s">
        <v>170</v>
      </c>
      <c r="E48" s="71"/>
      <c r="F48" s="3" t="s">
        <v>75</v>
      </c>
      <c r="G48" s="24">
        <v>50</v>
      </c>
      <c r="H48" s="25">
        <v>0</v>
      </c>
    </row>
    <row r="49" spans="1:8" ht="14.4" x14ac:dyDescent="0.3">
      <c r="A49" s="2" t="s">
        <v>171</v>
      </c>
      <c r="B49" s="3" t="s">
        <v>51</v>
      </c>
      <c r="C49" s="3" t="s">
        <v>172</v>
      </c>
      <c r="D49" s="71" t="s">
        <v>173</v>
      </c>
      <c r="E49" s="71"/>
      <c r="F49" s="3" t="s">
        <v>75</v>
      </c>
      <c r="G49" s="24">
        <v>40</v>
      </c>
      <c r="H49" s="25">
        <v>0</v>
      </c>
    </row>
    <row r="50" spans="1:8" ht="14.4" x14ac:dyDescent="0.3">
      <c r="A50" s="2" t="s">
        <v>174</v>
      </c>
      <c r="B50" s="3" t="s">
        <v>51</v>
      </c>
      <c r="C50" s="3" t="s">
        <v>175</v>
      </c>
      <c r="D50" s="71" t="s">
        <v>176</v>
      </c>
      <c r="E50" s="71"/>
      <c r="F50" s="3" t="s">
        <v>75</v>
      </c>
      <c r="G50" s="24">
        <v>28</v>
      </c>
      <c r="H50" s="25">
        <v>0</v>
      </c>
    </row>
    <row r="51" spans="1:8" ht="14.4" x14ac:dyDescent="0.3">
      <c r="A51" s="2" t="s">
        <v>177</v>
      </c>
      <c r="B51" s="3" t="s">
        <v>51</v>
      </c>
      <c r="C51" s="3" t="s">
        <v>178</v>
      </c>
      <c r="D51" s="71" t="s">
        <v>179</v>
      </c>
      <c r="E51" s="71"/>
      <c r="F51" s="3" t="s">
        <v>75</v>
      </c>
      <c r="G51" s="24">
        <v>8</v>
      </c>
      <c r="H51" s="25">
        <v>0</v>
      </c>
    </row>
    <row r="52" spans="1:8" ht="14.4" x14ac:dyDescent="0.3">
      <c r="A52" s="2" t="s">
        <v>180</v>
      </c>
      <c r="B52" s="3" t="s">
        <v>51</v>
      </c>
      <c r="C52" s="3" t="s">
        <v>181</v>
      </c>
      <c r="D52" s="71" t="s">
        <v>182</v>
      </c>
      <c r="E52" s="71"/>
      <c r="F52" s="3" t="s">
        <v>57</v>
      </c>
      <c r="G52" s="24">
        <v>54</v>
      </c>
      <c r="H52" s="25">
        <v>0</v>
      </c>
    </row>
    <row r="53" spans="1:8" ht="14.4" x14ac:dyDescent="0.3">
      <c r="A53" s="2" t="s">
        <v>183</v>
      </c>
      <c r="B53" s="3" t="s">
        <v>51</v>
      </c>
      <c r="C53" s="3" t="s">
        <v>184</v>
      </c>
      <c r="D53" s="71" t="s">
        <v>185</v>
      </c>
      <c r="E53" s="71"/>
      <c r="F53" s="3" t="s">
        <v>57</v>
      </c>
      <c r="G53" s="24">
        <v>36</v>
      </c>
      <c r="H53" s="25">
        <v>0</v>
      </c>
    </row>
    <row r="54" spans="1:8" ht="14.4" x14ac:dyDescent="0.3">
      <c r="A54" s="2" t="s">
        <v>186</v>
      </c>
      <c r="B54" s="3" t="s">
        <v>51</v>
      </c>
      <c r="C54" s="3" t="s">
        <v>187</v>
      </c>
      <c r="D54" s="71" t="s">
        <v>188</v>
      </c>
      <c r="E54" s="71"/>
      <c r="F54" s="3" t="s">
        <v>189</v>
      </c>
      <c r="G54" s="24">
        <v>6</v>
      </c>
      <c r="H54" s="25">
        <v>0</v>
      </c>
    </row>
    <row r="55" spans="1:8" ht="14.4" x14ac:dyDescent="0.3">
      <c r="A55" s="2" t="s">
        <v>190</v>
      </c>
      <c r="B55" s="3" t="s">
        <v>51</v>
      </c>
      <c r="C55" s="3" t="s">
        <v>191</v>
      </c>
      <c r="D55" s="71" t="s">
        <v>192</v>
      </c>
      <c r="E55" s="71"/>
      <c r="F55" s="3" t="s">
        <v>57</v>
      </c>
      <c r="G55" s="24">
        <v>1</v>
      </c>
      <c r="H55" s="25">
        <v>0</v>
      </c>
    </row>
    <row r="56" spans="1:8" ht="14.4" x14ac:dyDescent="0.3">
      <c r="A56" s="2" t="s">
        <v>193</v>
      </c>
      <c r="B56" s="3" t="s">
        <v>51</v>
      </c>
      <c r="C56" s="3" t="s">
        <v>194</v>
      </c>
      <c r="D56" s="71" t="s">
        <v>195</v>
      </c>
      <c r="E56" s="71"/>
      <c r="F56" s="3" t="s">
        <v>57</v>
      </c>
      <c r="G56" s="24">
        <v>1</v>
      </c>
      <c r="H56" s="25">
        <v>0</v>
      </c>
    </row>
    <row r="57" spans="1:8" ht="14.4" x14ac:dyDescent="0.3">
      <c r="A57" s="2" t="s">
        <v>196</v>
      </c>
      <c r="B57" s="3" t="s">
        <v>51</v>
      </c>
      <c r="C57" s="3" t="s">
        <v>197</v>
      </c>
      <c r="D57" s="71" t="s">
        <v>198</v>
      </c>
      <c r="E57" s="71"/>
      <c r="F57" s="3" t="s">
        <v>57</v>
      </c>
      <c r="G57" s="24">
        <v>1</v>
      </c>
      <c r="H57" s="25">
        <v>0</v>
      </c>
    </row>
    <row r="58" spans="1:8" ht="14.4" x14ac:dyDescent="0.3">
      <c r="A58" s="2" t="s">
        <v>199</v>
      </c>
      <c r="B58" s="3" t="s">
        <v>51</v>
      </c>
      <c r="C58" s="3" t="s">
        <v>200</v>
      </c>
      <c r="D58" s="71" t="s">
        <v>201</v>
      </c>
      <c r="E58" s="71"/>
      <c r="F58" s="3" t="s">
        <v>57</v>
      </c>
      <c r="G58" s="24">
        <v>18</v>
      </c>
      <c r="H58" s="25">
        <v>0</v>
      </c>
    </row>
    <row r="59" spans="1:8" ht="14.4" x14ac:dyDescent="0.3">
      <c r="A59" s="2" t="s">
        <v>202</v>
      </c>
      <c r="B59" s="3" t="s">
        <v>51</v>
      </c>
      <c r="C59" s="3" t="s">
        <v>203</v>
      </c>
      <c r="D59" s="71" t="s">
        <v>204</v>
      </c>
      <c r="E59" s="71"/>
      <c r="F59" s="3" t="s">
        <v>75</v>
      </c>
      <c r="G59" s="24">
        <v>252</v>
      </c>
      <c r="H59" s="25">
        <v>0</v>
      </c>
    </row>
    <row r="60" spans="1:8" ht="14.4" x14ac:dyDescent="0.3">
      <c r="A60" s="2" t="s">
        <v>205</v>
      </c>
      <c r="B60" s="3" t="s">
        <v>51</v>
      </c>
      <c r="C60" s="3" t="s">
        <v>206</v>
      </c>
      <c r="D60" s="71" t="s">
        <v>207</v>
      </c>
      <c r="E60" s="71"/>
      <c r="F60" s="3" t="s">
        <v>75</v>
      </c>
      <c r="G60" s="24">
        <v>252</v>
      </c>
      <c r="H60" s="25">
        <v>0</v>
      </c>
    </row>
    <row r="61" spans="1:8" ht="14.4" x14ac:dyDescent="0.3">
      <c r="A61" s="2" t="s">
        <v>208</v>
      </c>
      <c r="B61" s="3" t="s">
        <v>51</v>
      </c>
      <c r="C61" s="3" t="s">
        <v>209</v>
      </c>
      <c r="D61" s="71" t="s">
        <v>210</v>
      </c>
      <c r="E61" s="71"/>
      <c r="F61" s="3" t="s">
        <v>57</v>
      </c>
      <c r="G61" s="24">
        <v>12</v>
      </c>
      <c r="H61" s="25">
        <v>0</v>
      </c>
    </row>
    <row r="62" spans="1:8" ht="14.4" x14ac:dyDescent="0.3">
      <c r="A62" s="2" t="s">
        <v>211</v>
      </c>
      <c r="B62" s="3" t="s">
        <v>51</v>
      </c>
      <c r="C62" s="3" t="s">
        <v>212</v>
      </c>
      <c r="D62" s="71" t="s">
        <v>213</v>
      </c>
      <c r="E62" s="71"/>
      <c r="F62" s="3" t="s">
        <v>57</v>
      </c>
      <c r="G62" s="24">
        <v>12</v>
      </c>
      <c r="H62" s="25">
        <v>0</v>
      </c>
    </row>
    <row r="63" spans="1:8" ht="14.4" x14ac:dyDescent="0.3">
      <c r="A63" s="2" t="s">
        <v>214</v>
      </c>
      <c r="B63" s="3" t="s">
        <v>51</v>
      </c>
      <c r="C63" s="3" t="s">
        <v>215</v>
      </c>
      <c r="D63" s="71" t="s">
        <v>216</v>
      </c>
      <c r="E63" s="71"/>
      <c r="F63" s="3" t="s">
        <v>57</v>
      </c>
      <c r="G63" s="24">
        <v>1</v>
      </c>
      <c r="H63" s="25">
        <v>0</v>
      </c>
    </row>
    <row r="64" spans="1:8" ht="14.4" x14ac:dyDescent="0.3">
      <c r="A64" s="2" t="s">
        <v>217</v>
      </c>
      <c r="B64" s="3" t="s">
        <v>51</v>
      </c>
      <c r="C64" s="3" t="s">
        <v>215</v>
      </c>
      <c r="D64" s="71" t="s">
        <v>218</v>
      </c>
      <c r="E64" s="71"/>
      <c r="F64" s="3" t="s">
        <v>57</v>
      </c>
      <c r="G64" s="24">
        <v>1</v>
      </c>
      <c r="H64" s="25">
        <v>0</v>
      </c>
    </row>
    <row r="65" spans="1:8" ht="14.4" x14ac:dyDescent="0.3">
      <c r="A65" s="2" t="s">
        <v>219</v>
      </c>
      <c r="B65" s="3" t="s">
        <v>51</v>
      </c>
      <c r="C65" s="3" t="s">
        <v>220</v>
      </c>
      <c r="D65" s="71" t="s">
        <v>221</v>
      </c>
      <c r="E65" s="71"/>
      <c r="F65" s="3" t="s">
        <v>57</v>
      </c>
      <c r="G65" s="24">
        <v>1</v>
      </c>
      <c r="H65" s="25">
        <v>0</v>
      </c>
    </row>
    <row r="66" spans="1:8" ht="14.4" x14ac:dyDescent="0.3">
      <c r="A66" s="2" t="s">
        <v>222</v>
      </c>
      <c r="B66" s="3" t="s">
        <v>51</v>
      </c>
      <c r="C66" s="3" t="s">
        <v>220</v>
      </c>
      <c r="D66" s="71" t="s">
        <v>223</v>
      </c>
      <c r="E66" s="71"/>
      <c r="F66" s="3" t="s">
        <v>57</v>
      </c>
      <c r="G66" s="24">
        <v>1</v>
      </c>
      <c r="H66" s="25">
        <v>0</v>
      </c>
    </row>
    <row r="67" spans="1:8" ht="14.4" x14ac:dyDescent="0.3">
      <c r="A67" s="2" t="s">
        <v>224</v>
      </c>
      <c r="B67" s="3" t="s">
        <v>51</v>
      </c>
      <c r="C67" s="3" t="s">
        <v>225</v>
      </c>
      <c r="D67" s="71" t="s">
        <v>226</v>
      </c>
      <c r="E67" s="71"/>
      <c r="F67" s="3" t="s">
        <v>57</v>
      </c>
      <c r="G67" s="24">
        <v>1</v>
      </c>
      <c r="H67" s="25">
        <v>0</v>
      </c>
    </row>
    <row r="68" spans="1:8" ht="14.4" x14ac:dyDescent="0.3">
      <c r="A68" s="2" t="s">
        <v>227</v>
      </c>
      <c r="B68" s="3" t="s">
        <v>51</v>
      </c>
      <c r="C68" s="3" t="s">
        <v>228</v>
      </c>
      <c r="D68" s="71" t="s">
        <v>229</v>
      </c>
      <c r="E68" s="71"/>
      <c r="F68" s="3" t="s">
        <v>75</v>
      </c>
      <c r="G68" s="24">
        <v>114</v>
      </c>
      <c r="H68" s="25">
        <v>0</v>
      </c>
    </row>
    <row r="69" spans="1:8" ht="14.4" x14ac:dyDescent="0.3">
      <c r="A69" s="2" t="s">
        <v>230</v>
      </c>
      <c r="B69" s="3" t="s">
        <v>51</v>
      </c>
      <c r="C69" s="3" t="s">
        <v>231</v>
      </c>
      <c r="D69" s="71" t="s">
        <v>232</v>
      </c>
      <c r="E69" s="71"/>
      <c r="F69" s="3" t="s">
        <v>75</v>
      </c>
      <c r="G69" s="24">
        <v>80</v>
      </c>
      <c r="H69" s="25">
        <v>0</v>
      </c>
    </row>
    <row r="70" spans="1:8" ht="14.4" x14ac:dyDescent="0.3">
      <c r="A70" s="2" t="s">
        <v>233</v>
      </c>
      <c r="B70" s="3" t="s">
        <v>51</v>
      </c>
      <c r="C70" s="3" t="s">
        <v>234</v>
      </c>
      <c r="D70" s="71" t="s">
        <v>235</v>
      </c>
      <c r="E70" s="71"/>
      <c r="F70" s="3" t="s">
        <v>75</v>
      </c>
      <c r="G70" s="24">
        <v>28</v>
      </c>
      <c r="H70" s="25">
        <v>0</v>
      </c>
    </row>
    <row r="71" spans="1:8" ht="14.4" x14ac:dyDescent="0.3">
      <c r="A71" s="2" t="s">
        <v>236</v>
      </c>
      <c r="B71" s="3" t="s">
        <v>51</v>
      </c>
      <c r="C71" s="3" t="s">
        <v>237</v>
      </c>
      <c r="D71" s="71" t="s">
        <v>238</v>
      </c>
      <c r="E71" s="71"/>
      <c r="F71" s="3" t="s">
        <v>75</v>
      </c>
      <c r="G71" s="24">
        <v>18</v>
      </c>
      <c r="H71" s="25">
        <v>0</v>
      </c>
    </row>
    <row r="72" spans="1:8" ht="14.4" x14ac:dyDescent="0.3">
      <c r="A72" s="2" t="s">
        <v>239</v>
      </c>
      <c r="B72" s="3" t="s">
        <v>51</v>
      </c>
      <c r="C72" s="3" t="s">
        <v>240</v>
      </c>
      <c r="D72" s="71" t="s">
        <v>241</v>
      </c>
      <c r="E72" s="71"/>
      <c r="F72" s="3" t="s">
        <v>57</v>
      </c>
      <c r="G72" s="24">
        <v>2</v>
      </c>
      <c r="H72" s="25">
        <v>0</v>
      </c>
    </row>
    <row r="73" spans="1:8" ht="14.4" x14ac:dyDescent="0.3">
      <c r="A73" s="2" t="s">
        <v>242</v>
      </c>
      <c r="B73" s="3" t="s">
        <v>51</v>
      </c>
      <c r="C73" s="3" t="s">
        <v>243</v>
      </c>
      <c r="D73" s="71" t="s">
        <v>244</v>
      </c>
      <c r="E73" s="71"/>
      <c r="F73" s="3" t="s">
        <v>57</v>
      </c>
      <c r="G73" s="24">
        <v>2</v>
      </c>
      <c r="H73" s="25">
        <v>0</v>
      </c>
    </row>
    <row r="74" spans="1:8" ht="14.4" x14ac:dyDescent="0.3">
      <c r="A74" s="2" t="s">
        <v>52</v>
      </c>
      <c r="B74" s="3" t="s">
        <v>51</v>
      </c>
      <c r="C74" s="3" t="s">
        <v>245</v>
      </c>
      <c r="D74" s="71" t="s">
        <v>246</v>
      </c>
      <c r="E74" s="71"/>
      <c r="F74" s="3" t="s">
        <v>57</v>
      </c>
      <c r="G74" s="24">
        <v>2</v>
      </c>
      <c r="H74" s="25">
        <v>0</v>
      </c>
    </row>
    <row r="75" spans="1:8" ht="14.4" x14ac:dyDescent="0.3">
      <c r="A75" s="2" t="s">
        <v>247</v>
      </c>
      <c r="B75" s="3" t="s">
        <v>51</v>
      </c>
      <c r="C75" s="3" t="s">
        <v>248</v>
      </c>
      <c r="D75" s="71" t="s">
        <v>249</v>
      </c>
      <c r="E75" s="71"/>
      <c r="F75" s="3" t="s">
        <v>57</v>
      </c>
      <c r="G75" s="24">
        <v>1</v>
      </c>
      <c r="H75" s="25">
        <v>0</v>
      </c>
    </row>
    <row r="76" spans="1:8" ht="14.4" x14ac:dyDescent="0.3">
      <c r="A76" s="2" t="s">
        <v>250</v>
      </c>
      <c r="B76" s="3" t="s">
        <v>51</v>
      </c>
      <c r="C76" s="3" t="s">
        <v>251</v>
      </c>
      <c r="D76" s="71" t="s">
        <v>252</v>
      </c>
      <c r="E76" s="71"/>
      <c r="F76" s="3" t="s">
        <v>57</v>
      </c>
      <c r="G76" s="24">
        <v>6</v>
      </c>
      <c r="H76" s="25">
        <v>0</v>
      </c>
    </row>
    <row r="77" spans="1:8" ht="14.4" x14ac:dyDescent="0.3">
      <c r="A77" s="2" t="s">
        <v>253</v>
      </c>
      <c r="B77" s="3" t="s">
        <v>51</v>
      </c>
      <c r="C77" s="3" t="s">
        <v>254</v>
      </c>
      <c r="D77" s="71" t="s">
        <v>255</v>
      </c>
      <c r="E77" s="71"/>
      <c r="F77" s="3" t="s">
        <v>57</v>
      </c>
      <c r="G77" s="24">
        <v>6</v>
      </c>
      <c r="H77" s="25">
        <v>0</v>
      </c>
    </row>
    <row r="78" spans="1:8" ht="14.4" x14ac:dyDescent="0.3">
      <c r="A78" s="2" t="s">
        <v>256</v>
      </c>
      <c r="B78" s="3" t="s">
        <v>51</v>
      </c>
      <c r="C78" s="3" t="s">
        <v>257</v>
      </c>
      <c r="D78" s="71" t="s">
        <v>258</v>
      </c>
      <c r="E78" s="71"/>
      <c r="F78" s="3" t="s">
        <v>57</v>
      </c>
      <c r="G78" s="24">
        <v>6</v>
      </c>
      <c r="H78" s="25">
        <v>0</v>
      </c>
    </row>
    <row r="79" spans="1:8" ht="14.4" x14ac:dyDescent="0.3">
      <c r="A79" s="2" t="s">
        <v>259</v>
      </c>
      <c r="B79" s="3" t="s">
        <v>51</v>
      </c>
      <c r="C79" s="3" t="s">
        <v>260</v>
      </c>
      <c r="D79" s="71" t="s">
        <v>261</v>
      </c>
      <c r="E79" s="71"/>
      <c r="F79" s="3" t="s">
        <v>57</v>
      </c>
      <c r="G79" s="24">
        <v>6</v>
      </c>
      <c r="H79" s="25">
        <v>0</v>
      </c>
    </row>
    <row r="80" spans="1:8" ht="14.4" x14ac:dyDescent="0.3">
      <c r="A80" s="2" t="s">
        <v>262</v>
      </c>
      <c r="B80" s="3" t="s">
        <v>51</v>
      </c>
      <c r="C80" s="3" t="s">
        <v>263</v>
      </c>
      <c r="D80" s="71" t="s">
        <v>264</v>
      </c>
      <c r="E80" s="71"/>
      <c r="F80" s="3" t="s">
        <v>57</v>
      </c>
      <c r="G80" s="24">
        <v>6</v>
      </c>
      <c r="H80" s="25">
        <v>0</v>
      </c>
    </row>
    <row r="81" spans="1:8" ht="14.4" x14ac:dyDescent="0.3">
      <c r="A81" s="2" t="s">
        <v>265</v>
      </c>
      <c r="B81" s="3" t="s">
        <v>51</v>
      </c>
      <c r="C81" s="3" t="s">
        <v>266</v>
      </c>
      <c r="D81" s="71" t="s">
        <v>267</v>
      </c>
      <c r="E81" s="71"/>
      <c r="F81" s="3" t="s">
        <v>57</v>
      </c>
      <c r="G81" s="24">
        <v>24</v>
      </c>
      <c r="H81" s="25">
        <v>0</v>
      </c>
    </row>
    <row r="82" spans="1:8" ht="14.4" x14ac:dyDescent="0.3">
      <c r="A82" s="2" t="s">
        <v>268</v>
      </c>
      <c r="B82" s="3" t="s">
        <v>51</v>
      </c>
      <c r="C82" s="3" t="s">
        <v>269</v>
      </c>
      <c r="D82" s="71" t="s">
        <v>270</v>
      </c>
      <c r="E82" s="71"/>
      <c r="F82" s="3" t="s">
        <v>57</v>
      </c>
      <c r="G82" s="24">
        <v>12</v>
      </c>
      <c r="H82" s="25">
        <v>0</v>
      </c>
    </row>
    <row r="83" spans="1:8" ht="14.4" x14ac:dyDescent="0.3">
      <c r="A83" s="43" t="s">
        <v>51</v>
      </c>
      <c r="B83" s="28" t="s">
        <v>51</v>
      </c>
      <c r="C83" s="28" t="s">
        <v>271</v>
      </c>
      <c r="D83" s="95" t="s">
        <v>272</v>
      </c>
      <c r="E83" s="95"/>
      <c r="F83" s="28" t="s">
        <v>51</v>
      </c>
      <c r="G83" s="9" t="s">
        <v>51</v>
      </c>
      <c r="H83" s="44" t="s">
        <v>51</v>
      </c>
    </row>
    <row r="84" spans="1:8" ht="14.4" x14ac:dyDescent="0.3">
      <c r="A84" s="2" t="s">
        <v>273</v>
      </c>
      <c r="B84" s="3" t="s">
        <v>51</v>
      </c>
      <c r="C84" s="3" t="s">
        <v>274</v>
      </c>
      <c r="D84" s="71" t="s">
        <v>275</v>
      </c>
      <c r="E84" s="71"/>
      <c r="F84" s="3" t="s">
        <v>276</v>
      </c>
      <c r="G84" s="24">
        <v>2</v>
      </c>
      <c r="H84" s="25">
        <v>0</v>
      </c>
    </row>
    <row r="85" spans="1:8" ht="14.4" x14ac:dyDescent="0.3">
      <c r="A85" s="2" t="s">
        <v>278</v>
      </c>
      <c r="B85" s="3" t="s">
        <v>51</v>
      </c>
      <c r="C85" s="3" t="s">
        <v>279</v>
      </c>
      <c r="D85" s="71" t="s">
        <v>280</v>
      </c>
      <c r="E85" s="71"/>
      <c r="F85" s="3" t="s">
        <v>75</v>
      </c>
      <c r="G85" s="24">
        <v>10</v>
      </c>
      <c r="H85" s="25">
        <v>0</v>
      </c>
    </row>
    <row r="86" spans="1:8" ht="14.4" x14ac:dyDescent="0.3">
      <c r="A86" s="2" t="s">
        <v>281</v>
      </c>
      <c r="B86" s="3" t="s">
        <v>51</v>
      </c>
      <c r="C86" s="3" t="s">
        <v>282</v>
      </c>
      <c r="D86" s="71" t="s">
        <v>283</v>
      </c>
      <c r="E86" s="71"/>
      <c r="F86" s="3" t="s">
        <v>189</v>
      </c>
      <c r="G86" s="24">
        <v>1</v>
      </c>
      <c r="H86" s="25">
        <v>0</v>
      </c>
    </row>
    <row r="87" spans="1:8" ht="14.4" x14ac:dyDescent="0.3">
      <c r="A87" s="2" t="s">
        <v>284</v>
      </c>
      <c r="B87" s="3" t="s">
        <v>51</v>
      </c>
      <c r="C87" s="3" t="s">
        <v>285</v>
      </c>
      <c r="D87" s="71" t="s">
        <v>286</v>
      </c>
      <c r="E87" s="71"/>
      <c r="F87" s="3" t="s">
        <v>57</v>
      </c>
      <c r="G87" s="24">
        <v>1</v>
      </c>
      <c r="H87" s="25">
        <v>0</v>
      </c>
    </row>
    <row r="88" spans="1:8" ht="14.4" x14ac:dyDescent="0.3">
      <c r="A88" s="2" t="s">
        <v>287</v>
      </c>
      <c r="B88" s="3" t="s">
        <v>51</v>
      </c>
      <c r="C88" s="3" t="s">
        <v>288</v>
      </c>
      <c r="D88" s="71" t="s">
        <v>289</v>
      </c>
      <c r="E88" s="71"/>
      <c r="F88" s="3" t="s">
        <v>57</v>
      </c>
      <c r="G88" s="24">
        <v>1</v>
      </c>
      <c r="H88" s="25">
        <v>0</v>
      </c>
    </row>
    <row r="89" spans="1:8" ht="14.4" x14ac:dyDescent="0.3">
      <c r="A89" s="2" t="s">
        <v>290</v>
      </c>
      <c r="B89" s="3" t="s">
        <v>51</v>
      </c>
      <c r="C89" s="3" t="s">
        <v>291</v>
      </c>
      <c r="D89" s="71" t="s">
        <v>292</v>
      </c>
      <c r="E89" s="71"/>
      <c r="F89" s="3" t="s">
        <v>276</v>
      </c>
      <c r="G89" s="24">
        <v>1</v>
      </c>
      <c r="H89" s="25">
        <v>0</v>
      </c>
    </row>
    <row r="90" spans="1:8" ht="14.4" x14ac:dyDescent="0.3">
      <c r="A90" s="2" t="s">
        <v>293</v>
      </c>
      <c r="B90" s="3" t="s">
        <v>51</v>
      </c>
      <c r="C90" s="3" t="s">
        <v>294</v>
      </c>
      <c r="D90" s="71" t="s">
        <v>295</v>
      </c>
      <c r="E90" s="71"/>
      <c r="F90" s="3" t="s">
        <v>57</v>
      </c>
      <c r="G90" s="24">
        <v>1</v>
      </c>
      <c r="H90" s="25">
        <v>0</v>
      </c>
    </row>
    <row r="91" spans="1:8" ht="14.4" x14ac:dyDescent="0.3">
      <c r="A91" s="2" t="s">
        <v>296</v>
      </c>
      <c r="B91" s="3" t="s">
        <v>51</v>
      </c>
      <c r="C91" s="3" t="s">
        <v>297</v>
      </c>
      <c r="D91" s="71" t="s">
        <v>298</v>
      </c>
      <c r="E91" s="71"/>
      <c r="F91" s="3" t="s">
        <v>137</v>
      </c>
      <c r="G91" s="24">
        <v>1</v>
      </c>
      <c r="H91" s="25">
        <v>0</v>
      </c>
    </row>
    <row r="92" spans="1:8" ht="14.4" x14ac:dyDescent="0.3">
      <c r="A92" s="43" t="s">
        <v>51</v>
      </c>
      <c r="B92" s="28" t="s">
        <v>51</v>
      </c>
      <c r="C92" s="28" t="s">
        <v>299</v>
      </c>
      <c r="D92" s="95" t="s">
        <v>300</v>
      </c>
      <c r="E92" s="95"/>
      <c r="F92" s="28" t="s">
        <v>51</v>
      </c>
      <c r="G92" s="9" t="s">
        <v>51</v>
      </c>
      <c r="H92" s="44" t="s">
        <v>51</v>
      </c>
    </row>
    <row r="93" spans="1:8" ht="14.4" x14ac:dyDescent="0.3">
      <c r="A93" s="2" t="s">
        <v>301</v>
      </c>
      <c r="B93" s="3" t="s">
        <v>51</v>
      </c>
      <c r="C93" s="3" t="s">
        <v>302</v>
      </c>
      <c r="D93" s="71" t="s">
        <v>303</v>
      </c>
      <c r="E93" s="71"/>
      <c r="F93" s="3" t="s">
        <v>276</v>
      </c>
      <c r="G93" s="24">
        <v>8</v>
      </c>
      <c r="H93" s="25">
        <v>0</v>
      </c>
    </row>
    <row r="94" spans="1:8" ht="14.4" x14ac:dyDescent="0.3">
      <c r="A94" s="2" t="s">
        <v>305</v>
      </c>
      <c r="B94" s="3" t="s">
        <v>51</v>
      </c>
      <c r="C94" s="3" t="s">
        <v>306</v>
      </c>
      <c r="D94" s="71" t="s">
        <v>307</v>
      </c>
      <c r="E94" s="71"/>
      <c r="F94" s="3" t="s">
        <v>276</v>
      </c>
      <c r="G94" s="24">
        <v>8</v>
      </c>
      <c r="H94" s="25">
        <v>0</v>
      </c>
    </row>
    <row r="95" spans="1:8" ht="14.4" x14ac:dyDescent="0.3">
      <c r="A95" s="2" t="s">
        <v>308</v>
      </c>
      <c r="B95" s="3" t="s">
        <v>51</v>
      </c>
      <c r="C95" s="3" t="s">
        <v>309</v>
      </c>
      <c r="D95" s="71" t="s">
        <v>310</v>
      </c>
      <c r="E95" s="71"/>
      <c r="F95" s="3" t="s">
        <v>276</v>
      </c>
      <c r="G95" s="24">
        <v>8</v>
      </c>
      <c r="H95" s="25">
        <v>0</v>
      </c>
    </row>
    <row r="96" spans="1:8" ht="14.4" x14ac:dyDescent="0.3">
      <c r="A96" s="2" t="s">
        <v>311</v>
      </c>
      <c r="B96" s="3" t="s">
        <v>51</v>
      </c>
      <c r="C96" s="3" t="s">
        <v>312</v>
      </c>
      <c r="D96" s="71" t="s">
        <v>313</v>
      </c>
      <c r="E96" s="71"/>
      <c r="F96" s="3" t="s">
        <v>276</v>
      </c>
      <c r="G96" s="24">
        <v>24</v>
      </c>
      <c r="H96" s="25">
        <v>0</v>
      </c>
    </row>
    <row r="97" spans="1:8" ht="14.4" x14ac:dyDescent="0.3">
      <c r="A97" s="2" t="s">
        <v>314</v>
      </c>
      <c r="B97" s="3" t="s">
        <v>51</v>
      </c>
      <c r="C97" s="3" t="s">
        <v>315</v>
      </c>
      <c r="D97" s="71" t="s">
        <v>316</v>
      </c>
      <c r="E97" s="71"/>
      <c r="F97" s="3" t="s">
        <v>276</v>
      </c>
      <c r="G97" s="24">
        <v>8</v>
      </c>
      <c r="H97" s="25">
        <v>0</v>
      </c>
    </row>
    <row r="98" spans="1:8" ht="14.4" x14ac:dyDescent="0.3">
      <c r="A98" s="2" t="s">
        <v>317</v>
      </c>
      <c r="B98" s="3" t="s">
        <v>51</v>
      </c>
      <c r="C98" s="3" t="s">
        <v>318</v>
      </c>
      <c r="D98" s="71" t="s">
        <v>319</v>
      </c>
      <c r="E98" s="71"/>
      <c r="F98" s="3" t="s">
        <v>276</v>
      </c>
      <c r="G98" s="24">
        <v>8</v>
      </c>
      <c r="H98" s="25">
        <v>0</v>
      </c>
    </row>
    <row r="99" spans="1:8" ht="14.4" x14ac:dyDescent="0.3">
      <c r="A99" s="2" t="s">
        <v>320</v>
      </c>
      <c r="B99" s="3" t="s">
        <v>51</v>
      </c>
      <c r="C99" s="3" t="s">
        <v>321</v>
      </c>
      <c r="D99" s="71" t="s">
        <v>322</v>
      </c>
      <c r="E99" s="71"/>
      <c r="F99" s="3" t="s">
        <v>276</v>
      </c>
      <c r="G99" s="24">
        <v>6</v>
      </c>
      <c r="H99" s="25">
        <v>0</v>
      </c>
    </row>
    <row r="100" spans="1:8" ht="14.4" x14ac:dyDescent="0.3">
      <c r="A100" s="2" t="s">
        <v>323</v>
      </c>
      <c r="B100" s="3" t="s">
        <v>51</v>
      </c>
      <c r="C100" s="3" t="s">
        <v>324</v>
      </c>
      <c r="D100" s="71" t="s">
        <v>325</v>
      </c>
      <c r="E100" s="71"/>
      <c r="F100" s="3" t="s">
        <v>276</v>
      </c>
      <c r="G100" s="24">
        <v>6</v>
      </c>
      <c r="H100" s="25">
        <v>0</v>
      </c>
    </row>
    <row r="101" spans="1:8" ht="14.4" x14ac:dyDescent="0.3">
      <c r="A101" s="2" t="s">
        <v>326</v>
      </c>
      <c r="B101" s="3" t="s">
        <v>51</v>
      </c>
      <c r="C101" s="3" t="s">
        <v>327</v>
      </c>
      <c r="D101" s="71" t="s">
        <v>328</v>
      </c>
      <c r="E101" s="71"/>
      <c r="F101" s="3" t="s">
        <v>276</v>
      </c>
      <c r="G101" s="24">
        <v>6</v>
      </c>
      <c r="H101" s="25">
        <v>0</v>
      </c>
    </row>
    <row r="102" spans="1:8" ht="14.4" x14ac:dyDescent="0.3">
      <c r="A102" s="2" t="s">
        <v>329</v>
      </c>
      <c r="B102" s="3" t="s">
        <v>51</v>
      </c>
      <c r="C102" s="3" t="s">
        <v>330</v>
      </c>
      <c r="D102" s="71" t="s">
        <v>331</v>
      </c>
      <c r="E102" s="71"/>
      <c r="F102" s="3" t="s">
        <v>276</v>
      </c>
      <c r="G102" s="24">
        <v>6</v>
      </c>
      <c r="H102" s="25">
        <v>0</v>
      </c>
    </row>
    <row r="103" spans="1:8" ht="14.4" x14ac:dyDescent="0.3">
      <c r="A103" s="2" t="s">
        <v>332</v>
      </c>
      <c r="B103" s="3" t="s">
        <v>51</v>
      </c>
      <c r="C103" s="3" t="s">
        <v>333</v>
      </c>
      <c r="D103" s="71" t="s">
        <v>334</v>
      </c>
      <c r="E103" s="71"/>
      <c r="F103" s="3" t="s">
        <v>276</v>
      </c>
      <c r="G103" s="24">
        <v>6</v>
      </c>
      <c r="H103" s="25">
        <v>0</v>
      </c>
    </row>
    <row r="104" spans="1:8" ht="14.4" x14ac:dyDescent="0.3">
      <c r="A104" s="2" t="s">
        <v>335</v>
      </c>
      <c r="B104" s="3" t="s">
        <v>51</v>
      </c>
      <c r="C104" s="3" t="s">
        <v>336</v>
      </c>
      <c r="D104" s="71" t="s">
        <v>337</v>
      </c>
      <c r="E104" s="71"/>
      <c r="F104" s="3" t="s">
        <v>276</v>
      </c>
      <c r="G104" s="24">
        <v>2</v>
      </c>
      <c r="H104" s="25">
        <v>0</v>
      </c>
    </row>
    <row r="105" spans="1:8" ht="14.4" x14ac:dyDescent="0.3">
      <c r="A105" s="2" t="s">
        <v>338</v>
      </c>
      <c r="B105" s="3" t="s">
        <v>51</v>
      </c>
      <c r="C105" s="3" t="s">
        <v>339</v>
      </c>
      <c r="D105" s="71" t="s">
        <v>340</v>
      </c>
      <c r="E105" s="71"/>
      <c r="F105" s="3" t="s">
        <v>276</v>
      </c>
      <c r="G105" s="24">
        <v>2</v>
      </c>
      <c r="H105" s="25">
        <v>0</v>
      </c>
    </row>
    <row r="106" spans="1:8" ht="14.4" x14ac:dyDescent="0.3">
      <c r="A106" s="2" t="s">
        <v>341</v>
      </c>
      <c r="B106" s="3" t="s">
        <v>51</v>
      </c>
      <c r="C106" s="3" t="s">
        <v>342</v>
      </c>
      <c r="D106" s="71" t="s">
        <v>343</v>
      </c>
      <c r="E106" s="71"/>
      <c r="F106" s="3" t="s">
        <v>276</v>
      </c>
      <c r="G106" s="24">
        <v>6</v>
      </c>
      <c r="H106" s="25">
        <v>0</v>
      </c>
    </row>
    <row r="107" spans="1:8" ht="14.4" x14ac:dyDescent="0.3">
      <c r="A107" s="2" t="s">
        <v>344</v>
      </c>
      <c r="B107" s="3" t="s">
        <v>51</v>
      </c>
      <c r="C107" s="3" t="s">
        <v>345</v>
      </c>
      <c r="D107" s="71" t="s">
        <v>346</v>
      </c>
      <c r="E107" s="71"/>
      <c r="F107" s="3" t="s">
        <v>276</v>
      </c>
      <c r="G107" s="24">
        <v>2</v>
      </c>
      <c r="H107" s="25">
        <v>0</v>
      </c>
    </row>
    <row r="108" spans="1:8" ht="14.4" x14ac:dyDescent="0.3">
      <c r="A108" s="2" t="s">
        <v>347</v>
      </c>
      <c r="B108" s="3" t="s">
        <v>51</v>
      </c>
      <c r="C108" s="3" t="s">
        <v>348</v>
      </c>
      <c r="D108" s="71" t="s">
        <v>349</v>
      </c>
      <c r="E108" s="71"/>
      <c r="F108" s="3" t="s">
        <v>57</v>
      </c>
      <c r="G108" s="24">
        <v>2</v>
      </c>
      <c r="H108" s="25">
        <v>0</v>
      </c>
    </row>
    <row r="109" spans="1:8" ht="14.4" x14ac:dyDescent="0.3">
      <c r="A109" s="2" t="s">
        <v>350</v>
      </c>
      <c r="B109" s="3" t="s">
        <v>51</v>
      </c>
      <c r="C109" s="3" t="s">
        <v>351</v>
      </c>
      <c r="D109" s="71" t="s">
        <v>352</v>
      </c>
      <c r="E109" s="71"/>
      <c r="F109" s="3" t="s">
        <v>276</v>
      </c>
      <c r="G109" s="24">
        <v>24</v>
      </c>
      <c r="H109" s="25">
        <v>0</v>
      </c>
    </row>
    <row r="110" spans="1:8" ht="14.4" x14ac:dyDescent="0.3">
      <c r="A110" s="2" t="s">
        <v>353</v>
      </c>
      <c r="B110" s="3" t="s">
        <v>51</v>
      </c>
      <c r="C110" s="3" t="s">
        <v>354</v>
      </c>
      <c r="D110" s="71" t="s">
        <v>355</v>
      </c>
      <c r="E110" s="71"/>
      <c r="F110" s="3" t="s">
        <v>276</v>
      </c>
      <c r="G110" s="24">
        <v>12</v>
      </c>
      <c r="H110" s="25">
        <v>0</v>
      </c>
    </row>
    <row r="111" spans="1:8" ht="14.4" x14ac:dyDescent="0.3">
      <c r="A111" s="2" t="s">
        <v>356</v>
      </c>
      <c r="B111" s="3" t="s">
        <v>51</v>
      </c>
      <c r="C111" s="3" t="s">
        <v>357</v>
      </c>
      <c r="D111" s="71" t="s">
        <v>358</v>
      </c>
      <c r="E111" s="71"/>
      <c r="F111" s="3" t="s">
        <v>57</v>
      </c>
      <c r="G111" s="24">
        <v>6</v>
      </c>
      <c r="H111" s="25">
        <v>0</v>
      </c>
    </row>
    <row r="112" spans="1:8" ht="14.4" x14ac:dyDescent="0.3">
      <c r="A112" s="2" t="s">
        <v>359</v>
      </c>
      <c r="B112" s="3" t="s">
        <v>51</v>
      </c>
      <c r="C112" s="3" t="s">
        <v>360</v>
      </c>
      <c r="D112" s="71" t="s">
        <v>361</v>
      </c>
      <c r="E112" s="71"/>
      <c r="F112" s="3" t="s">
        <v>57</v>
      </c>
      <c r="G112" s="24">
        <v>6</v>
      </c>
      <c r="H112" s="25">
        <v>0</v>
      </c>
    </row>
    <row r="113" spans="1:8" ht="14.4" x14ac:dyDescent="0.3">
      <c r="A113" s="2" t="s">
        <v>362</v>
      </c>
      <c r="B113" s="3" t="s">
        <v>51</v>
      </c>
      <c r="C113" s="3" t="s">
        <v>363</v>
      </c>
      <c r="D113" s="71" t="s">
        <v>364</v>
      </c>
      <c r="E113" s="71"/>
      <c r="F113" s="3" t="s">
        <v>276</v>
      </c>
      <c r="G113" s="24">
        <v>4</v>
      </c>
      <c r="H113" s="25">
        <v>0</v>
      </c>
    </row>
    <row r="114" spans="1:8" ht="14.4" x14ac:dyDescent="0.3">
      <c r="A114" s="2" t="s">
        <v>365</v>
      </c>
      <c r="B114" s="3" t="s">
        <v>51</v>
      </c>
      <c r="C114" s="3" t="s">
        <v>366</v>
      </c>
      <c r="D114" s="71" t="s">
        <v>367</v>
      </c>
      <c r="E114" s="71"/>
      <c r="F114" s="3" t="s">
        <v>57</v>
      </c>
      <c r="G114" s="24">
        <v>2</v>
      </c>
      <c r="H114" s="25">
        <v>0</v>
      </c>
    </row>
    <row r="115" spans="1:8" ht="14.4" x14ac:dyDescent="0.3">
      <c r="A115" s="2" t="s">
        <v>368</v>
      </c>
      <c r="B115" s="3" t="s">
        <v>51</v>
      </c>
      <c r="C115" s="3" t="s">
        <v>369</v>
      </c>
      <c r="D115" s="71" t="s">
        <v>370</v>
      </c>
      <c r="E115" s="71"/>
      <c r="F115" s="3" t="s">
        <v>57</v>
      </c>
      <c r="G115" s="24">
        <v>6</v>
      </c>
      <c r="H115" s="25">
        <v>0</v>
      </c>
    </row>
    <row r="116" spans="1:8" ht="14.4" x14ac:dyDescent="0.3">
      <c r="A116" s="2" t="s">
        <v>371</v>
      </c>
      <c r="B116" s="3" t="s">
        <v>51</v>
      </c>
      <c r="C116" s="3" t="s">
        <v>372</v>
      </c>
      <c r="D116" s="71" t="s">
        <v>373</v>
      </c>
      <c r="E116" s="71"/>
      <c r="F116" s="3" t="s">
        <v>57</v>
      </c>
      <c r="G116" s="24">
        <v>6</v>
      </c>
      <c r="H116" s="25">
        <v>0</v>
      </c>
    </row>
    <row r="117" spans="1:8" ht="14.4" x14ac:dyDescent="0.3">
      <c r="A117" s="2" t="s">
        <v>374</v>
      </c>
      <c r="B117" s="3" t="s">
        <v>51</v>
      </c>
      <c r="C117" s="3" t="s">
        <v>375</v>
      </c>
      <c r="D117" s="71" t="s">
        <v>376</v>
      </c>
      <c r="E117" s="71"/>
      <c r="F117" s="3" t="s">
        <v>57</v>
      </c>
      <c r="G117" s="24">
        <v>6</v>
      </c>
      <c r="H117" s="25">
        <v>0</v>
      </c>
    </row>
    <row r="118" spans="1:8" ht="14.4" x14ac:dyDescent="0.3">
      <c r="A118" s="2" t="s">
        <v>377</v>
      </c>
      <c r="B118" s="3" t="s">
        <v>51</v>
      </c>
      <c r="C118" s="3" t="s">
        <v>378</v>
      </c>
      <c r="D118" s="71" t="s">
        <v>379</v>
      </c>
      <c r="E118" s="71"/>
      <c r="F118" s="3" t="s">
        <v>57</v>
      </c>
      <c r="G118" s="24">
        <v>4</v>
      </c>
      <c r="H118" s="25">
        <v>0</v>
      </c>
    </row>
    <row r="119" spans="1:8" ht="14.4" x14ac:dyDescent="0.3">
      <c r="A119" s="2" t="s">
        <v>380</v>
      </c>
      <c r="B119" s="3" t="s">
        <v>51</v>
      </c>
      <c r="C119" s="3" t="s">
        <v>381</v>
      </c>
      <c r="D119" s="71" t="s">
        <v>382</v>
      </c>
      <c r="E119" s="71"/>
      <c r="F119" s="3" t="s">
        <v>57</v>
      </c>
      <c r="G119" s="24">
        <v>2</v>
      </c>
      <c r="H119" s="25">
        <v>0</v>
      </c>
    </row>
    <row r="120" spans="1:8" ht="14.4" x14ac:dyDescent="0.3">
      <c r="A120" s="2" t="s">
        <v>383</v>
      </c>
      <c r="B120" s="3" t="s">
        <v>51</v>
      </c>
      <c r="C120" s="3" t="s">
        <v>384</v>
      </c>
      <c r="D120" s="71" t="s">
        <v>385</v>
      </c>
      <c r="E120" s="71"/>
      <c r="F120" s="3" t="s">
        <v>57</v>
      </c>
      <c r="G120" s="24">
        <v>2</v>
      </c>
      <c r="H120" s="25">
        <v>0</v>
      </c>
    </row>
    <row r="121" spans="1:8" ht="14.4" x14ac:dyDescent="0.3">
      <c r="A121" s="2" t="s">
        <v>386</v>
      </c>
      <c r="B121" s="3" t="s">
        <v>51</v>
      </c>
      <c r="C121" s="3" t="s">
        <v>387</v>
      </c>
      <c r="D121" s="71" t="s">
        <v>388</v>
      </c>
      <c r="E121" s="71"/>
      <c r="F121" s="3" t="s">
        <v>137</v>
      </c>
      <c r="G121" s="24">
        <v>6</v>
      </c>
      <c r="H121" s="25">
        <v>0</v>
      </c>
    </row>
    <row r="122" spans="1:8" ht="14.4" x14ac:dyDescent="0.3">
      <c r="A122" s="43" t="s">
        <v>51</v>
      </c>
      <c r="B122" s="28" t="s">
        <v>51</v>
      </c>
      <c r="C122" s="28" t="s">
        <v>317</v>
      </c>
      <c r="D122" s="95" t="s">
        <v>389</v>
      </c>
      <c r="E122" s="95"/>
      <c r="F122" s="28" t="s">
        <v>51</v>
      </c>
      <c r="G122" s="9" t="s">
        <v>51</v>
      </c>
      <c r="H122" s="44" t="s">
        <v>51</v>
      </c>
    </row>
    <row r="123" spans="1:8" ht="14.4" x14ac:dyDescent="0.3">
      <c r="A123" s="2" t="s">
        <v>390</v>
      </c>
      <c r="B123" s="3" t="s">
        <v>51</v>
      </c>
      <c r="C123" s="3" t="s">
        <v>391</v>
      </c>
      <c r="D123" s="71" t="s">
        <v>392</v>
      </c>
      <c r="E123" s="71"/>
      <c r="F123" s="3" t="s">
        <v>75</v>
      </c>
      <c r="G123" s="24">
        <v>24</v>
      </c>
      <c r="H123" s="25">
        <v>0</v>
      </c>
    </row>
    <row r="124" spans="1:8" ht="14.4" x14ac:dyDescent="0.3">
      <c r="A124" s="2" t="s">
        <v>395</v>
      </c>
      <c r="B124" s="3" t="s">
        <v>51</v>
      </c>
      <c r="C124" s="3" t="s">
        <v>391</v>
      </c>
      <c r="D124" s="71" t="s">
        <v>396</v>
      </c>
      <c r="E124" s="71"/>
      <c r="F124" s="3" t="s">
        <v>75</v>
      </c>
      <c r="G124" s="24">
        <v>3</v>
      </c>
      <c r="H124" s="25">
        <v>0</v>
      </c>
    </row>
    <row r="125" spans="1:8" ht="14.4" x14ac:dyDescent="0.3">
      <c r="A125" s="2" t="s">
        <v>397</v>
      </c>
      <c r="B125" s="3" t="s">
        <v>51</v>
      </c>
      <c r="C125" s="3" t="s">
        <v>398</v>
      </c>
      <c r="D125" s="71" t="s">
        <v>399</v>
      </c>
      <c r="E125" s="71"/>
      <c r="F125" s="3" t="s">
        <v>75</v>
      </c>
      <c r="G125" s="24">
        <v>27</v>
      </c>
      <c r="H125" s="25">
        <v>0</v>
      </c>
    </row>
    <row r="126" spans="1:8" ht="14.4" x14ac:dyDescent="0.3">
      <c r="A126" s="2" t="s">
        <v>400</v>
      </c>
      <c r="B126" s="3" t="s">
        <v>51</v>
      </c>
      <c r="C126" s="3" t="s">
        <v>401</v>
      </c>
      <c r="D126" s="71" t="s">
        <v>402</v>
      </c>
      <c r="E126" s="71"/>
      <c r="F126" s="3" t="s">
        <v>75</v>
      </c>
      <c r="G126" s="24">
        <v>27</v>
      </c>
      <c r="H126" s="25">
        <v>0</v>
      </c>
    </row>
    <row r="127" spans="1:8" ht="14.4" x14ac:dyDescent="0.3">
      <c r="A127" s="2" t="s">
        <v>403</v>
      </c>
      <c r="B127" s="3" t="s">
        <v>51</v>
      </c>
      <c r="C127" s="3" t="s">
        <v>404</v>
      </c>
      <c r="D127" s="71" t="s">
        <v>405</v>
      </c>
      <c r="E127" s="71"/>
      <c r="F127" s="3" t="s">
        <v>57</v>
      </c>
      <c r="G127" s="24">
        <v>2</v>
      </c>
      <c r="H127" s="25">
        <v>0</v>
      </c>
    </row>
    <row r="128" spans="1:8" ht="14.4" x14ac:dyDescent="0.3">
      <c r="A128" s="2" t="s">
        <v>406</v>
      </c>
      <c r="B128" s="3" t="s">
        <v>51</v>
      </c>
      <c r="C128" s="3" t="s">
        <v>407</v>
      </c>
      <c r="D128" s="71" t="s">
        <v>408</v>
      </c>
      <c r="E128" s="71"/>
      <c r="F128" s="3" t="s">
        <v>409</v>
      </c>
      <c r="G128" s="24">
        <v>1</v>
      </c>
      <c r="H128" s="25">
        <v>0</v>
      </c>
    </row>
    <row r="129" spans="1:8" ht="14.4" x14ac:dyDescent="0.3">
      <c r="A129" s="2" t="s">
        <v>410</v>
      </c>
      <c r="B129" s="3" t="s">
        <v>51</v>
      </c>
      <c r="C129" s="3" t="s">
        <v>411</v>
      </c>
      <c r="D129" s="71" t="s">
        <v>412</v>
      </c>
      <c r="E129" s="71"/>
      <c r="F129" s="3" t="s">
        <v>75</v>
      </c>
      <c r="G129" s="24">
        <v>27</v>
      </c>
      <c r="H129" s="25">
        <v>0</v>
      </c>
    </row>
    <row r="130" spans="1:8" ht="14.4" x14ac:dyDescent="0.3">
      <c r="A130" s="43" t="s">
        <v>51</v>
      </c>
      <c r="B130" s="28" t="s">
        <v>51</v>
      </c>
      <c r="C130" s="28" t="s">
        <v>338</v>
      </c>
      <c r="D130" s="95" t="s">
        <v>413</v>
      </c>
      <c r="E130" s="95"/>
      <c r="F130" s="28" t="s">
        <v>51</v>
      </c>
      <c r="G130" s="9" t="s">
        <v>51</v>
      </c>
      <c r="H130" s="44" t="s">
        <v>51</v>
      </c>
    </row>
    <row r="131" spans="1:8" ht="14.4" x14ac:dyDescent="0.3">
      <c r="A131" s="2" t="s">
        <v>414</v>
      </c>
      <c r="B131" s="3" t="s">
        <v>51</v>
      </c>
      <c r="C131" s="3" t="s">
        <v>415</v>
      </c>
      <c r="D131" s="71" t="s">
        <v>416</v>
      </c>
      <c r="E131" s="71"/>
      <c r="F131" s="3" t="s">
        <v>417</v>
      </c>
      <c r="G131" s="24">
        <v>36</v>
      </c>
      <c r="H131" s="25">
        <v>0</v>
      </c>
    </row>
    <row r="132" spans="1:8" ht="14.4" x14ac:dyDescent="0.3">
      <c r="A132" s="43" t="s">
        <v>51</v>
      </c>
      <c r="B132" s="28" t="s">
        <v>51</v>
      </c>
      <c r="C132" s="28" t="s">
        <v>359</v>
      </c>
      <c r="D132" s="95" t="s">
        <v>420</v>
      </c>
      <c r="E132" s="95"/>
      <c r="F132" s="28" t="s">
        <v>51</v>
      </c>
      <c r="G132" s="9" t="s">
        <v>51</v>
      </c>
      <c r="H132" s="44" t="s">
        <v>51</v>
      </c>
    </row>
    <row r="133" spans="1:8" ht="14.4" x14ac:dyDescent="0.3">
      <c r="A133" s="2" t="s">
        <v>421</v>
      </c>
      <c r="B133" s="3" t="s">
        <v>51</v>
      </c>
      <c r="C133" s="3" t="s">
        <v>422</v>
      </c>
      <c r="D133" s="71" t="s">
        <v>423</v>
      </c>
      <c r="E133" s="71"/>
      <c r="F133" s="3" t="s">
        <v>57</v>
      </c>
      <c r="G133" s="24">
        <v>1</v>
      </c>
      <c r="H133" s="25">
        <v>0</v>
      </c>
    </row>
    <row r="134" spans="1:8" ht="14.4" x14ac:dyDescent="0.3">
      <c r="A134" s="2" t="s">
        <v>425</v>
      </c>
      <c r="B134" s="3" t="s">
        <v>51</v>
      </c>
      <c r="C134" s="3" t="s">
        <v>426</v>
      </c>
      <c r="D134" s="71" t="s">
        <v>427</v>
      </c>
      <c r="E134" s="71"/>
      <c r="F134" s="3" t="s">
        <v>57</v>
      </c>
      <c r="G134" s="24">
        <v>1</v>
      </c>
      <c r="H134" s="25">
        <v>0</v>
      </c>
    </row>
    <row r="135" spans="1:8" ht="14.4" x14ac:dyDescent="0.3">
      <c r="A135" s="2" t="s">
        <v>428</v>
      </c>
      <c r="B135" s="3" t="s">
        <v>51</v>
      </c>
      <c r="C135" s="3" t="s">
        <v>429</v>
      </c>
      <c r="D135" s="71" t="s">
        <v>430</v>
      </c>
      <c r="E135" s="71"/>
      <c r="F135" s="3" t="s">
        <v>57</v>
      </c>
      <c r="G135" s="24">
        <v>4</v>
      </c>
      <c r="H135" s="25">
        <v>0</v>
      </c>
    </row>
    <row r="136" spans="1:8" ht="14.4" x14ac:dyDescent="0.3">
      <c r="A136" s="2" t="s">
        <v>431</v>
      </c>
      <c r="B136" s="3" t="s">
        <v>51</v>
      </c>
      <c r="C136" s="3" t="s">
        <v>432</v>
      </c>
      <c r="D136" s="71" t="s">
        <v>433</v>
      </c>
      <c r="E136" s="71"/>
      <c r="F136" s="3" t="s">
        <v>57</v>
      </c>
      <c r="G136" s="24">
        <v>2</v>
      </c>
      <c r="H136" s="25">
        <v>0</v>
      </c>
    </row>
    <row r="137" spans="1:8" ht="14.4" x14ac:dyDescent="0.3">
      <c r="A137" s="2" t="s">
        <v>434</v>
      </c>
      <c r="B137" s="3" t="s">
        <v>51</v>
      </c>
      <c r="C137" s="3" t="s">
        <v>435</v>
      </c>
      <c r="D137" s="71" t="s">
        <v>436</v>
      </c>
      <c r="E137" s="71"/>
      <c r="F137" s="3" t="s">
        <v>75</v>
      </c>
      <c r="G137" s="24">
        <v>17</v>
      </c>
      <c r="H137" s="25">
        <v>0</v>
      </c>
    </row>
    <row r="138" spans="1:8" ht="14.4" x14ac:dyDescent="0.3">
      <c r="A138" s="43" t="s">
        <v>51</v>
      </c>
      <c r="B138" s="28" t="s">
        <v>51</v>
      </c>
      <c r="C138" s="28" t="s">
        <v>437</v>
      </c>
      <c r="D138" s="95" t="s">
        <v>438</v>
      </c>
      <c r="E138" s="95"/>
      <c r="F138" s="28" t="s">
        <v>51</v>
      </c>
      <c r="G138" s="9" t="s">
        <v>51</v>
      </c>
      <c r="H138" s="44" t="s">
        <v>51</v>
      </c>
    </row>
    <row r="139" spans="1:8" ht="14.4" x14ac:dyDescent="0.3">
      <c r="A139" s="2" t="s">
        <v>439</v>
      </c>
      <c r="B139" s="3" t="s">
        <v>51</v>
      </c>
      <c r="C139" s="3" t="s">
        <v>440</v>
      </c>
      <c r="D139" s="71" t="s">
        <v>441</v>
      </c>
      <c r="E139" s="71"/>
      <c r="F139" s="3" t="s">
        <v>144</v>
      </c>
      <c r="G139" s="24">
        <v>24.6</v>
      </c>
      <c r="H139" s="25">
        <v>0</v>
      </c>
    </row>
    <row r="140" spans="1:8" ht="14.4" x14ac:dyDescent="0.3">
      <c r="A140" s="43" t="s">
        <v>51</v>
      </c>
      <c r="B140" s="28" t="s">
        <v>51</v>
      </c>
      <c r="C140" s="28" t="s">
        <v>443</v>
      </c>
      <c r="D140" s="95" t="s">
        <v>62</v>
      </c>
      <c r="E140" s="95"/>
      <c r="F140" s="28" t="s">
        <v>51</v>
      </c>
      <c r="G140" s="9" t="s">
        <v>51</v>
      </c>
      <c r="H140" s="44" t="s">
        <v>51</v>
      </c>
    </row>
    <row r="141" spans="1:8" ht="14.4" x14ac:dyDescent="0.3">
      <c r="A141" s="2" t="s">
        <v>444</v>
      </c>
      <c r="B141" s="3" t="s">
        <v>51</v>
      </c>
      <c r="C141" s="3" t="s">
        <v>445</v>
      </c>
      <c r="D141" s="71" t="s">
        <v>446</v>
      </c>
      <c r="E141" s="71"/>
      <c r="F141" s="3" t="s">
        <v>144</v>
      </c>
      <c r="G141" s="24">
        <v>0.8</v>
      </c>
      <c r="H141" s="25">
        <v>0</v>
      </c>
    </row>
    <row r="142" spans="1:8" ht="14.4" x14ac:dyDescent="0.3">
      <c r="A142" s="2" t="s">
        <v>448</v>
      </c>
      <c r="B142" s="3" t="s">
        <v>51</v>
      </c>
      <c r="C142" s="3" t="s">
        <v>449</v>
      </c>
      <c r="D142" s="71" t="s">
        <v>450</v>
      </c>
      <c r="E142" s="71"/>
      <c r="F142" s="3" t="s">
        <v>144</v>
      </c>
      <c r="G142" s="24">
        <v>0.1</v>
      </c>
      <c r="H142" s="25">
        <v>0</v>
      </c>
    </row>
    <row r="143" spans="1:8" ht="14.4" x14ac:dyDescent="0.3">
      <c r="A143" s="2" t="s">
        <v>451</v>
      </c>
      <c r="B143" s="3" t="s">
        <v>51</v>
      </c>
      <c r="C143" s="3" t="s">
        <v>452</v>
      </c>
      <c r="D143" s="71" t="s">
        <v>453</v>
      </c>
      <c r="E143" s="71"/>
      <c r="F143" s="3" t="s">
        <v>144</v>
      </c>
      <c r="G143" s="24">
        <v>0.8</v>
      </c>
      <c r="H143" s="25">
        <v>0</v>
      </c>
    </row>
    <row r="144" spans="1:8" ht="14.4" x14ac:dyDescent="0.3">
      <c r="A144" s="43" t="s">
        <v>51</v>
      </c>
      <c r="B144" s="28" t="s">
        <v>51</v>
      </c>
      <c r="C144" s="28" t="s">
        <v>454</v>
      </c>
      <c r="D144" s="95" t="s">
        <v>154</v>
      </c>
      <c r="E144" s="95"/>
      <c r="F144" s="28" t="s">
        <v>51</v>
      </c>
      <c r="G144" s="9" t="s">
        <v>51</v>
      </c>
      <c r="H144" s="44" t="s">
        <v>51</v>
      </c>
    </row>
    <row r="145" spans="1:8" ht="14.4" x14ac:dyDescent="0.3">
      <c r="A145" s="2" t="s">
        <v>455</v>
      </c>
      <c r="B145" s="3" t="s">
        <v>51</v>
      </c>
      <c r="C145" s="3" t="s">
        <v>456</v>
      </c>
      <c r="D145" s="71" t="s">
        <v>457</v>
      </c>
      <c r="E145" s="71"/>
      <c r="F145" s="3" t="s">
        <v>144</v>
      </c>
      <c r="G145" s="24">
        <v>0.2</v>
      </c>
      <c r="H145" s="25">
        <v>0</v>
      </c>
    </row>
    <row r="146" spans="1:8" ht="14.4" x14ac:dyDescent="0.3">
      <c r="A146" s="2" t="s">
        <v>459</v>
      </c>
      <c r="B146" s="3" t="s">
        <v>51</v>
      </c>
      <c r="C146" s="3" t="s">
        <v>460</v>
      </c>
      <c r="D146" s="71" t="s">
        <v>461</v>
      </c>
      <c r="E146" s="71"/>
      <c r="F146" s="3" t="s">
        <v>144</v>
      </c>
      <c r="G146" s="24">
        <v>0.05</v>
      </c>
      <c r="H146" s="25">
        <v>0</v>
      </c>
    </row>
    <row r="147" spans="1:8" ht="14.4" x14ac:dyDescent="0.3">
      <c r="A147" s="2" t="s">
        <v>462</v>
      </c>
      <c r="B147" s="3" t="s">
        <v>51</v>
      </c>
      <c r="C147" s="3" t="s">
        <v>463</v>
      </c>
      <c r="D147" s="71" t="s">
        <v>464</v>
      </c>
      <c r="E147" s="71"/>
      <c r="F147" s="3" t="s">
        <v>144</v>
      </c>
      <c r="G147" s="24">
        <v>0.2</v>
      </c>
      <c r="H147" s="25">
        <v>0</v>
      </c>
    </row>
    <row r="148" spans="1:8" ht="14.4" x14ac:dyDescent="0.3">
      <c r="A148" s="43" t="s">
        <v>51</v>
      </c>
      <c r="B148" s="28" t="s">
        <v>51</v>
      </c>
      <c r="C148" s="28" t="s">
        <v>465</v>
      </c>
      <c r="D148" s="95" t="s">
        <v>272</v>
      </c>
      <c r="E148" s="95"/>
      <c r="F148" s="28" t="s">
        <v>51</v>
      </c>
      <c r="G148" s="9" t="s">
        <v>51</v>
      </c>
      <c r="H148" s="44" t="s">
        <v>51</v>
      </c>
    </row>
    <row r="149" spans="1:8" ht="14.4" x14ac:dyDescent="0.3">
      <c r="A149" s="2" t="s">
        <v>466</v>
      </c>
      <c r="B149" s="3" t="s">
        <v>51</v>
      </c>
      <c r="C149" s="3" t="s">
        <v>467</v>
      </c>
      <c r="D149" s="71" t="s">
        <v>468</v>
      </c>
      <c r="E149" s="71"/>
      <c r="F149" s="3" t="s">
        <v>144</v>
      </c>
      <c r="G149" s="24">
        <v>0.15</v>
      </c>
      <c r="H149" s="25">
        <v>0</v>
      </c>
    </row>
    <row r="150" spans="1:8" ht="14.4" x14ac:dyDescent="0.3">
      <c r="A150" s="2" t="s">
        <v>470</v>
      </c>
      <c r="B150" s="3" t="s">
        <v>51</v>
      </c>
      <c r="C150" s="3" t="s">
        <v>471</v>
      </c>
      <c r="D150" s="71" t="s">
        <v>472</v>
      </c>
      <c r="E150" s="71"/>
      <c r="F150" s="3" t="s">
        <v>144</v>
      </c>
      <c r="G150" s="24">
        <v>0.15</v>
      </c>
      <c r="H150" s="25">
        <v>0</v>
      </c>
    </row>
    <row r="151" spans="1:8" ht="14.4" x14ac:dyDescent="0.3">
      <c r="A151" s="43" t="s">
        <v>51</v>
      </c>
      <c r="B151" s="28" t="s">
        <v>51</v>
      </c>
      <c r="C151" s="28" t="s">
        <v>473</v>
      </c>
      <c r="D151" s="95" t="s">
        <v>300</v>
      </c>
      <c r="E151" s="95"/>
      <c r="F151" s="28" t="s">
        <v>51</v>
      </c>
      <c r="G151" s="9" t="s">
        <v>51</v>
      </c>
      <c r="H151" s="44" t="s">
        <v>51</v>
      </c>
    </row>
    <row r="152" spans="1:8" ht="14.4" x14ac:dyDescent="0.3">
      <c r="A152" s="2" t="s">
        <v>474</v>
      </c>
      <c r="B152" s="3" t="s">
        <v>51</v>
      </c>
      <c r="C152" s="3" t="s">
        <v>475</v>
      </c>
      <c r="D152" s="71" t="s">
        <v>476</v>
      </c>
      <c r="E152" s="71"/>
      <c r="F152" s="3" t="s">
        <v>144</v>
      </c>
      <c r="G152" s="24">
        <v>3.2</v>
      </c>
      <c r="H152" s="25">
        <v>0</v>
      </c>
    </row>
    <row r="153" spans="1:8" ht="14.4" x14ac:dyDescent="0.3">
      <c r="A153" s="2" t="s">
        <v>478</v>
      </c>
      <c r="B153" s="3" t="s">
        <v>51</v>
      </c>
      <c r="C153" s="3" t="s">
        <v>479</v>
      </c>
      <c r="D153" s="71" t="s">
        <v>480</v>
      </c>
      <c r="E153" s="71"/>
      <c r="F153" s="3" t="s">
        <v>144</v>
      </c>
      <c r="G153" s="24">
        <v>1.1000000000000001</v>
      </c>
      <c r="H153" s="25">
        <v>0</v>
      </c>
    </row>
    <row r="154" spans="1:8" ht="14.4" x14ac:dyDescent="0.3">
      <c r="A154" s="2" t="s">
        <v>481</v>
      </c>
      <c r="B154" s="3" t="s">
        <v>51</v>
      </c>
      <c r="C154" s="3" t="s">
        <v>482</v>
      </c>
      <c r="D154" s="71" t="s">
        <v>483</v>
      </c>
      <c r="E154" s="71"/>
      <c r="F154" s="3" t="s">
        <v>144</v>
      </c>
      <c r="G154" s="24">
        <v>3.2</v>
      </c>
      <c r="H154" s="25">
        <v>0</v>
      </c>
    </row>
    <row r="155" spans="1:8" ht="14.4" x14ac:dyDescent="0.3">
      <c r="A155" s="43" t="s">
        <v>51</v>
      </c>
      <c r="B155" s="28" t="s">
        <v>51</v>
      </c>
      <c r="C155" s="28" t="s">
        <v>484</v>
      </c>
      <c r="D155" s="95" t="s">
        <v>485</v>
      </c>
      <c r="E155" s="95"/>
      <c r="F155" s="28" t="s">
        <v>51</v>
      </c>
      <c r="G155" s="9" t="s">
        <v>51</v>
      </c>
      <c r="H155" s="44" t="s">
        <v>51</v>
      </c>
    </row>
    <row r="156" spans="1:8" ht="14.4" x14ac:dyDescent="0.3">
      <c r="A156" s="2" t="s">
        <v>486</v>
      </c>
      <c r="B156" s="3" t="s">
        <v>51</v>
      </c>
      <c r="C156" s="3" t="s">
        <v>487</v>
      </c>
      <c r="D156" s="71" t="s">
        <v>488</v>
      </c>
      <c r="E156" s="71"/>
      <c r="F156" s="3" t="s">
        <v>144</v>
      </c>
      <c r="G156" s="24">
        <v>1</v>
      </c>
      <c r="H156" s="25">
        <v>0</v>
      </c>
    </row>
    <row r="157" spans="1:8" ht="14.4" x14ac:dyDescent="0.3">
      <c r="A157" s="31" t="s">
        <v>490</v>
      </c>
      <c r="B157" s="32" t="s">
        <v>51</v>
      </c>
      <c r="C157" s="32" t="s">
        <v>491</v>
      </c>
      <c r="D157" s="97" t="s">
        <v>492</v>
      </c>
      <c r="E157" s="97"/>
      <c r="F157" s="32" t="s">
        <v>144</v>
      </c>
      <c r="G157" s="33">
        <v>3</v>
      </c>
      <c r="H157" s="34">
        <v>0</v>
      </c>
    </row>
    <row r="159" spans="1:8" ht="14.4" x14ac:dyDescent="0.3">
      <c r="A159" s="36" t="s">
        <v>494</v>
      </c>
    </row>
    <row r="160" spans="1:8" ht="13.5" customHeight="1" x14ac:dyDescent="0.3">
      <c r="A160" s="76" t="s">
        <v>495</v>
      </c>
      <c r="B160" s="71"/>
      <c r="C160" s="71"/>
      <c r="D160" s="71"/>
      <c r="E160" s="71"/>
      <c r="F160" s="71"/>
      <c r="G160" s="71"/>
    </row>
  </sheetData>
  <mergeCells count="166">
    <mergeCell ref="D154:E154"/>
    <mergeCell ref="D155:E155"/>
    <mergeCell ref="D156:E156"/>
    <mergeCell ref="D157:E157"/>
    <mergeCell ref="A160:G160"/>
    <mergeCell ref="D149:E149"/>
    <mergeCell ref="D150:E150"/>
    <mergeCell ref="D151:E151"/>
    <mergeCell ref="D152:E152"/>
    <mergeCell ref="D153:E153"/>
    <mergeCell ref="D144:E144"/>
    <mergeCell ref="D145:E145"/>
    <mergeCell ref="D146:E146"/>
    <mergeCell ref="D147:E147"/>
    <mergeCell ref="D148:E148"/>
    <mergeCell ref="D139:E139"/>
    <mergeCell ref="D140:E140"/>
    <mergeCell ref="D141:E141"/>
    <mergeCell ref="D142:E142"/>
    <mergeCell ref="D143:E143"/>
    <mergeCell ref="D134:E134"/>
    <mergeCell ref="D135:E135"/>
    <mergeCell ref="D136:E136"/>
    <mergeCell ref="D137:E137"/>
    <mergeCell ref="D138:E138"/>
    <mergeCell ref="D129:E129"/>
    <mergeCell ref="D130:E130"/>
    <mergeCell ref="D131:E131"/>
    <mergeCell ref="D132:E132"/>
    <mergeCell ref="D133:E133"/>
    <mergeCell ref="D124:E124"/>
    <mergeCell ref="D125:E125"/>
    <mergeCell ref="D126:E126"/>
    <mergeCell ref="D127:E127"/>
    <mergeCell ref="D128:E128"/>
    <mergeCell ref="D119:E119"/>
    <mergeCell ref="D120:E120"/>
    <mergeCell ref="D121:E121"/>
    <mergeCell ref="D122:E122"/>
    <mergeCell ref="D123:E123"/>
    <mergeCell ref="D114:E114"/>
    <mergeCell ref="D115:E115"/>
    <mergeCell ref="D116:E116"/>
    <mergeCell ref="D117:E117"/>
    <mergeCell ref="D118:E118"/>
    <mergeCell ref="D109:E109"/>
    <mergeCell ref="D110:E110"/>
    <mergeCell ref="D111:E111"/>
    <mergeCell ref="D112:E112"/>
    <mergeCell ref="D113:E113"/>
    <mergeCell ref="D104:E104"/>
    <mergeCell ref="D105:E105"/>
    <mergeCell ref="D106:E106"/>
    <mergeCell ref="D107:E107"/>
    <mergeCell ref="D108:E108"/>
    <mergeCell ref="D99:E99"/>
    <mergeCell ref="D100:E100"/>
    <mergeCell ref="D101:E101"/>
    <mergeCell ref="D102:E102"/>
    <mergeCell ref="D103:E103"/>
    <mergeCell ref="D94:E94"/>
    <mergeCell ref="D95:E95"/>
    <mergeCell ref="D96:E96"/>
    <mergeCell ref="D97:E97"/>
    <mergeCell ref="D98:E98"/>
    <mergeCell ref="D89:E89"/>
    <mergeCell ref="D90:E90"/>
    <mergeCell ref="D91:E91"/>
    <mergeCell ref="D92:E92"/>
    <mergeCell ref="D93:E93"/>
    <mergeCell ref="D84:E84"/>
    <mergeCell ref="D85:E85"/>
    <mergeCell ref="D86:E86"/>
    <mergeCell ref="D87:E87"/>
    <mergeCell ref="D88:E88"/>
    <mergeCell ref="D79:E79"/>
    <mergeCell ref="D80:E80"/>
    <mergeCell ref="D81:E81"/>
    <mergeCell ref="D82:E82"/>
    <mergeCell ref="D83:E83"/>
    <mergeCell ref="D74:E74"/>
    <mergeCell ref="D75:E75"/>
    <mergeCell ref="D76:E76"/>
    <mergeCell ref="D77:E77"/>
    <mergeCell ref="D78:E78"/>
    <mergeCell ref="D69:E69"/>
    <mergeCell ref="D70:E70"/>
    <mergeCell ref="D71:E71"/>
    <mergeCell ref="D72:E72"/>
    <mergeCell ref="D73:E73"/>
    <mergeCell ref="D64:E64"/>
    <mergeCell ref="D65:E65"/>
    <mergeCell ref="D66:E66"/>
    <mergeCell ref="D67:E67"/>
    <mergeCell ref="D68:E68"/>
    <mergeCell ref="D59:E59"/>
    <mergeCell ref="D60:E60"/>
    <mergeCell ref="D61:E61"/>
    <mergeCell ref="D62:E62"/>
    <mergeCell ref="D63:E63"/>
    <mergeCell ref="D54:E54"/>
    <mergeCell ref="D55:E55"/>
    <mergeCell ref="D56:E56"/>
    <mergeCell ref="D57:E57"/>
    <mergeCell ref="D58:E58"/>
    <mergeCell ref="D49:E49"/>
    <mergeCell ref="D50:E50"/>
    <mergeCell ref="D51:E51"/>
    <mergeCell ref="D52:E52"/>
    <mergeCell ref="D53:E53"/>
    <mergeCell ref="D44:E44"/>
    <mergeCell ref="D45:E45"/>
    <mergeCell ref="D46:E46"/>
    <mergeCell ref="D47:E47"/>
    <mergeCell ref="D48:E48"/>
    <mergeCell ref="D39:E39"/>
    <mergeCell ref="D40:E40"/>
    <mergeCell ref="D41:E41"/>
    <mergeCell ref="D42:E42"/>
    <mergeCell ref="D43:E43"/>
    <mergeCell ref="D34:E34"/>
    <mergeCell ref="D35:E35"/>
    <mergeCell ref="D36:E36"/>
    <mergeCell ref="D37:E37"/>
    <mergeCell ref="D38:E38"/>
    <mergeCell ref="D29:E29"/>
    <mergeCell ref="D30:E30"/>
    <mergeCell ref="D31:E31"/>
    <mergeCell ref="D32:E32"/>
    <mergeCell ref="D33:E33"/>
    <mergeCell ref="D24:E24"/>
    <mergeCell ref="D25:E25"/>
    <mergeCell ref="D26:E26"/>
    <mergeCell ref="D27:E27"/>
    <mergeCell ref="D28:E28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F8:H9"/>
    <mergeCell ref="D10:E10"/>
    <mergeCell ref="D11:E11"/>
    <mergeCell ref="D12:E12"/>
    <mergeCell ref="D13:E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09375" defaultRowHeight="15" customHeight="1" x14ac:dyDescent="0.3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7.109375" customWidth="1"/>
    <col min="9" max="9" width="22.88671875" customWidth="1"/>
  </cols>
  <sheetData>
    <row r="1" spans="1:9" ht="54.75" customHeight="1" x14ac:dyDescent="0.3">
      <c r="A1" s="101" t="s">
        <v>545</v>
      </c>
      <c r="B1" s="67"/>
      <c r="C1" s="67"/>
      <c r="D1" s="67"/>
      <c r="E1" s="67"/>
      <c r="F1" s="67"/>
      <c r="G1" s="67"/>
      <c r="H1" s="67"/>
      <c r="I1" s="67"/>
    </row>
    <row r="2" spans="1:9" ht="14.4" x14ac:dyDescent="0.3">
      <c r="A2" s="68" t="s">
        <v>1</v>
      </c>
      <c r="B2" s="69"/>
      <c r="C2" s="77" t="str">
        <f>'Stavební rozpočet'!C2</f>
        <v>Stavební úpravy bytového domu - část ZTI</v>
      </c>
      <c r="D2" s="78"/>
      <c r="E2" s="75" t="s">
        <v>5</v>
      </c>
      <c r="F2" s="75" t="str">
        <f>'Stavební rozpočet'!I2</f>
        <v>Město Bohumín, Masarykova158, 735 81 Bohumín</v>
      </c>
      <c r="G2" s="69"/>
      <c r="H2" s="75" t="s">
        <v>500</v>
      </c>
      <c r="I2" s="80" t="s">
        <v>501</v>
      </c>
    </row>
    <row r="3" spans="1:9" ht="15" customHeight="1" x14ac:dyDescent="0.3">
      <c r="A3" s="70"/>
      <c r="B3" s="71"/>
      <c r="C3" s="79"/>
      <c r="D3" s="79"/>
      <c r="E3" s="71"/>
      <c r="F3" s="71"/>
      <c r="G3" s="71"/>
      <c r="H3" s="71"/>
      <c r="I3" s="81"/>
    </row>
    <row r="4" spans="1:9" ht="14.4" x14ac:dyDescent="0.3">
      <c r="A4" s="72" t="s">
        <v>7</v>
      </c>
      <c r="B4" s="71"/>
      <c r="C4" s="76" t="str">
        <f>'Stavební rozpočet'!C4</f>
        <v>Budova pro bydlení</v>
      </c>
      <c r="D4" s="71"/>
      <c r="E4" s="76" t="s">
        <v>10</v>
      </c>
      <c r="F4" s="76" t="str">
        <f>'Stavební rozpočet'!I4</f>
        <v>Ing. Stanislav Wilczek</v>
      </c>
      <c r="G4" s="71"/>
      <c r="H4" s="76" t="s">
        <v>500</v>
      </c>
      <c r="I4" s="81" t="s">
        <v>502</v>
      </c>
    </row>
    <row r="5" spans="1:9" ht="15" customHeight="1" x14ac:dyDescent="0.3">
      <c r="A5" s="70"/>
      <c r="B5" s="71"/>
      <c r="C5" s="71"/>
      <c r="D5" s="71"/>
      <c r="E5" s="71"/>
      <c r="F5" s="71"/>
      <c r="G5" s="71"/>
      <c r="H5" s="71"/>
      <c r="I5" s="81"/>
    </row>
    <row r="6" spans="1:9" ht="14.4" x14ac:dyDescent="0.3">
      <c r="A6" s="72" t="s">
        <v>12</v>
      </c>
      <c r="B6" s="71"/>
      <c r="C6" s="76" t="str">
        <f>'Stavební rozpočet'!C6</f>
        <v>Partyzánská 302, Bohumín – Pudlov</v>
      </c>
      <c r="D6" s="71"/>
      <c r="E6" s="76" t="s">
        <v>15</v>
      </c>
      <c r="F6" s="76" t="str">
        <f>'Stavební rozpočet'!I6</f>
        <v> </v>
      </c>
      <c r="G6" s="71"/>
      <c r="H6" s="76" t="s">
        <v>500</v>
      </c>
      <c r="I6" s="81" t="s">
        <v>51</v>
      </c>
    </row>
    <row r="7" spans="1:9" ht="15" customHeight="1" x14ac:dyDescent="0.3">
      <c r="A7" s="70"/>
      <c r="B7" s="71"/>
      <c r="C7" s="71"/>
      <c r="D7" s="71"/>
      <c r="E7" s="71"/>
      <c r="F7" s="71"/>
      <c r="G7" s="71"/>
      <c r="H7" s="71"/>
      <c r="I7" s="81"/>
    </row>
    <row r="8" spans="1:9" ht="14.4" x14ac:dyDescent="0.3">
      <c r="A8" s="72" t="s">
        <v>9</v>
      </c>
      <c r="B8" s="71"/>
      <c r="C8" s="76">
        <f>'Stavební rozpočet'!G4</f>
        <v>0</v>
      </c>
      <c r="D8" s="71"/>
      <c r="E8" s="76" t="s">
        <v>14</v>
      </c>
      <c r="F8" s="76">
        <f>'Stavební rozpočet'!G6</f>
        <v>0</v>
      </c>
      <c r="G8" s="71"/>
      <c r="H8" s="71" t="s">
        <v>503</v>
      </c>
      <c r="I8" s="103">
        <v>133</v>
      </c>
    </row>
    <row r="9" spans="1:9" ht="14.4" x14ac:dyDescent="0.3">
      <c r="A9" s="70"/>
      <c r="B9" s="71"/>
      <c r="C9" s="71"/>
      <c r="D9" s="71"/>
      <c r="E9" s="71"/>
      <c r="F9" s="71"/>
      <c r="G9" s="71"/>
      <c r="H9" s="71"/>
      <c r="I9" s="81"/>
    </row>
    <row r="10" spans="1:9" ht="14.4" x14ac:dyDescent="0.3">
      <c r="A10" s="72" t="s">
        <v>17</v>
      </c>
      <c r="B10" s="71"/>
      <c r="C10" s="76" t="str">
        <f>'Stavební rozpočet'!C8</f>
        <v xml:space="preserve"> </v>
      </c>
      <c r="D10" s="71"/>
      <c r="E10" s="76" t="s">
        <v>21</v>
      </c>
      <c r="F10" s="76" t="str">
        <f>'Stavební rozpočet'!I8</f>
        <v>Ing. Stanislav Wilczek</v>
      </c>
      <c r="G10" s="71"/>
      <c r="H10" s="71" t="s">
        <v>504</v>
      </c>
      <c r="I10" s="104" t="str">
        <f>'Stavební rozpočet'!G8</f>
        <v>16.02.2025</v>
      </c>
    </row>
    <row r="11" spans="1:9" ht="14.4" x14ac:dyDescent="0.3">
      <c r="A11" s="102"/>
      <c r="B11" s="97"/>
      <c r="C11" s="97"/>
      <c r="D11" s="97"/>
      <c r="E11" s="97"/>
      <c r="F11" s="97"/>
      <c r="G11" s="97"/>
      <c r="H11" s="97"/>
      <c r="I11" s="105"/>
    </row>
    <row r="13" spans="1:9" ht="15.6" x14ac:dyDescent="0.3">
      <c r="A13" s="139" t="s">
        <v>546</v>
      </c>
      <c r="B13" s="139"/>
      <c r="C13" s="139"/>
      <c r="D13" s="139"/>
      <c r="E13" s="139"/>
    </row>
    <row r="14" spans="1:9" ht="14.4" x14ac:dyDescent="0.3">
      <c r="A14" s="140" t="s">
        <v>547</v>
      </c>
      <c r="B14" s="141"/>
      <c r="C14" s="141"/>
      <c r="D14" s="141"/>
      <c r="E14" s="142"/>
      <c r="F14" s="59" t="s">
        <v>548</v>
      </c>
      <c r="G14" s="59" t="s">
        <v>549</v>
      </c>
      <c r="H14" s="59" t="s">
        <v>550</v>
      </c>
      <c r="I14" s="59" t="s">
        <v>548</v>
      </c>
    </row>
    <row r="15" spans="1:9" ht="14.4" x14ac:dyDescent="0.3">
      <c r="A15" s="143" t="s">
        <v>514</v>
      </c>
      <c r="B15" s="144"/>
      <c r="C15" s="144"/>
      <c r="D15" s="144"/>
      <c r="E15" s="145"/>
      <c r="F15" s="60">
        <v>0</v>
      </c>
      <c r="G15" s="61" t="s">
        <v>51</v>
      </c>
      <c r="H15" s="61" t="s">
        <v>51</v>
      </c>
      <c r="I15" s="60">
        <f>F15</f>
        <v>0</v>
      </c>
    </row>
    <row r="16" spans="1:9" ht="14.4" x14ac:dyDescent="0.3">
      <c r="A16" s="143" t="s">
        <v>516</v>
      </c>
      <c r="B16" s="144"/>
      <c r="C16" s="144"/>
      <c r="D16" s="144"/>
      <c r="E16" s="145"/>
      <c r="F16" s="60">
        <v>0</v>
      </c>
      <c r="G16" s="61" t="s">
        <v>51</v>
      </c>
      <c r="H16" s="61" t="s">
        <v>51</v>
      </c>
      <c r="I16" s="60">
        <f>F16</f>
        <v>0</v>
      </c>
    </row>
    <row r="17" spans="1:9" ht="14.4" x14ac:dyDescent="0.3">
      <c r="A17" s="146" t="s">
        <v>519</v>
      </c>
      <c r="B17" s="147"/>
      <c r="C17" s="147"/>
      <c r="D17" s="147"/>
      <c r="E17" s="148"/>
      <c r="F17" s="62">
        <v>0</v>
      </c>
      <c r="G17" s="63" t="s">
        <v>51</v>
      </c>
      <c r="H17" s="63" t="s">
        <v>51</v>
      </c>
      <c r="I17" s="62">
        <f>F17</f>
        <v>0</v>
      </c>
    </row>
    <row r="18" spans="1:9" ht="14.4" x14ac:dyDescent="0.3">
      <c r="A18" s="149" t="s">
        <v>551</v>
      </c>
      <c r="B18" s="150"/>
      <c r="C18" s="150"/>
      <c r="D18" s="150"/>
      <c r="E18" s="151"/>
      <c r="F18" s="64" t="s">
        <v>51</v>
      </c>
      <c r="G18" s="65" t="s">
        <v>51</v>
      </c>
      <c r="H18" s="65" t="s">
        <v>51</v>
      </c>
      <c r="I18" s="66">
        <f>SUM(I15:I17)</f>
        <v>0</v>
      </c>
    </row>
    <row r="20" spans="1:9" ht="14.4" x14ac:dyDescent="0.3">
      <c r="A20" s="140" t="s">
        <v>511</v>
      </c>
      <c r="B20" s="141"/>
      <c r="C20" s="141"/>
      <c r="D20" s="141"/>
      <c r="E20" s="142"/>
      <c r="F20" s="59" t="s">
        <v>548</v>
      </c>
      <c r="G20" s="59" t="s">
        <v>549</v>
      </c>
      <c r="H20" s="59" t="s">
        <v>550</v>
      </c>
      <c r="I20" s="59" t="s">
        <v>548</v>
      </c>
    </row>
    <row r="21" spans="1:9" ht="14.4" x14ac:dyDescent="0.3">
      <c r="A21" s="143" t="s">
        <v>515</v>
      </c>
      <c r="B21" s="144"/>
      <c r="C21" s="144"/>
      <c r="D21" s="144"/>
      <c r="E21" s="145"/>
      <c r="F21" s="60">
        <v>0</v>
      </c>
      <c r="G21" s="61" t="s">
        <v>51</v>
      </c>
      <c r="H21" s="61" t="s">
        <v>51</v>
      </c>
      <c r="I21" s="60">
        <f t="shared" ref="I21:I26" si="0">F21</f>
        <v>0</v>
      </c>
    </row>
    <row r="22" spans="1:9" ht="14.4" x14ac:dyDescent="0.3">
      <c r="A22" s="143" t="s">
        <v>517</v>
      </c>
      <c r="B22" s="144"/>
      <c r="C22" s="144"/>
      <c r="D22" s="144"/>
      <c r="E22" s="145"/>
      <c r="F22" s="60">
        <v>0</v>
      </c>
      <c r="G22" s="61" t="s">
        <v>51</v>
      </c>
      <c r="H22" s="61" t="s">
        <v>51</v>
      </c>
      <c r="I22" s="60">
        <f t="shared" si="0"/>
        <v>0</v>
      </c>
    </row>
    <row r="23" spans="1:9" ht="14.4" x14ac:dyDescent="0.3">
      <c r="A23" s="143" t="s">
        <v>520</v>
      </c>
      <c r="B23" s="144"/>
      <c r="C23" s="144"/>
      <c r="D23" s="144"/>
      <c r="E23" s="145"/>
      <c r="F23" s="60">
        <v>0</v>
      </c>
      <c r="G23" s="61" t="s">
        <v>51</v>
      </c>
      <c r="H23" s="61" t="s">
        <v>51</v>
      </c>
      <c r="I23" s="60">
        <f t="shared" si="0"/>
        <v>0</v>
      </c>
    </row>
    <row r="24" spans="1:9" ht="14.4" x14ac:dyDescent="0.3">
      <c r="A24" s="143" t="s">
        <v>521</v>
      </c>
      <c r="B24" s="144"/>
      <c r="C24" s="144"/>
      <c r="D24" s="144"/>
      <c r="E24" s="145"/>
      <c r="F24" s="60">
        <v>0</v>
      </c>
      <c r="G24" s="61" t="s">
        <v>51</v>
      </c>
      <c r="H24" s="61" t="s">
        <v>51</v>
      </c>
      <c r="I24" s="60">
        <f t="shared" si="0"/>
        <v>0</v>
      </c>
    </row>
    <row r="25" spans="1:9" ht="14.4" x14ac:dyDescent="0.3">
      <c r="A25" s="143" t="s">
        <v>523</v>
      </c>
      <c r="B25" s="144"/>
      <c r="C25" s="144"/>
      <c r="D25" s="144"/>
      <c r="E25" s="145"/>
      <c r="F25" s="60">
        <v>0</v>
      </c>
      <c r="G25" s="61" t="s">
        <v>51</v>
      </c>
      <c r="H25" s="61" t="s">
        <v>51</v>
      </c>
      <c r="I25" s="60">
        <f t="shared" si="0"/>
        <v>0</v>
      </c>
    </row>
    <row r="26" spans="1:9" ht="14.4" x14ac:dyDescent="0.3">
      <c r="A26" s="146" t="s">
        <v>524</v>
      </c>
      <c r="B26" s="147"/>
      <c r="C26" s="147"/>
      <c r="D26" s="147"/>
      <c r="E26" s="148"/>
      <c r="F26" s="62">
        <v>0</v>
      </c>
      <c r="G26" s="63" t="s">
        <v>51</v>
      </c>
      <c r="H26" s="63" t="s">
        <v>51</v>
      </c>
      <c r="I26" s="62">
        <f t="shared" si="0"/>
        <v>0</v>
      </c>
    </row>
    <row r="27" spans="1:9" ht="14.4" x14ac:dyDescent="0.3">
      <c r="A27" s="149" t="s">
        <v>552</v>
      </c>
      <c r="B27" s="150"/>
      <c r="C27" s="150"/>
      <c r="D27" s="150"/>
      <c r="E27" s="151"/>
      <c r="F27" s="64" t="s">
        <v>51</v>
      </c>
      <c r="G27" s="65" t="s">
        <v>51</v>
      </c>
      <c r="H27" s="65" t="s">
        <v>51</v>
      </c>
      <c r="I27" s="66">
        <f>SUM(I21:I26)</f>
        <v>0</v>
      </c>
    </row>
    <row r="29" spans="1:9" ht="15.6" x14ac:dyDescent="0.3">
      <c r="A29" s="152" t="s">
        <v>553</v>
      </c>
      <c r="B29" s="153"/>
      <c r="C29" s="153"/>
      <c r="D29" s="153"/>
      <c r="E29" s="154"/>
      <c r="F29" s="155">
        <f>I18+I27</f>
        <v>0</v>
      </c>
      <c r="G29" s="156"/>
      <c r="H29" s="156"/>
      <c r="I29" s="157"/>
    </row>
    <row r="33" spans="1:9" ht="15.6" x14ac:dyDescent="0.3">
      <c r="A33" s="139" t="s">
        <v>554</v>
      </c>
      <c r="B33" s="139"/>
      <c r="C33" s="139"/>
      <c r="D33" s="139"/>
      <c r="E33" s="139"/>
    </row>
    <row r="34" spans="1:9" ht="14.4" x14ac:dyDescent="0.3">
      <c r="A34" s="140" t="s">
        <v>555</v>
      </c>
      <c r="B34" s="141"/>
      <c r="C34" s="141"/>
      <c r="D34" s="141"/>
      <c r="E34" s="142"/>
      <c r="F34" s="59" t="s">
        <v>548</v>
      </c>
      <c r="G34" s="59" t="s">
        <v>549</v>
      </c>
      <c r="H34" s="59" t="s">
        <v>550</v>
      </c>
      <c r="I34" s="59" t="s">
        <v>548</v>
      </c>
    </row>
    <row r="35" spans="1:9" ht="14.4" x14ac:dyDescent="0.3">
      <c r="A35" s="146" t="s">
        <v>51</v>
      </c>
      <c r="B35" s="147"/>
      <c r="C35" s="147"/>
      <c r="D35" s="147"/>
      <c r="E35" s="148"/>
      <c r="F35" s="62">
        <v>0</v>
      </c>
      <c r="G35" s="63" t="s">
        <v>51</v>
      </c>
      <c r="H35" s="63" t="s">
        <v>51</v>
      </c>
      <c r="I35" s="62">
        <f>F35</f>
        <v>0</v>
      </c>
    </row>
    <row r="36" spans="1:9" ht="14.4" x14ac:dyDescent="0.3">
      <c r="A36" s="149" t="s">
        <v>556</v>
      </c>
      <c r="B36" s="150"/>
      <c r="C36" s="150"/>
      <c r="D36" s="150"/>
      <c r="E36" s="151"/>
      <c r="F36" s="64" t="s">
        <v>51</v>
      </c>
      <c r="G36" s="65" t="s">
        <v>51</v>
      </c>
      <c r="H36" s="65" t="s">
        <v>51</v>
      </c>
      <c r="I36" s="66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 rozpočtu</vt:lpstr>
      <vt:lpstr>Stavební rozpočet</vt:lpstr>
      <vt:lpstr>Výkaz výměr</vt:lpstr>
      <vt:lpstr>VORN</vt:lpstr>
      <vt:lpstr>vorn_sum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Stanislav Wilczek</cp:lastModifiedBy>
  <dcterms:created xsi:type="dcterms:W3CDTF">2021-06-10T20:06:38Z</dcterms:created>
  <dcterms:modified xsi:type="dcterms:W3CDTF">2025-02-11T20:31:43Z</dcterms:modified>
</cp:coreProperties>
</file>