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\Uzivatele\lorenc\VÝBĚROVÉ ŘÍZENÍ 24\ZŠ Starý Bohumín - rekonstrukce plynové kotelny\E-zak VŘ\PD\"/>
    </mc:Choice>
  </mc:AlternateContent>
  <bookViews>
    <workbookView xWindow="0" yWindow="0" windowWidth="15990" windowHeight="12000"/>
  </bookViews>
  <sheets>
    <sheet name="Stavební rozpočet" sheetId="1" r:id="rId1"/>
    <sheet name="Výkaz výměr" sheetId="2" r:id="rId2"/>
    <sheet name="Krycí list rozpočtu" sheetId="3" r:id="rId3"/>
    <sheet name="VORN" sheetId="4" r:id="rId4"/>
  </sheets>
  <definedNames>
    <definedName name="vorn_sum">VORN!$I$36</definedName>
  </definedNames>
  <calcPr calcId="162913" iterateCount="1"/>
</workbook>
</file>

<file path=xl/calcChain.xml><?xml version="1.0" encoding="utf-8"?>
<calcChain xmlns="http://schemas.openxmlformats.org/spreadsheetml/2006/main">
  <c r="AS1" i="1" l="1"/>
  <c r="AT1" i="1"/>
  <c r="AU1" i="1"/>
  <c r="J13" i="1"/>
  <c r="AD13" i="1"/>
  <c r="AH13" i="1"/>
  <c r="AO13" i="1"/>
  <c r="AP13" i="1"/>
  <c r="BD13" i="1"/>
  <c r="BF13" i="1"/>
  <c r="BH13" i="1"/>
  <c r="BJ13" i="1"/>
  <c r="Z13" i="1" s="1"/>
  <c r="J15" i="1"/>
  <c r="Z15" i="1"/>
  <c r="AJ15" i="1"/>
  <c r="AK15" i="1"/>
  <c r="AL15" i="1"/>
  <c r="AO15" i="1"/>
  <c r="AP15" i="1"/>
  <c r="BD15" i="1"/>
  <c r="BF15" i="1"/>
  <c r="BI15" i="1"/>
  <c r="BJ15" i="1"/>
  <c r="AH15" i="1" s="1"/>
  <c r="J16" i="1"/>
  <c r="Z16" i="1"/>
  <c r="AD16" i="1"/>
  <c r="AH16" i="1"/>
  <c r="AO16" i="1"/>
  <c r="BH16" i="1" s="1"/>
  <c r="AP16" i="1"/>
  <c r="I16" i="1" s="1"/>
  <c r="AX16" i="1"/>
  <c r="BD16" i="1"/>
  <c r="BF16" i="1"/>
  <c r="BI16" i="1"/>
  <c r="AE16" i="1" s="1"/>
  <c r="BJ16" i="1"/>
  <c r="J17" i="1"/>
  <c r="J18" i="1"/>
  <c r="Z18" i="1"/>
  <c r="AF18" i="1"/>
  <c r="AJ18" i="1"/>
  <c r="AS17" i="1" s="1"/>
  <c r="AK18" i="1"/>
  <c r="AT17" i="1" s="1"/>
  <c r="AL18" i="1"/>
  <c r="AU17" i="1" s="1"/>
  <c r="AO18" i="1"/>
  <c r="H18" i="1" s="1"/>
  <c r="H17" i="1" s="1"/>
  <c r="AP18" i="1"/>
  <c r="AW18" i="1"/>
  <c r="BD18" i="1"/>
  <c r="BF18" i="1"/>
  <c r="BJ18" i="1"/>
  <c r="AH18" i="1" s="1"/>
  <c r="H21" i="1"/>
  <c r="H20" i="1" s="1"/>
  <c r="J21" i="1"/>
  <c r="AF21" i="1"/>
  <c r="AG21" i="1"/>
  <c r="AK21" i="1"/>
  <c r="AT20" i="1" s="1"/>
  <c r="AO21" i="1"/>
  <c r="AP21" i="1"/>
  <c r="AW21" i="1"/>
  <c r="BD21" i="1"/>
  <c r="BF21" i="1"/>
  <c r="BH21" i="1"/>
  <c r="AD21" i="1" s="1"/>
  <c r="BJ21" i="1"/>
  <c r="J24" i="1"/>
  <c r="AJ24" i="1" s="1"/>
  <c r="Z24" i="1"/>
  <c r="AC24" i="1"/>
  <c r="AG24" i="1"/>
  <c r="AH24" i="1"/>
  <c r="AO24" i="1"/>
  <c r="AP24" i="1"/>
  <c r="I24" i="1" s="1"/>
  <c r="BD24" i="1"/>
  <c r="BF24" i="1"/>
  <c r="BJ24" i="1"/>
  <c r="I25" i="1"/>
  <c r="J25" i="1"/>
  <c r="AJ25" i="1" s="1"/>
  <c r="AB25" i="1"/>
  <c r="AC25" i="1"/>
  <c r="AF25" i="1"/>
  <c r="AG25" i="1"/>
  <c r="AK25" i="1"/>
  <c r="AL25" i="1"/>
  <c r="AO25" i="1"/>
  <c r="H25" i="1" s="1"/>
  <c r="AP25" i="1"/>
  <c r="AX25" i="1"/>
  <c r="BD25" i="1"/>
  <c r="BF25" i="1"/>
  <c r="BI25" i="1"/>
  <c r="AE25" i="1" s="1"/>
  <c r="BJ25" i="1"/>
  <c r="H26" i="1"/>
  <c r="J26" i="1"/>
  <c r="AL26" i="1" s="1"/>
  <c r="Z26" i="1"/>
  <c r="AB26" i="1"/>
  <c r="AF26" i="1"/>
  <c r="AJ26" i="1"/>
  <c r="AK26" i="1"/>
  <c r="AO26" i="1"/>
  <c r="AP26" i="1"/>
  <c r="BD26" i="1"/>
  <c r="BF26" i="1"/>
  <c r="BI26" i="1"/>
  <c r="BJ26" i="1"/>
  <c r="AH26" i="1" s="1"/>
  <c r="J27" i="1"/>
  <c r="Z27" i="1"/>
  <c r="AH27" i="1"/>
  <c r="AO27" i="1"/>
  <c r="BH27" i="1" s="1"/>
  <c r="AD27" i="1" s="1"/>
  <c r="AP27" i="1"/>
  <c r="I27" i="1" s="1"/>
  <c r="AX27" i="1"/>
  <c r="BD27" i="1"/>
  <c r="BF27" i="1"/>
  <c r="BI27" i="1"/>
  <c r="AE27" i="1" s="1"/>
  <c r="BJ27" i="1"/>
  <c r="J28" i="1"/>
  <c r="AJ28" i="1" s="1"/>
  <c r="Z28" i="1"/>
  <c r="AC28" i="1"/>
  <c r="AG28" i="1"/>
  <c r="AH28" i="1"/>
  <c r="AL28" i="1"/>
  <c r="AO28" i="1"/>
  <c r="H28" i="1" s="1"/>
  <c r="AP28" i="1"/>
  <c r="AW28" i="1"/>
  <c r="BD28" i="1"/>
  <c r="BF28" i="1"/>
  <c r="BH28" i="1"/>
  <c r="AD28" i="1" s="1"/>
  <c r="BJ28" i="1"/>
  <c r="J30" i="1"/>
  <c r="Z30" i="1"/>
  <c r="AH30" i="1"/>
  <c r="AJ30" i="1"/>
  <c r="AO30" i="1"/>
  <c r="BH30" i="1" s="1"/>
  <c r="AP30" i="1"/>
  <c r="I30" i="1" s="1"/>
  <c r="AX30" i="1"/>
  <c r="BD30" i="1"/>
  <c r="BF30" i="1"/>
  <c r="BI30" i="1"/>
  <c r="BJ30" i="1"/>
  <c r="I31" i="1"/>
  <c r="J31" i="1"/>
  <c r="Z31" i="1"/>
  <c r="AC31" i="1"/>
  <c r="AG31" i="1"/>
  <c r="AH31" i="1"/>
  <c r="AO31" i="1"/>
  <c r="H31" i="1" s="1"/>
  <c r="AP31" i="1"/>
  <c r="AW31" i="1"/>
  <c r="AX31" i="1"/>
  <c r="BD31" i="1"/>
  <c r="BF31" i="1"/>
  <c r="BH31" i="1"/>
  <c r="BI31" i="1"/>
  <c r="AE31" i="1" s="1"/>
  <c r="BJ31" i="1"/>
  <c r="I32" i="1"/>
  <c r="J32" i="1"/>
  <c r="AJ32" i="1" s="1"/>
  <c r="AB32" i="1"/>
  <c r="AC32" i="1"/>
  <c r="AF32" i="1"/>
  <c r="AG32" i="1"/>
  <c r="AK32" i="1"/>
  <c r="AO32" i="1"/>
  <c r="AP32" i="1"/>
  <c r="AX32" i="1" s="1"/>
  <c r="BD32" i="1"/>
  <c r="BF32" i="1"/>
  <c r="BJ32" i="1"/>
  <c r="J34" i="1"/>
  <c r="AL34" i="1" s="1"/>
  <c r="Z34" i="1"/>
  <c r="AC34" i="1"/>
  <c r="AG34" i="1"/>
  <c r="AH34" i="1"/>
  <c r="AO34" i="1"/>
  <c r="AP34" i="1"/>
  <c r="I34" i="1" s="1"/>
  <c r="BD34" i="1"/>
  <c r="BF34" i="1"/>
  <c r="BJ34" i="1"/>
  <c r="J35" i="1"/>
  <c r="AJ35" i="1" s="1"/>
  <c r="AB35" i="1"/>
  <c r="AC35" i="1"/>
  <c r="AF35" i="1"/>
  <c r="AG35" i="1"/>
  <c r="AK35" i="1"/>
  <c r="AL35" i="1"/>
  <c r="AO35" i="1"/>
  <c r="H35" i="1" s="1"/>
  <c r="AP35" i="1"/>
  <c r="I35" i="1" s="1"/>
  <c r="AW35" i="1"/>
  <c r="BC35" i="1" s="1"/>
  <c r="AX35" i="1"/>
  <c r="BD35" i="1"/>
  <c r="BF35" i="1"/>
  <c r="BH35" i="1"/>
  <c r="AD35" i="1" s="1"/>
  <c r="BI35" i="1"/>
  <c r="AE35" i="1" s="1"/>
  <c r="BJ35" i="1"/>
  <c r="J36" i="1"/>
  <c r="AL36" i="1" s="1"/>
  <c r="AB36" i="1"/>
  <c r="AF36" i="1"/>
  <c r="AJ36" i="1"/>
  <c r="AK36" i="1"/>
  <c r="AO36" i="1"/>
  <c r="H36" i="1" s="1"/>
  <c r="AP36" i="1"/>
  <c r="AW36" i="1"/>
  <c r="BD36" i="1"/>
  <c r="BF36" i="1"/>
  <c r="BJ36" i="1"/>
  <c r="AH36" i="1" s="1"/>
  <c r="J37" i="1"/>
  <c r="AO37" i="1"/>
  <c r="AP37" i="1"/>
  <c r="BD37" i="1"/>
  <c r="BF37" i="1"/>
  <c r="BJ37" i="1"/>
  <c r="J38" i="1"/>
  <c r="AL38" i="1" s="1"/>
  <c r="AC38" i="1"/>
  <c r="AG38" i="1"/>
  <c r="AH38" i="1"/>
  <c r="AJ38" i="1"/>
  <c r="AK38" i="1"/>
  <c r="AO38" i="1"/>
  <c r="H38" i="1" s="1"/>
  <c r="AP38" i="1"/>
  <c r="AW38" i="1"/>
  <c r="BD38" i="1"/>
  <c r="BF38" i="1"/>
  <c r="BH38" i="1"/>
  <c r="BJ38" i="1"/>
  <c r="Z38" i="1" s="1"/>
  <c r="H39" i="1"/>
  <c r="I39" i="1"/>
  <c r="J39" i="1"/>
  <c r="AB39" i="1"/>
  <c r="AC39" i="1"/>
  <c r="AF39" i="1"/>
  <c r="AG39" i="1"/>
  <c r="AJ39" i="1"/>
  <c r="AK39" i="1"/>
  <c r="AL39" i="1"/>
  <c r="AO39" i="1"/>
  <c r="AP39" i="1"/>
  <c r="AX39" i="1" s="1"/>
  <c r="AW39" i="1"/>
  <c r="BD39" i="1"/>
  <c r="BF39" i="1"/>
  <c r="BH39" i="1"/>
  <c r="AD39" i="1" s="1"/>
  <c r="BI39" i="1"/>
  <c r="AE39" i="1" s="1"/>
  <c r="BJ39" i="1"/>
  <c r="J40" i="1"/>
  <c r="AL40" i="1" s="1"/>
  <c r="Z40" i="1"/>
  <c r="AB40" i="1"/>
  <c r="AF40" i="1"/>
  <c r="AJ40" i="1"/>
  <c r="AK40" i="1"/>
  <c r="AO40" i="1"/>
  <c r="AW40" i="1" s="1"/>
  <c r="AP40" i="1"/>
  <c r="BD40" i="1"/>
  <c r="BF40" i="1"/>
  <c r="BH40" i="1"/>
  <c r="AD40" i="1" s="1"/>
  <c r="BJ40" i="1"/>
  <c r="AH40" i="1" s="1"/>
  <c r="J41" i="1"/>
  <c r="Z41" i="1"/>
  <c r="AH41" i="1"/>
  <c r="AJ41" i="1"/>
  <c r="AO41" i="1"/>
  <c r="AP41" i="1"/>
  <c r="BD41" i="1"/>
  <c r="BF41" i="1"/>
  <c r="BH41" i="1"/>
  <c r="BJ41" i="1"/>
  <c r="J42" i="1"/>
  <c r="AC42" i="1"/>
  <c r="AG42" i="1"/>
  <c r="AH42" i="1"/>
  <c r="AL42" i="1"/>
  <c r="AO42" i="1"/>
  <c r="H42" i="1" s="1"/>
  <c r="AP42" i="1"/>
  <c r="I42" i="1" s="1"/>
  <c r="AX42" i="1"/>
  <c r="BD42" i="1"/>
  <c r="BF42" i="1"/>
  <c r="BI42" i="1"/>
  <c r="AE42" i="1" s="1"/>
  <c r="BJ42" i="1"/>
  <c r="Z42" i="1" s="1"/>
  <c r="J44" i="1"/>
  <c r="Z44" i="1"/>
  <c r="AH44" i="1"/>
  <c r="AJ44" i="1"/>
  <c r="AO44" i="1"/>
  <c r="AP44" i="1"/>
  <c r="I44" i="1" s="1"/>
  <c r="BD44" i="1"/>
  <c r="BF44" i="1"/>
  <c r="BI44" i="1"/>
  <c r="BJ44" i="1"/>
  <c r="I45" i="1"/>
  <c r="J45" i="1"/>
  <c r="AC45" i="1"/>
  <c r="AG45" i="1"/>
  <c r="AH45" i="1"/>
  <c r="AL45" i="1"/>
  <c r="AO45" i="1"/>
  <c r="AP45" i="1"/>
  <c r="AX45" i="1"/>
  <c r="BD45" i="1"/>
  <c r="BF45" i="1"/>
  <c r="BI45" i="1"/>
  <c r="AE45" i="1" s="1"/>
  <c r="BJ45" i="1"/>
  <c r="Z45" i="1" s="1"/>
  <c r="H46" i="1"/>
  <c r="J46" i="1"/>
  <c r="AB46" i="1"/>
  <c r="AC46" i="1"/>
  <c r="AF46" i="1"/>
  <c r="AG46" i="1"/>
  <c r="AJ46" i="1"/>
  <c r="AK46" i="1"/>
  <c r="AL46" i="1"/>
  <c r="AO46" i="1"/>
  <c r="AP46" i="1"/>
  <c r="AW46" i="1"/>
  <c r="BD46" i="1"/>
  <c r="BF46" i="1"/>
  <c r="BH46" i="1"/>
  <c r="AD46" i="1" s="1"/>
  <c r="BJ46" i="1"/>
  <c r="J47" i="1"/>
  <c r="AB47" i="1"/>
  <c r="AF47" i="1"/>
  <c r="AJ47" i="1"/>
  <c r="AK47" i="1"/>
  <c r="AL47" i="1"/>
  <c r="AO47" i="1"/>
  <c r="AP47" i="1"/>
  <c r="BD47" i="1"/>
  <c r="BF47" i="1"/>
  <c r="BJ47" i="1"/>
  <c r="AH47" i="1" s="1"/>
  <c r="J48" i="1"/>
  <c r="Z48" i="1"/>
  <c r="AH48" i="1"/>
  <c r="AO48" i="1"/>
  <c r="AP48" i="1"/>
  <c r="I48" i="1" s="1"/>
  <c r="AX48" i="1"/>
  <c r="BD48" i="1"/>
  <c r="BF48" i="1"/>
  <c r="BH48" i="1"/>
  <c r="BJ48" i="1"/>
  <c r="I49" i="1"/>
  <c r="J49" i="1"/>
  <c r="AC49" i="1"/>
  <c r="AG49" i="1"/>
  <c r="AH49" i="1"/>
  <c r="AO49" i="1"/>
  <c r="H49" i="1" s="1"/>
  <c r="AP49" i="1"/>
  <c r="AW49" i="1"/>
  <c r="AX49" i="1"/>
  <c r="BD49" i="1"/>
  <c r="BF49" i="1"/>
  <c r="BH49" i="1"/>
  <c r="BI49" i="1"/>
  <c r="AE49" i="1" s="1"/>
  <c r="BJ49" i="1"/>
  <c r="Z49" i="1" s="1"/>
  <c r="I50" i="1"/>
  <c r="J50" i="1"/>
  <c r="AB50" i="1"/>
  <c r="AC50" i="1"/>
  <c r="AF50" i="1"/>
  <c r="AG50" i="1"/>
  <c r="AJ50" i="1"/>
  <c r="AK50" i="1"/>
  <c r="AL50" i="1"/>
  <c r="AO50" i="1"/>
  <c r="BH50" i="1" s="1"/>
  <c r="AD50" i="1" s="1"/>
  <c r="AP50" i="1"/>
  <c r="AX50" i="1" s="1"/>
  <c r="BD50" i="1"/>
  <c r="BF50" i="1"/>
  <c r="BI50" i="1"/>
  <c r="AE50" i="1" s="1"/>
  <c r="BJ50" i="1"/>
  <c r="J51" i="1"/>
  <c r="AB51" i="1"/>
  <c r="AF51" i="1"/>
  <c r="AJ51" i="1"/>
  <c r="AK51" i="1"/>
  <c r="AL51" i="1"/>
  <c r="AO51" i="1"/>
  <c r="AP51" i="1"/>
  <c r="BD51" i="1"/>
  <c r="BF51" i="1"/>
  <c r="BJ51" i="1"/>
  <c r="AH51" i="1" s="1"/>
  <c r="J52" i="1"/>
  <c r="AJ52" i="1" s="1"/>
  <c r="Z52" i="1"/>
  <c r="AH52" i="1"/>
  <c r="AO52" i="1"/>
  <c r="AP52" i="1"/>
  <c r="BD52" i="1"/>
  <c r="BF52" i="1"/>
  <c r="BJ52" i="1"/>
  <c r="J53" i="1"/>
  <c r="AL53" i="1" s="1"/>
  <c r="AC53" i="1"/>
  <c r="AG53" i="1"/>
  <c r="AH53" i="1"/>
  <c r="AO53" i="1"/>
  <c r="H53" i="1" s="1"/>
  <c r="AP53" i="1"/>
  <c r="AX53" i="1" s="1"/>
  <c r="BD53" i="1"/>
  <c r="BF53" i="1"/>
  <c r="BI53" i="1"/>
  <c r="AE53" i="1" s="1"/>
  <c r="BJ53" i="1"/>
  <c r="Z53" i="1" s="1"/>
  <c r="I54" i="1"/>
  <c r="J54" i="1"/>
  <c r="AB54" i="1"/>
  <c r="AC54" i="1"/>
  <c r="AF54" i="1"/>
  <c r="AG54" i="1"/>
  <c r="AJ54" i="1"/>
  <c r="AK54" i="1"/>
  <c r="AL54" i="1"/>
  <c r="AO54" i="1"/>
  <c r="H54" i="1" s="1"/>
  <c r="AP54" i="1"/>
  <c r="AX54" i="1" s="1"/>
  <c r="AW54" i="1"/>
  <c r="AV54" i="1" s="1"/>
  <c r="BD54" i="1"/>
  <c r="BF54" i="1"/>
  <c r="BI54" i="1"/>
  <c r="AE54" i="1" s="1"/>
  <c r="BJ54" i="1"/>
  <c r="J55" i="1"/>
  <c r="AE55" i="1"/>
  <c r="AF55" i="1"/>
  <c r="AJ55" i="1"/>
  <c r="AK55" i="1"/>
  <c r="AL55" i="1"/>
  <c r="AO55" i="1"/>
  <c r="H55" i="1" s="1"/>
  <c r="AP55" i="1"/>
  <c r="I55" i="1" s="1"/>
  <c r="AX55" i="1"/>
  <c r="BD55" i="1"/>
  <c r="BF55" i="1"/>
  <c r="BI55" i="1"/>
  <c r="BJ55" i="1"/>
  <c r="Z55" i="1" s="1"/>
  <c r="J56" i="1"/>
  <c r="AB56" i="1"/>
  <c r="AF56" i="1"/>
  <c r="AJ56" i="1"/>
  <c r="AK56" i="1"/>
  <c r="AL56" i="1"/>
  <c r="AO56" i="1"/>
  <c r="H56" i="1" s="1"/>
  <c r="AP56" i="1"/>
  <c r="I56" i="1" s="1"/>
  <c r="BD56" i="1"/>
  <c r="BF56" i="1"/>
  <c r="BJ56" i="1"/>
  <c r="J57" i="1"/>
  <c r="AK57" i="1" s="1"/>
  <c r="Z57" i="1"/>
  <c r="AH57" i="1"/>
  <c r="AJ57" i="1"/>
  <c r="AO57" i="1"/>
  <c r="H57" i="1" s="1"/>
  <c r="AP57" i="1"/>
  <c r="BD57" i="1"/>
  <c r="BF57" i="1"/>
  <c r="BH57" i="1"/>
  <c r="AB57" i="1" s="1"/>
  <c r="BI57" i="1"/>
  <c r="AE57" i="1" s="1"/>
  <c r="BJ57" i="1"/>
  <c r="I58" i="1"/>
  <c r="J58" i="1"/>
  <c r="Z58" i="1"/>
  <c r="AC58" i="1"/>
  <c r="AG58" i="1"/>
  <c r="AH58" i="1"/>
  <c r="AO58" i="1"/>
  <c r="BH58" i="1" s="1"/>
  <c r="AP58" i="1"/>
  <c r="AX58" i="1"/>
  <c r="BD58" i="1"/>
  <c r="BF58" i="1"/>
  <c r="BI58" i="1"/>
  <c r="AE58" i="1" s="1"/>
  <c r="BJ58" i="1"/>
  <c r="J59" i="1"/>
  <c r="AB59" i="1"/>
  <c r="AC59" i="1"/>
  <c r="AF59" i="1"/>
  <c r="AG59" i="1"/>
  <c r="AK59" i="1"/>
  <c r="AO59" i="1"/>
  <c r="H59" i="1" s="1"/>
  <c r="AP59" i="1"/>
  <c r="AW59" i="1"/>
  <c r="BD59" i="1"/>
  <c r="BF59" i="1"/>
  <c r="BH59" i="1"/>
  <c r="AD59" i="1" s="1"/>
  <c r="BJ59" i="1"/>
  <c r="AH59" i="1" s="1"/>
  <c r="H60" i="1"/>
  <c r="J60" i="1"/>
  <c r="AL60" i="1" s="1"/>
  <c r="AB60" i="1"/>
  <c r="AF60" i="1"/>
  <c r="AJ60" i="1"/>
  <c r="AK60" i="1"/>
  <c r="AO60" i="1"/>
  <c r="AP60" i="1"/>
  <c r="AW60" i="1"/>
  <c r="BD60" i="1"/>
  <c r="BF60" i="1"/>
  <c r="BH60" i="1"/>
  <c r="AD60" i="1" s="1"/>
  <c r="BJ60" i="1"/>
  <c r="J61" i="1"/>
  <c r="AK61" i="1" s="1"/>
  <c r="Z61" i="1"/>
  <c r="AH61" i="1"/>
  <c r="AJ61" i="1"/>
  <c r="AO61" i="1"/>
  <c r="H61" i="1" s="1"/>
  <c r="AP61" i="1"/>
  <c r="BD61" i="1"/>
  <c r="BF61" i="1"/>
  <c r="BH61" i="1"/>
  <c r="AB61" i="1" s="1"/>
  <c r="BI61" i="1"/>
  <c r="BJ61" i="1"/>
  <c r="J62" i="1"/>
  <c r="Z62" i="1"/>
  <c r="AC62" i="1"/>
  <c r="AG62" i="1"/>
  <c r="AH62" i="1"/>
  <c r="AO62" i="1"/>
  <c r="BH62" i="1" s="1"/>
  <c r="AP62" i="1"/>
  <c r="I62" i="1" s="1"/>
  <c r="BD62" i="1"/>
  <c r="BF62" i="1"/>
  <c r="BJ62" i="1"/>
  <c r="H63" i="1"/>
  <c r="I63" i="1"/>
  <c r="J63" i="1"/>
  <c r="AJ63" i="1" s="1"/>
  <c r="AB63" i="1"/>
  <c r="AC63" i="1"/>
  <c r="AF63" i="1"/>
  <c r="AG63" i="1"/>
  <c r="AK63" i="1"/>
  <c r="AL63" i="1"/>
  <c r="AO63" i="1"/>
  <c r="AW63" i="1" s="1"/>
  <c r="AP63" i="1"/>
  <c r="AX63" i="1"/>
  <c r="BD63" i="1"/>
  <c r="BF63" i="1"/>
  <c r="BI63" i="1"/>
  <c r="AE63" i="1" s="1"/>
  <c r="BJ63" i="1"/>
  <c r="AH63" i="1" s="1"/>
  <c r="J64" i="1"/>
  <c r="AB64" i="1"/>
  <c r="AF64" i="1"/>
  <c r="AJ64" i="1"/>
  <c r="AK64" i="1"/>
  <c r="AL64" i="1"/>
  <c r="AO64" i="1"/>
  <c r="H64" i="1" s="1"/>
  <c r="AP64" i="1"/>
  <c r="I64" i="1" s="1"/>
  <c r="BD64" i="1"/>
  <c r="BF64" i="1"/>
  <c r="BI64" i="1"/>
  <c r="AC64" i="1" s="1"/>
  <c r="BJ64" i="1"/>
  <c r="I66" i="1"/>
  <c r="I65" i="1" s="1"/>
  <c r="J66" i="1"/>
  <c r="AJ66" i="1" s="1"/>
  <c r="AS65" i="1" s="1"/>
  <c r="AB66" i="1"/>
  <c r="AC66" i="1"/>
  <c r="AF66" i="1"/>
  <c r="AG66" i="1"/>
  <c r="AK66" i="1"/>
  <c r="AT65" i="1" s="1"/>
  <c r="AO66" i="1"/>
  <c r="AP66" i="1"/>
  <c r="AX66" i="1" s="1"/>
  <c r="BD66" i="1"/>
  <c r="BF66" i="1"/>
  <c r="BJ66" i="1"/>
  <c r="AH66" i="1" s="1"/>
  <c r="J68" i="1"/>
  <c r="Z68" i="1"/>
  <c r="AC68" i="1"/>
  <c r="AG68" i="1"/>
  <c r="AH68" i="1"/>
  <c r="AO68" i="1"/>
  <c r="AP68" i="1"/>
  <c r="BD68" i="1"/>
  <c r="BF68" i="1"/>
  <c r="BH68" i="1"/>
  <c r="BJ68" i="1"/>
  <c r="I69" i="1"/>
  <c r="J69" i="1"/>
  <c r="AJ69" i="1" s="1"/>
  <c r="AB69" i="1"/>
  <c r="AC69" i="1"/>
  <c r="AF69" i="1"/>
  <c r="AG69" i="1"/>
  <c r="AK69" i="1"/>
  <c r="AO69" i="1"/>
  <c r="AP69" i="1"/>
  <c r="AX69" i="1" s="1"/>
  <c r="BD69" i="1"/>
  <c r="BF69" i="1"/>
  <c r="BJ69" i="1"/>
  <c r="J70" i="1"/>
  <c r="AB70" i="1"/>
  <c r="AF70" i="1"/>
  <c r="AJ70" i="1"/>
  <c r="AK70" i="1"/>
  <c r="AL70" i="1"/>
  <c r="AO70" i="1"/>
  <c r="AP70" i="1"/>
  <c r="BD70" i="1"/>
  <c r="BF70" i="1"/>
  <c r="BJ70" i="1"/>
  <c r="AH70" i="1" s="1"/>
  <c r="J71" i="1"/>
  <c r="Z71" i="1"/>
  <c r="AH71" i="1"/>
  <c r="AO71" i="1"/>
  <c r="AP71" i="1"/>
  <c r="I71" i="1" s="1"/>
  <c r="AX71" i="1"/>
  <c r="BD71" i="1"/>
  <c r="BF71" i="1"/>
  <c r="BH71" i="1"/>
  <c r="BJ71" i="1"/>
  <c r="J72" i="1"/>
  <c r="Z72" i="1"/>
  <c r="AC72" i="1"/>
  <c r="AG72" i="1"/>
  <c r="AH72" i="1"/>
  <c r="AO72" i="1"/>
  <c r="H72" i="1" s="1"/>
  <c r="AP72" i="1"/>
  <c r="BD72" i="1"/>
  <c r="BF72" i="1"/>
  <c r="BJ72" i="1"/>
  <c r="J73" i="1"/>
  <c r="AB73" i="1"/>
  <c r="AC73" i="1"/>
  <c r="AF73" i="1"/>
  <c r="AG73" i="1"/>
  <c r="AK73" i="1"/>
  <c r="AO73" i="1"/>
  <c r="H73" i="1" s="1"/>
  <c r="AP73" i="1"/>
  <c r="AW73" i="1"/>
  <c r="BD73" i="1"/>
  <c r="BF73" i="1"/>
  <c r="BH73" i="1"/>
  <c r="AD73" i="1" s="1"/>
  <c r="BJ73" i="1"/>
  <c r="H74" i="1"/>
  <c r="J74" i="1"/>
  <c r="AL74" i="1" s="1"/>
  <c r="AB74" i="1"/>
  <c r="AF74" i="1"/>
  <c r="AJ74" i="1"/>
  <c r="AK74" i="1"/>
  <c r="AO74" i="1"/>
  <c r="AP74" i="1"/>
  <c r="BI74" i="1" s="1"/>
  <c r="AW74" i="1"/>
  <c r="BD74" i="1"/>
  <c r="BF74" i="1"/>
  <c r="BH74" i="1"/>
  <c r="AD74" i="1" s="1"/>
  <c r="BJ74" i="1"/>
  <c r="AH74" i="1" s="1"/>
  <c r="J76" i="1"/>
  <c r="AL76" i="1" s="1"/>
  <c r="AJ76" i="1"/>
  <c r="AO76" i="1"/>
  <c r="AP76" i="1"/>
  <c r="I76" i="1" s="1"/>
  <c r="BD76" i="1"/>
  <c r="BF76" i="1"/>
  <c r="BJ76" i="1"/>
  <c r="Z76" i="1" s="1"/>
  <c r="J77" i="1"/>
  <c r="Z77" i="1"/>
  <c r="AD77" i="1"/>
  <c r="AH77" i="1"/>
  <c r="AJ77" i="1"/>
  <c r="AK77" i="1"/>
  <c r="AL77" i="1"/>
  <c r="AO77" i="1"/>
  <c r="H77" i="1" s="1"/>
  <c r="AP77" i="1"/>
  <c r="AX77" i="1" s="1"/>
  <c r="BD77" i="1"/>
  <c r="BF77" i="1"/>
  <c r="BH77" i="1"/>
  <c r="BJ77" i="1"/>
  <c r="I78" i="1"/>
  <c r="J78" i="1"/>
  <c r="AC78" i="1"/>
  <c r="AG78" i="1"/>
  <c r="AH78" i="1"/>
  <c r="AO78" i="1"/>
  <c r="BH78" i="1" s="1"/>
  <c r="AP78" i="1"/>
  <c r="AX78" i="1" s="1"/>
  <c r="BD78" i="1"/>
  <c r="BF78" i="1"/>
  <c r="BI78" i="1"/>
  <c r="AE78" i="1" s="1"/>
  <c r="BJ78" i="1"/>
  <c r="Z78" i="1" s="1"/>
  <c r="J79" i="1"/>
  <c r="AB79" i="1"/>
  <c r="AC79" i="1"/>
  <c r="AF79" i="1"/>
  <c r="AG79" i="1"/>
  <c r="AJ79" i="1"/>
  <c r="AK79" i="1"/>
  <c r="AL79" i="1"/>
  <c r="AO79" i="1"/>
  <c r="H79" i="1" s="1"/>
  <c r="AP79" i="1"/>
  <c r="AW79" i="1"/>
  <c r="BD79" i="1"/>
  <c r="BF79" i="1"/>
  <c r="BH79" i="1"/>
  <c r="AD79" i="1" s="1"/>
  <c r="BJ79" i="1"/>
  <c r="AH79" i="1" s="1"/>
  <c r="J80" i="1"/>
  <c r="AL80" i="1" s="1"/>
  <c r="AB80" i="1"/>
  <c r="AF80" i="1"/>
  <c r="AJ80" i="1"/>
  <c r="AK80" i="1"/>
  <c r="AO80" i="1"/>
  <c r="AW80" i="1" s="1"/>
  <c r="AP80" i="1"/>
  <c r="I80" i="1" s="1"/>
  <c r="BD80" i="1"/>
  <c r="BF80" i="1"/>
  <c r="BH80" i="1"/>
  <c r="AD80" i="1" s="1"/>
  <c r="BI80" i="1"/>
  <c r="AC80" i="1" s="1"/>
  <c r="BJ80" i="1"/>
  <c r="J81" i="1"/>
  <c r="AK81" i="1" s="1"/>
  <c r="Z81" i="1"/>
  <c r="AH81" i="1"/>
  <c r="AJ81" i="1"/>
  <c r="AO81" i="1"/>
  <c r="H81" i="1" s="1"/>
  <c r="AP81" i="1"/>
  <c r="BI81" i="1" s="1"/>
  <c r="BD81" i="1"/>
  <c r="BF81" i="1"/>
  <c r="BH81" i="1"/>
  <c r="AB81" i="1" s="1"/>
  <c r="BJ81" i="1"/>
  <c r="J82" i="1"/>
  <c r="AC82" i="1"/>
  <c r="AG82" i="1"/>
  <c r="AH82" i="1"/>
  <c r="AO82" i="1"/>
  <c r="BH82" i="1" s="1"/>
  <c r="AP82" i="1"/>
  <c r="BD82" i="1"/>
  <c r="BF82" i="1"/>
  <c r="BI82" i="1"/>
  <c r="AE82" i="1" s="1"/>
  <c r="BJ82" i="1"/>
  <c r="Z82" i="1" s="1"/>
  <c r="J83" i="1"/>
  <c r="AL83" i="1" s="1"/>
  <c r="AB83" i="1"/>
  <c r="AC83" i="1"/>
  <c r="AF83" i="1"/>
  <c r="AG83" i="1"/>
  <c r="AJ83" i="1"/>
  <c r="AK83" i="1"/>
  <c r="AO83" i="1"/>
  <c r="AP83" i="1"/>
  <c r="AX83" i="1" s="1"/>
  <c r="BD83" i="1"/>
  <c r="BF83" i="1"/>
  <c r="BJ83" i="1"/>
  <c r="AH83" i="1" s="1"/>
  <c r="H84" i="1"/>
  <c r="J84" i="1"/>
  <c r="AL84" i="1" s="1"/>
  <c r="AB84" i="1"/>
  <c r="AF84" i="1"/>
  <c r="AJ84" i="1"/>
  <c r="AK84" i="1"/>
  <c r="AO84" i="1"/>
  <c r="AW84" i="1" s="1"/>
  <c r="AP84" i="1"/>
  <c r="I84" i="1" s="1"/>
  <c r="BD84" i="1"/>
  <c r="BF84" i="1"/>
  <c r="BH84" i="1"/>
  <c r="AD84" i="1" s="1"/>
  <c r="BI84" i="1"/>
  <c r="AC84" i="1" s="1"/>
  <c r="BJ84" i="1"/>
  <c r="J86" i="1"/>
  <c r="AB86" i="1"/>
  <c r="AC86" i="1"/>
  <c r="AF86" i="1"/>
  <c r="AG86" i="1"/>
  <c r="AJ86" i="1"/>
  <c r="AK86" i="1"/>
  <c r="AL86" i="1"/>
  <c r="AO86" i="1"/>
  <c r="H86" i="1" s="1"/>
  <c r="AP86" i="1"/>
  <c r="AW86" i="1"/>
  <c r="BD86" i="1"/>
  <c r="BF86" i="1"/>
  <c r="BH86" i="1"/>
  <c r="AD86" i="1" s="1"/>
  <c r="BJ86" i="1"/>
  <c r="AH86" i="1" s="1"/>
  <c r="J87" i="1"/>
  <c r="AL87" i="1" s="1"/>
  <c r="AB87" i="1"/>
  <c r="AF87" i="1"/>
  <c r="AJ87" i="1"/>
  <c r="AK87" i="1"/>
  <c r="AO87" i="1"/>
  <c r="AW87" i="1" s="1"/>
  <c r="AP87" i="1"/>
  <c r="I87" i="1" s="1"/>
  <c r="BD87" i="1"/>
  <c r="BF87" i="1"/>
  <c r="BH87" i="1"/>
  <c r="AD87" i="1" s="1"/>
  <c r="BI87" i="1"/>
  <c r="AC87" i="1" s="1"/>
  <c r="BJ87" i="1"/>
  <c r="J88" i="1"/>
  <c r="AK88" i="1" s="1"/>
  <c r="Z88" i="1"/>
  <c r="AH88" i="1"/>
  <c r="AJ88" i="1"/>
  <c r="AO88" i="1"/>
  <c r="H88" i="1" s="1"/>
  <c r="AP88" i="1"/>
  <c r="BI88" i="1" s="1"/>
  <c r="BD88" i="1"/>
  <c r="BF88" i="1"/>
  <c r="BH88" i="1"/>
  <c r="AB88" i="1" s="1"/>
  <c r="BJ88" i="1"/>
  <c r="J89" i="1"/>
  <c r="AC89" i="1"/>
  <c r="AG89" i="1"/>
  <c r="AH89" i="1"/>
  <c r="AO89" i="1"/>
  <c r="BH89" i="1" s="1"/>
  <c r="AP89" i="1"/>
  <c r="BD89" i="1"/>
  <c r="BF89" i="1"/>
  <c r="BI89" i="1"/>
  <c r="AE89" i="1" s="1"/>
  <c r="BJ89" i="1"/>
  <c r="Z89" i="1" s="1"/>
  <c r="J90" i="1"/>
  <c r="AL90" i="1" s="1"/>
  <c r="AB90" i="1"/>
  <c r="AC90" i="1"/>
  <c r="AF90" i="1"/>
  <c r="AG90" i="1"/>
  <c r="AJ90" i="1"/>
  <c r="AK90" i="1"/>
  <c r="AO90" i="1"/>
  <c r="AP90" i="1"/>
  <c r="AX90" i="1" s="1"/>
  <c r="BD90" i="1"/>
  <c r="BF90" i="1"/>
  <c r="BJ90" i="1"/>
  <c r="AH90" i="1" s="1"/>
  <c r="H91" i="1"/>
  <c r="J91" i="1"/>
  <c r="AL91" i="1" s="1"/>
  <c r="AB91" i="1"/>
  <c r="AF91" i="1"/>
  <c r="AJ91" i="1"/>
  <c r="AK91" i="1"/>
  <c r="AO91" i="1"/>
  <c r="AP91" i="1"/>
  <c r="AW91" i="1"/>
  <c r="BD91" i="1"/>
  <c r="BF91" i="1"/>
  <c r="BH91" i="1"/>
  <c r="AD91" i="1" s="1"/>
  <c r="BJ91" i="1"/>
  <c r="J92" i="1"/>
  <c r="AK92" i="1" s="1"/>
  <c r="Z92" i="1"/>
  <c r="AH92" i="1"/>
  <c r="AJ92" i="1"/>
  <c r="AO92" i="1"/>
  <c r="H92" i="1" s="1"/>
  <c r="AP92" i="1"/>
  <c r="BI92" i="1" s="1"/>
  <c r="BD92" i="1"/>
  <c r="BF92" i="1"/>
  <c r="BH92" i="1"/>
  <c r="AB92" i="1" s="1"/>
  <c r="BJ92" i="1"/>
  <c r="I93" i="1"/>
  <c r="J93" i="1"/>
  <c r="AC93" i="1"/>
  <c r="AG93" i="1"/>
  <c r="AH93" i="1"/>
  <c r="AO93" i="1"/>
  <c r="AP93" i="1"/>
  <c r="AX93" i="1"/>
  <c r="BD93" i="1"/>
  <c r="BF93" i="1"/>
  <c r="BH93" i="1"/>
  <c r="BI93" i="1"/>
  <c r="AE93" i="1" s="1"/>
  <c r="BJ93" i="1"/>
  <c r="Z93" i="1" s="1"/>
  <c r="J94" i="1"/>
  <c r="AL94" i="1" s="1"/>
  <c r="AB94" i="1"/>
  <c r="AC94" i="1"/>
  <c r="AF94" i="1"/>
  <c r="AG94" i="1"/>
  <c r="AJ94" i="1"/>
  <c r="AK94" i="1"/>
  <c r="AO94" i="1"/>
  <c r="AP94" i="1"/>
  <c r="AX94" i="1" s="1"/>
  <c r="BD94" i="1"/>
  <c r="BF94" i="1"/>
  <c r="BJ94" i="1"/>
  <c r="AH94" i="1" s="1"/>
  <c r="H95" i="1"/>
  <c r="J95" i="1"/>
  <c r="AL95" i="1" s="1"/>
  <c r="AB95" i="1"/>
  <c r="AF95" i="1"/>
  <c r="AJ95" i="1"/>
  <c r="AK95" i="1"/>
  <c r="AO95" i="1"/>
  <c r="AW95" i="1" s="1"/>
  <c r="AP95" i="1"/>
  <c r="I95" i="1" s="1"/>
  <c r="BD95" i="1"/>
  <c r="BF95" i="1"/>
  <c r="BH95" i="1"/>
  <c r="AD95" i="1" s="1"/>
  <c r="BI95" i="1"/>
  <c r="AC95" i="1" s="1"/>
  <c r="BJ95" i="1"/>
  <c r="J96" i="1"/>
  <c r="AK96" i="1" s="1"/>
  <c r="Z96" i="1"/>
  <c r="AH96" i="1"/>
  <c r="AJ96" i="1"/>
  <c r="AO96" i="1"/>
  <c r="H96" i="1" s="1"/>
  <c r="AP96" i="1"/>
  <c r="BI96" i="1" s="1"/>
  <c r="BD96" i="1"/>
  <c r="BF96" i="1"/>
  <c r="BH96" i="1"/>
  <c r="BJ96" i="1"/>
  <c r="J99" i="1"/>
  <c r="AB99" i="1"/>
  <c r="AF99" i="1"/>
  <c r="AJ99" i="1"/>
  <c r="AK99" i="1"/>
  <c r="AL99" i="1"/>
  <c r="AO99" i="1"/>
  <c r="H99" i="1" s="1"/>
  <c r="AP99" i="1"/>
  <c r="BI99" i="1" s="1"/>
  <c r="AE99" i="1" s="1"/>
  <c r="BD99" i="1"/>
  <c r="BF99" i="1"/>
  <c r="BJ99" i="1"/>
  <c r="AH99" i="1" s="1"/>
  <c r="J100" i="1"/>
  <c r="Z100" i="1"/>
  <c r="AH100" i="1"/>
  <c r="AJ100" i="1"/>
  <c r="AO100" i="1"/>
  <c r="BH100" i="1" s="1"/>
  <c r="AP100" i="1"/>
  <c r="I100" i="1" s="1"/>
  <c r="BD100" i="1"/>
  <c r="BF100" i="1"/>
  <c r="BI100" i="1"/>
  <c r="AE100" i="1" s="1"/>
  <c r="BJ100" i="1"/>
  <c r="J101" i="1"/>
  <c r="AC101" i="1"/>
  <c r="AG101" i="1"/>
  <c r="AH101" i="1"/>
  <c r="AL101" i="1"/>
  <c r="AO101" i="1"/>
  <c r="H101" i="1" s="1"/>
  <c r="AP101" i="1"/>
  <c r="I101" i="1" s="1"/>
  <c r="BD101" i="1"/>
  <c r="BF101" i="1"/>
  <c r="BI101" i="1"/>
  <c r="AE101" i="1" s="1"/>
  <c r="BJ101" i="1"/>
  <c r="Z101" i="1" s="1"/>
  <c r="I102" i="1"/>
  <c r="J102" i="1"/>
  <c r="AJ102" i="1" s="1"/>
  <c r="AB102" i="1"/>
  <c r="AC102" i="1"/>
  <c r="AF102" i="1"/>
  <c r="AG102" i="1"/>
  <c r="AK102" i="1"/>
  <c r="AO102" i="1"/>
  <c r="AP102" i="1"/>
  <c r="AX102" i="1" s="1"/>
  <c r="BD102" i="1"/>
  <c r="BF102" i="1"/>
  <c r="BJ102" i="1"/>
  <c r="J103" i="1"/>
  <c r="AB103" i="1"/>
  <c r="AF103" i="1"/>
  <c r="AJ103" i="1"/>
  <c r="AK103" i="1"/>
  <c r="AL103" i="1"/>
  <c r="AO103" i="1"/>
  <c r="AP103" i="1"/>
  <c r="BI103" i="1" s="1"/>
  <c r="BD103" i="1"/>
  <c r="BF103" i="1"/>
  <c r="BJ103" i="1"/>
  <c r="AH103" i="1" s="1"/>
  <c r="J104" i="1"/>
  <c r="AJ104" i="1" s="1"/>
  <c r="Z104" i="1"/>
  <c r="AH104" i="1"/>
  <c r="AO104" i="1"/>
  <c r="AP104" i="1"/>
  <c r="BD104" i="1"/>
  <c r="BF104" i="1"/>
  <c r="BH104" i="1"/>
  <c r="AD104" i="1" s="1"/>
  <c r="BJ104" i="1"/>
  <c r="J105" i="1"/>
  <c r="AL105" i="1" s="1"/>
  <c r="Z105" i="1"/>
  <c r="AC105" i="1"/>
  <c r="AG105" i="1"/>
  <c r="AH105" i="1"/>
  <c r="AO105" i="1"/>
  <c r="H105" i="1" s="1"/>
  <c r="AP105" i="1"/>
  <c r="I105" i="1" s="1"/>
  <c r="AX105" i="1"/>
  <c r="BD105" i="1"/>
  <c r="BF105" i="1"/>
  <c r="BI105" i="1"/>
  <c r="AE105" i="1" s="1"/>
  <c r="BJ105" i="1"/>
  <c r="J106" i="1"/>
  <c r="AB106" i="1"/>
  <c r="AC106" i="1"/>
  <c r="AF106" i="1"/>
  <c r="AG106" i="1"/>
  <c r="AK106" i="1"/>
  <c r="AO106" i="1"/>
  <c r="H106" i="1" s="1"/>
  <c r="AP106" i="1"/>
  <c r="AW106" i="1"/>
  <c r="BD106" i="1"/>
  <c r="BF106" i="1"/>
  <c r="BH106" i="1"/>
  <c r="AD106" i="1" s="1"/>
  <c r="BJ106" i="1"/>
  <c r="J108" i="1"/>
  <c r="AL108" i="1" s="1"/>
  <c r="Z108" i="1"/>
  <c r="AC108" i="1"/>
  <c r="AG108" i="1"/>
  <c r="AH108" i="1"/>
  <c r="AO108" i="1"/>
  <c r="H108" i="1" s="1"/>
  <c r="AP108" i="1"/>
  <c r="I108" i="1" s="1"/>
  <c r="AW108" i="1"/>
  <c r="BD108" i="1"/>
  <c r="BF108" i="1"/>
  <c r="BH108" i="1"/>
  <c r="AD108" i="1" s="1"/>
  <c r="BJ108" i="1"/>
  <c r="H109" i="1"/>
  <c r="I109" i="1"/>
  <c r="J109" i="1"/>
  <c r="AJ109" i="1" s="1"/>
  <c r="AB109" i="1"/>
  <c r="AC109" i="1"/>
  <c r="AF109" i="1"/>
  <c r="AG109" i="1"/>
  <c r="AK109" i="1"/>
  <c r="AL109" i="1"/>
  <c r="AO109" i="1"/>
  <c r="AP109" i="1"/>
  <c r="AW109" i="1"/>
  <c r="AX109" i="1"/>
  <c r="BD109" i="1"/>
  <c r="BF109" i="1"/>
  <c r="BH109" i="1"/>
  <c r="AD109" i="1" s="1"/>
  <c r="BI109" i="1"/>
  <c r="AE109" i="1" s="1"/>
  <c r="BJ109" i="1"/>
  <c r="J110" i="1"/>
  <c r="AL110" i="1" s="1"/>
  <c r="AB110" i="1"/>
  <c r="AF110" i="1"/>
  <c r="AJ110" i="1"/>
  <c r="AK110" i="1"/>
  <c r="AO110" i="1"/>
  <c r="H110" i="1" s="1"/>
  <c r="AP110" i="1"/>
  <c r="BI110" i="1" s="1"/>
  <c r="AW110" i="1"/>
  <c r="BD110" i="1"/>
  <c r="BF110" i="1"/>
  <c r="BH110" i="1"/>
  <c r="AD110" i="1" s="1"/>
  <c r="BJ110" i="1"/>
  <c r="J111" i="1"/>
  <c r="Z111" i="1"/>
  <c r="AH111" i="1"/>
  <c r="AJ111" i="1"/>
  <c r="AO111" i="1"/>
  <c r="AP111" i="1"/>
  <c r="BD111" i="1"/>
  <c r="BF111" i="1"/>
  <c r="BH111" i="1"/>
  <c r="AD111" i="1" s="1"/>
  <c r="BJ111" i="1"/>
  <c r="J112" i="1"/>
  <c r="AK112" i="1" s="1"/>
  <c r="Z112" i="1"/>
  <c r="AH112" i="1"/>
  <c r="AJ112" i="1"/>
  <c r="AL112" i="1"/>
  <c r="AO112" i="1"/>
  <c r="H112" i="1" s="1"/>
  <c r="AP112" i="1"/>
  <c r="I112" i="1" s="1"/>
  <c r="AW112" i="1"/>
  <c r="AX112" i="1"/>
  <c r="BD112" i="1"/>
  <c r="BF112" i="1"/>
  <c r="BH112" i="1"/>
  <c r="AD112" i="1" s="1"/>
  <c r="BI112" i="1"/>
  <c r="AE112" i="1" s="1"/>
  <c r="BJ112" i="1"/>
  <c r="J113" i="1"/>
  <c r="AC113" i="1"/>
  <c r="AG113" i="1"/>
  <c r="AH113" i="1"/>
  <c r="AK113" i="1"/>
  <c r="AO113" i="1"/>
  <c r="H113" i="1" s="1"/>
  <c r="AP113" i="1"/>
  <c r="AW113" i="1"/>
  <c r="BD113" i="1"/>
  <c r="BF113" i="1"/>
  <c r="BH113" i="1"/>
  <c r="AD113" i="1" s="1"/>
  <c r="BJ113" i="1"/>
  <c r="Z113" i="1" s="1"/>
  <c r="J114" i="1"/>
  <c r="AL114" i="1" s="1"/>
  <c r="Z114" i="1"/>
  <c r="AB114" i="1"/>
  <c r="AF114" i="1"/>
  <c r="AJ114" i="1"/>
  <c r="AK114" i="1"/>
  <c r="AO114" i="1"/>
  <c r="AW114" i="1" s="1"/>
  <c r="AP114" i="1"/>
  <c r="AX114" i="1" s="1"/>
  <c r="BD114" i="1"/>
  <c r="BF114" i="1"/>
  <c r="BH114" i="1"/>
  <c r="AD114" i="1" s="1"/>
  <c r="BJ114" i="1"/>
  <c r="AH114" i="1" s="1"/>
  <c r="J115" i="1"/>
  <c r="AO115" i="1"/>
  <c r="AW115" i="1" s="1"/>
  <c r="AP115" i="1"/>
  <c r="BD115" i="1"/>
  <c r="BF115" i="1"/>
  <c r="BH115" i="1"/>
  <c r="BJ115" i="1"/>
  <c r="Z115" i="1" s="1"/>
  <c r="J116" i="1"/>
  <c r="AF116" i="1"/>
  <c r="AJ116" i="1"/>
  <c r="AO116" i="1"/>
  <c r="H116" i="1" s="1"/>
  <c r="AP116" i="1"/>
  <c r="AW116" i="1"/>
  <c r="BD116" i="1"/>
  <c r="BF116" i="1"/>
  <c r="BI116" i="1"/>
  <c r="AE116" i="1" s="1"/>
  <c r="BJ116" i="1"/>
  <c r="J117" i="1"/>
  <c r="AL117" i="1" s="1"/>
  <c r="Z117" i="1"/>
  <c r="AK117" i="1"/>
  <c r="AO117" i="1"/>
  <c r="AW117" i="1" s="1"/>
  <c r="AP117" i="1"/>
  <c r="I117" i="1" s="1"/>
  <c r="BD117" i="1"/>
  <c r="BF117" i="1"/>
  <c r="BJ117" i="1"/>
  <c r="AH117" i="1" s="1"/>
  <c r="J118" i="1"/>
  <c r="AK118" i="1" s="1"/>
  <c r="Z118" i="1"/>
  <c r="AH118" i="1"/>
  <c r="AO118" i="1"/>
  <c r="H118" i="1" s="1"/>
  <c r="AP118" i="1"/>
  <c r="I118" i="1" s="1"/>
  <c r="BD118" i="1"/>
  <c r="BF118" i="1"/>
  <c r="BI118" i="1"/>
  <c r="AG118" i="1" s="1"/>
  <c r="BJ118" i="1"/>
  <c r="I119" i="1"/>
  <c r="J119" i="1"/>
  <c r="AJ119" i="1" s="1"/>
  <c r="AC119" i="1"/>
  <c r="AG119" i="1"/>
  <c r="AL119" i="1"/>
  <c r="AO119" i="1"/>
  <c r="AP119" i="1"/>
  <c r="AX119" i="1"/>
  <c r="BD119" i="1"/>
  <c r="BF119" i="1"/>
  <c r="BI119" i="1"/>
  <c r="AE119" i="1" s="1"/>
  <c r="BJ119" i="1"/>
  <c r="Z119" i="1" s="1"/>
  <c r="J120" i="1"/>
  <c r="AB120" i="1"/>
  <c r="AF120" i="1"/>
  <c r="AJ120" i="1"/>
  <c r="AK120" i="1"/>
  <c r="AL120" i="1"/>
  <c r="AO120" i="1"/>
  <c r="AP120" i="1"/>
  <c r="AX120" i="1" s="1"/>
  <c r="BD120" i="1"/>
  <c r="BF120" i="1"/>
  <c r="BJ120" i="1"/>
  <c r="AH120" i="1" s="1"/>
  <c r="J121" i="1"/>
  <c r="AL121" i="1" s="1"/>
  <c r="AK121" i="1"/>
  <c r="AO121" i="1"/>
  <c r="AW121" i="1" s="1"/>
  <c r="AP121" i="1"/>
  <c r="I121" i="1" s="1"/>
  <c r="BD121" i="1"/>
  <c r="BF121" i="1"/>
  <c r="BJ121" i="1"/>
  <c r="AH121" i="1" s="1"/>
  <c r="J122" i="1"/>
  <c r="AK122" i="1" s="1"/>
  <c r="Z122" i="1"/>
  <c r="AH122" i="1"/>
  <c r="AL122" i="1"/>
  <c r="AO122" i="1"/>
  <c r="H122" i="1" s="1"/>
  <c r="AP122" i="1"/>
  <c r="I122" i="1" s="1"/>
  <c r="BD122" i="1"/>
  <c r="BF122" i="1"/>
  <c r="BJ122" i="1"/>
  <c r="I123" i="1"/>
  <c r="J123" i="1"/>
  <c r="AC123" i="1"/>
  <c r="AG123" i="1"/>
  <c r="AO123" i="1"/>
  <c r="H123" i="1" s="1"/>
  <c r="AP123" i="1"/>
  <c r="AX123" i="1" s="1"/>
  <c r="BD123" i="1"/>
  <c r="BF123" i="1"/>
  <c r="BI123" i="1"/>
  <c r="AE123" i="1" s="1"/>
  <c r="BJ123" i="1"/>
  <c r="Z123" i="1" s="1"/>
  <c r="H124" i="1"/>
  <c r="J124" i="1"/>
  <c r="AL124" i="1" s="1"/>
  <c r="AB124" i="1"/>
  <c r="AF124" i="1"/>
  <c r="AJ124" i="1"/>
  <c r="AK124" i="1"/>
  <c r="AO124" i="1"/>
  <c r="AP124" i="1"/>
  <c r="AX124" i="1" s="1"/>
  <c r="BC124" i="1" s="1"/>
  <c r="AV124" i="1"/>
  <c r="AW124" i="1"/>
  <c r="BD124" i="1"/>
  <c r="BF124" i="1"/>
  <c r="BH124" i="1"/>
  <c r="AD124" i="1" s="1"/>
  <c r="BJ124" i="1"/>
  <c r="AH124" i="1" s="1"/>
  <c r="J125" i="1"/>
  <c r="AL125" i="1" s="1"/>
  <c r="AJ125" i="1"/>
  <c r="AK125" i="1"/>
  <c r="AO125" i="1"/>
  <c r="AW125" i="1" s="1"/>
  <c r="AP125" i="1"/>
  <c r="I125" i="1" s="1"/>
  <c r="BD125" i="1"/>
  <c r="BF125" i="1"/>
  <c r="BJ125" i="1"/>
  <c r="Z125" i="1" s="1"/>
  <c r="H126" i="1"/>
  <c r="J126" i="1"/>
  <c r="AL126" i="1" s="1"/>
  <c r="AB126" i="1"/>
  <c r="AF126" i="1"/>
  <c r="AJ126" i="1"/>
  <c r="AK126" i="1"/>
  <c r="AO126" i="1"/>
  <c r="AW126" i="1" s="1"/>
  <c r="AP126" i="1"/>
  <c r="I126" i="1" s="1"/>
  <c r="BD126" i="1"/>
  <c r="BF126" i="1"/>
  <c r="BH126" i="1"/>
  <c r="AD126" i="1" s="1"/>
  <c r="BI126" i="1"/>
  <c r="AC126" i="1" s="1"/>
  <c r="BJ126" i="1"/>
  <c r="AH126" i="1" s="1"/>
  <c r="J127" i="1"/>
  <c r="AK127" i="1" s="1"/>
  <c r="Z127" i="1"/>
  <c r="AH127" i="1"/>
  <c r="AJ127" i="1"/>
  <c r="AO127" i="1"/>
  <c r="H127" i="1" s="1"/>
  <c r="AP127" i="1"/>
  <c r="I127" i="1" s="1"/>
  <c r="BD127" i="1"/>
  <c r="BF127" i="1"/>
  <c r="BH127" i="1"/>
  <c r="AB127" i="1" s="1"/>
  <c r="BI127" i="1"/>
  <c r="AE127" i="1" s="1"/>
  <c r="BJ127" i="1"/>
  <c r="I128" i="1"/>
  <c r="J128" i="1"/>
  <c r="AJ128" i="1" s="1"/>
  <c r="AC128" i="1"/>
  <c r="AG128" i="1"/>
  <c r="AH128" i="1"/>
  <c r="AO128" i="1"/>
  <c r="AP128" i="1"/>
  <c r="AX128" i="1" s="1"/>
  <c r="BD128" i="1"/>
  <c r="BF128" i="1"/>
  <c r="BJ128" i="1"/>
  <c r="Z128" i="1" s="1"/>
  <c r="H129" i="1"/>
  <c r="J129" i="1"/>
  <c r="AB129" i="1"/>
  <c r="AC129" i="1"/>
  <c r="AF129" i="1"/>
  <c r="AG129" i="1"/>
  <c r="AJ129" i="1"/>
  <c r="AK129" i="1"/>
  <c r="AL129" i="1"/>
  <c r="AO129" i="1"/>
  <c r="AP129" i="1"/>
  <c r="AW129" i="1"/>
  <c r="BD129" i="1"/>
  <c r="BF129" i="1"/>
  <c r="BH129" i="1"/>
  <c r="AD129" i="1" s="1"/>
  <c r="BJ129" i="1"/>
  <c r="AH129" i="1" s="1"/>
  <c r="J130" i="1"/>
  <c r="AB130" i="1"/>
  <c r="AF130" i="1"/>
  <c r="AJ130" i="1"/>
  <c r="AK130" i="1"/>
  <c r="AL130" i="1"/>
  <c r="AO130" i="1"/>
  <c r="H130" i="1" s="1"/>
  <c r="AP130" i="1"/>
  <c r="I130" i="1" s="1"/>
  <c r="AW130" i="1"/>
  <c r="BD130" i="1"/>
  <c r="BF130" i="1"/>
  <c r="BI130" i="1"/>
  <c r="AC130" i="1" s="1"/>
  <c r="BJ130" i="1"/>
  <c r="AH130" i="1" s="1"/>
  <c r="J131" i="1"/>
  <c r="AK131" i="1" s="1"/>
  <c r="Z131" i="1"/>
  <c r="AH131" i="1"/>
  <c r="AJ131" i="1"/>
  <c r="AO131" i="1"/>
  <c r="H131" i="1" s="1"/>
  <c r="AP131" i="1"/>
  <c r="I131" i="1" s="1"/>
  <c r="BD131" i="1"/>
  <c r="BF131" i="1"/>
  <c r="BH131" i="1"/>
  <c r="AB131" i="1" s="1"/>
  <c r="BI131" i="1"/>
  <c r="AE131" i="1" s="1"/>
  <c r="BJ131" i="1"/>
  <c r="I132" i="1"/>
  <c r="J132" i="1"/>
  <c r="AJ132" i="1" s="1"/>
  <c r="AC132" i="1"/>
  <c r="AG132" i="1"/>
  <c r="AH132" i="1"/>
  <c r="AO132" i="1"/>
  <c r="H132" i="1" s="1"/>
  <c r="AP132" i="1"/>
  <c r="AX132" i="1"/>
  <c r="BD132" i="1"/>
  <c r="BF132" i="1"/>
  <c r="BH132" i="1"/>
  <c r="AD132" i="1" s="1"/>
  <c r="BI132" i="1"/>
  <c r="AE132" i="1" s="1"/>
  <c r="BJ132" i="1"/>
  <c r="Z132" i="1" s="1"/>
  <c r="J133" i="1"/>
  <c r="AL133" i="1" s="1"/>
  <c r="AB133" i="1"/>
  <c r="AC133" i="1"/>
  <c r="AF133" i="1"/>
  <c r="AG133" i="1"/>
  <c r="AJ133" i="1"/>
  <c r="AK133" i="1"/>
  <c r="AO133" i="1"/>
  <c r="AP133" i="1"/>
  <c r="BD133" i="1"/>
  <c r="BF133" i="1"/>
  <c r="BH133" i="1"/>
  <c r="AD133" i="1" s="1"/>
  <c r="BJ133" i="1"/>
  <c r="AH133" i="1" s="1"/>
  <c r="H134" i="1"/>
  <c r="J134" i="1"/>
  <c r="AL134" i="1" s="1"/>
  <c r="AB134" i="1"/>
  <c r="AF134" i="1"/>
  <c r="AJ134" i="1"/>
  <c r="AK134" i="1"/>
  <c r="AO134" i="1"/>
  <c r="AW134" i="1" s="1"/>
  <c r="AP134" i="1"/>
  <c r="I134" i="1" s="1"/>
  <c r="BD134" i="1"/>
  <c r="BF134" i="1"/>
  <c r="BH134" i="1"/>
  <c r="AD134" i="1" s="1"/>
  <c r="BI134" i="1"/>
  <c r="AC134" i="1" s="1"/>
  <c r="BJ134" i="1"/>
  <c r="AH134" i="1" s="1"/>
  <c r="J135" i="1"/>
  <c r="AK135" i="1" s="1"/>
  <c r="Z135" i="1"/>
  <c r="AH135" i="1"/>
  <c r="AJ135" i="1"/>
  <c r="AO135" i="1"/>
  <c r="H135" i="1" s="1"/>
  <c r="AP135" i="1"/>
  <c r="I135" i="1" s="1"/>
  <c r="BD135" i="1"/>
  <c r="BF135" i="1"/>
  <c r="BH135" i="1"/>
  <c r="AB135" i="1" s="1"/>
  <c r="BI135" i="1"/>
  <c r="AE135" i="1" s="1"/>
  <c r="BJ135" i="1"/>
  <c r="I136" i="1"/>
  <c r="J136" i="1"/>
  <c r="AJ136" i="1" s="1"/>
  <c r="AC136" i="1"/>
  <c r="AG136" i="1"/>
  <c r="AH136" i="1"/>
  <c r="AO136" i="1"/>
  <c r="H136" i="1" s="1"/>
  <c r="AP136" i="1"/>
  <c r="AX136" i="1"/>
  <c r="BD136" i="1"/>
  <c r="BF136" i="1"/>
  <c r="BH136" i="1"/>
  <c r="AD136" i="1" s="1"/>
  <c r="BI136" i="1"/>
  <c r="AE136" i="1" s="1"/>
  <c r="BJ136" i="1"/>
  <c r="Z136" i="1" s="1"/>
  <c r="J137" i="1"/>
  <c r="AL137" i="1" s="1"/>
  <c r="AB137" i="1"/>
  <c r="AC137" i="1"/>
  <c r="AF137" i="1"/>
  <c r="AG137" i="1"/>
  <c r="AJ137" i="1"/>
  <c r="AK137" i="1"/>
  <c r="AO137" i="1"/>
  <c r="AP137" i="1"/>
  <c r="BD137" i="1"/>
  <c r="BF137" i="1"/>
  <c r="BH137" i="1"/>
  <c r="AD137" i="1" s="1"/>
  <c r="BJ137" i="1"/>
  <c r="AH137" i="1" s="1"/>
  <c r="H138" i="1"/>
  <c r="J138" i="1"/>
  <c r="AL138" i="1" s="1"/>
  <c r="AB138" i="1"/>
  <c r="AF138" i="1"/>
  <c r="AJ138" i="1"/>
  <c r="AK138" i="1"/>
  <c r="AO138" i="1"/>
  <c r="AP138" i="1"/>
  <c r="I138" i="1" s="1"/>
  <c r="AW138" i="1"/>
  <c r="BD138" i="1"/>
  <c r="BF138" i="1"/>
  <c r="BH138" i="1"/>
  <c r="AD138" i="1" s="1"/>
  <c r="BJ138" i="1"/>
  <c r="AH138" i="1" s="1"/>
  <c r="J139" i="1"/>
  <c r="AK139" i="1" s="1"/>
  <c r="Z139" i="1"/>
  <c r="AH139" i="1"/>
  <c r="AJ139" i="1"/>
  <c r="AO139" i="1"/>
  <c r="H139" i="1" s="1"/>
  <c r="AP139" i="1"/>
  <c r="I139" i="1" s="1"/>
  <c r="BD139" i="1"/>
  <c r="BF139" i="1"/>
  <c r="BH139" i="1"/>
  <c r="AB139" i="1" s="1"/>
  <c r="BI139" i="1"/>
  <c r="AE139" i="1" s="1"/>
  <c r="BJ139" i="1"/>
  <c r="J140" i="1"/>
  <c r="AJ140" i="1" s="1"/>
  <c r="AC140" i="1"/>
  <c r="AG140" i="1"/>
  <c r="AH140" i="1"/>
  <c r="AO140" i="1"/>
  <c r="H140" i="1" s="1"/>
  <c r="AP140" i="1"/>
  <c r="I140" i="1" s="1"/>
  <c r="BD140" i="1"/>
  <c r="BF140" i="1"/>
  <c r="BH140" i="1"/>
  <c r="AD140" i="1" s="1"/>
  <c r="BJ140" i="1"/>
  <c r="Z140" i="1" s="1"/>
  <c r="J142" i="1"/>
  <c r="J141" i="1" s="1"/>
  <c r="Z142" i="1"/>
  <c r="AH142" i="1"/>
  <c r="AJ142" i="1"/>
  <c r="AS141" i="1" s="1"/>
  <c r="AO142" i="1"/>
  <c r="H142" i="1" s="1"/>
  <c r="H141" i="1" s="1"/>
  <c r="AP142" i="1"/>
  <c r="I142" i="1" s="1"/>
  <c r="I141" i="1" s="1"/>
  <c r="BD142" i="1"/>
  <c r="BF142" i="1"/>
  <c r="BH142" i="1"/>
  <c r="AB142" i="1" s="1"/>
  <c r="BI142" i="1"/>
  <c r="AE142" i="1" s="1"/>
  <c r="BJ142" i="1"/>
  <c r="J145" i="1"/>
  <c r="AB145" i="1"/>
  <c r="AF145" i="1"/>
  <c r="AJ145" i="1"/>
  <c r="AK145" i="1"/>
  <c r="AL145" i="1"/>
  <c r="AO145" i="1"/>
  <c r="AP145" i="1"/>
  <c r="I145" i="1" s="1"/>
  <c r="BD145" i="1"/>
  <c r="BF145" i="1"/>
  <c r="BI145" i="1"/>
  <c r="AC145" i="1" s="1"/>
  <c r="BJ145" i="1"/>
  <c r="AH145" i="1" s="1"/>
  <c r="J146" i="1"/>
  <c r="AK146" i="1" s="1"/>
  <c r="Z146" i="1"/>
  <c r="AH146" i="1"/>
  <c r="AJ146" i="1"/>
  <c r="AO146" i="1"/>
  <c r="H146" i="1" s="1"/>
  <c r="AP146" i="1"/>
  <c r="I146" i="1" s="1"/>
  <c r="BD146" i="1"/>
  <c r="BF146" i="1"/>
  <c r="BH146" i="1"/>
  <c r="AB146" i="1" s="1"/>
  <c r="BI146" i="1"/>
  <c r="AE146" i="1" s="1"/>
  <c r="BJ146" i="1"/>
  <c r="I147" i="1"/>
  <c r="J147" i="1"/>
  <c r="J144" i="1" s="1"/>
  <c r="AC147" i="1"/>
  <c r="AG147" i="1"/>
  <c r="AH147" i="1"/>
  <c r="AO147" i="1"/>
  <c r="AP147" i="1"/>
  <c r="AX147" i="1"/>
  <c r="BD147" i="1"/>
  <c r="BF147" i="1"/>
  <c r="BI147" i="1"/>
  <c r="AE147" i="1" s="1"/>
  <c r="BJ147" i="1"/>
  <c r="Z147" i="1" s="1"/>
  <c r="H148" i="1"/>
  <c r="J148" i="1"/>
  <c r="AL148" i="1" s="1"/>
  <c r="AB148" i="1"/>
  <c r="AC148" i="1"/>
  <c r="AF148" i="1"/>
  <c r="AG148" i="1"/>
  <c r="AJ148" i="1"/>
  <c r="AK148" i="1"/>
  <c r="AO148" i="1"/>
  <c r="AP148" i="1"/>
  <c r="AW148" i="1"/>
  <c r="BD148" i="1"/>
  <c r="BF148" i="1"/>
  <c r="BH148" i="1"/>
  <c r="AD148" i="1" s="1"/>
  <c r="BI148" i="1"/>
  <c r="AE148" i="1" s="1"/>
  <c r="BJ148" i="1"/>
  <c r="AH148" i="1" s="1"/>
  <c r="J150" i="1"/>
  <c r="AC150" i="1"/>
  <c r="AG150" i="1"/>
  <c r="AH150" i="1"/>
  <c r="AO150" i="1"/>
  <c r="BH150" i="1" s="1"/>
  <c r="AP150" i="1"/>
  <c r="BD150" i="1"/>
  <c r="BF150" i="1"/>
  <c r="BI150" i="1"/>
  <c r="AE150" i="1" s="1"/>
  <c r="BJ150" i="1"/>
  <c r="Z150" i="1" s="1"/>
  <c r="I151" i="1"/>
  <c r="J151" i="1"/>
  <c r="AB151" i="1"/>
  <c r="AC151" i="1"/>
  <c r="AF151" i="1"/>
  <c r="AG151" i="1"/>
  <c r="AJ151" i="1"/>
  <c r="AK151" i="1"/>
  <c r="AL151" i="1"/>
  <c r="AO151" i="1"/>
  <c r="AP151" i="1"/>
  <c r="AX151" i="1" s="1"/>
  <c r="BD151" i="1"/>
  <c r="BF151" i="1"/>
  <c r="BI151" i="1"/>
  <c r="AE151" i="1" s="1"/>
  <c r="BJ151" i="1"/>
  <c r="AH151" i="1" s="1"/>
  <c r="I154" i="1"/>
  <c r="J154" i="1"/>
  <c r="AG154" i="1"/>
  <c r="AH154" i="1"/>
  <c r="AO154" i="1"/>
  <c r="AP154" i="1"/>
  <c r="AX154" i="1"/>
  <c r="BD154" i="1"/>
  <c r="BF154" i="1"/>
  <c r="BH154" i="1"/>
  <c r="BI154" i="1"/>
  <c r="BJ154" i="1"/>
  <c r="Z154" i="1" s="1"/>
  <c r="J155" i="1"/>
  <c r="AL155" i="1" s="1"/>
  <c r="AB155" i="1"/>
  <c r="AF155" i="1"/>
  <c r="AG155" i="1"/>
  <c r="AJ155" i="1"/>
  <c r="AK155" i="1"/>
  <c r="AO155" i="1"/>
  <c r="AP155" i="1"/>
  <c r="BD155" i="1"/>
  <c r="BF155" i="1"/>
  <c r="BH155" i="1"/>
  <c r="AD155" i="1" s="1"/>
  <c r="BJ155" i="1"/>
  <c r="AH155" i="1" s="1"/>
  <c r="H156" i="1"/>
  <c r="J156" i="1"/>
  <c r="AL156" i="1" s="1"/>
  <c r="AF156" i="1"/>
  <c r="AJ156" i="1"/>
  <c r="AK156" i="1"/>
  <c r="AO156" i="1"/>
  <c r="AP156" i="1"/>
  <c r="I156" i="1" s="1"/>
  <c r="AW156" i="1"/>
  <c r="BD156" i="1"/>
  <c r="BF156" i="1"/>
  <c r="BH156" i="1"/>
  <c r="BJ156" i="1"/>
  <c r="J157" i="1"/>
  <c r="AK157" i="1" s="1"/>
  <c r="Z157" i="1"/>
  <c r="AH157" i="1"/>
  <c r="AJ157" i="1"/>
  <c r="AO157" i="1"/>
  <c r="H157" i="1" s="1"/>
  <c r="AP157" i="1"/>
  <c r="BD157" i="1"/>
  <c r="BF157" i="1"/>
  <c r="BH157" i="1"/>
  <c r="AB157" i="1" s="1"/>
  <c r="BI157" i="1"/>
  <c r="BJ157" i="1"/>
  <c r="J158" i="1"/>
  <c r="AG158" i="1"/>
  <c r="AH158" i="1"/>
  <c r="AO158" i="1"/>
  <c r="BH158" i="1" s="1"/>
  <c r="AP158" i="1"/>
  <c r="BD158" i="1"/>
  <c r="BF158" i="1"/>
  <c r="BI158" i="1"/>
  <c r="AE158" i="1" s="1"/>
  <c r="BJ158" i="1"/>
  <c r="Z158" i="1" s="1"/>
  <c r="J159" i="1"/>
  <c r="AL159" i="1" s="1"/>
  <c r="AF159" i="1"/>
  <c r="AG159" i="1"/>
  <c r="AJ159" i="1"/>
  <c r="AK159" i="1"/>
  <c r="AO159" i="1"/>
  <c r="AP159" i="1"/>
  <c r="BD159" i="1"/>
  <c r="BF159" i="1"/>
  <c r="BJ159" i="1"/>
  <c r="AH159" i="1" s="1"/>
  <c r="H160" i="1"/>
  <c r="J160" i="1"/>
  <c r="AL160" i="1" s="1"/>
  <c r="AF160" i="1"/>
  <c r="AJ160" i="1"/>
  <c r="AK160" i="1"/>
  <c r="AO160" i="1"/>
  <c r="AP160" i="1"/>
  <c r="AW160" i="1"/>
  <c r="BD160" i="1"/>
  <c r="BF160" i="1"/>
  <c r="BH160" i="1"/>
  <c r="BJ160" i="1"/>
  <c r="J161" i="1"/>
  <c r="AK161" i="1" s="1"/>
  <c r="Z161" i="1"/>
  <c r="AH161" i="1"/>
  <c r="AJ161" i="1"/>
  <c r="AO161" i="1"/>
  <c r="H161" i="1" s="1"/>
  <c r="AP161" i="1"/>
  <c r="BI161" i="1" s="1"/>
  <c r="BD161" i="1"/>
  <c r="BF161" i="1"/>
  <c r="BH161" i="1"/>
  <c r="AB161" i="1" s="1"/>
  <c r="BJ161" i="1"/>
  <c r="I162" i="1"/>
  <c r="J162" i="1"/>
  <c r="AL162" i="1" s="1"/>
  <c r="AG162" i="1"/>
  <c r="AH162" i="1"/>
  <c r="AO162" i="1"/>
  <c r="H162" i="1" s="1"/>
  <c r="AP162" i="1"/>
  <c r="AW162" i="1"/>
  <c r="AX162" i="1"/>
  <c r="BD162" i="1"/>
  <c r="BF162" i="1"/>
  <c r="BH162" i="1"/>
  <c r="AD162" i="1" s="1"/>
  <c r="BI162" i="1"/>
  <c r="BJ162" i="1"/>
  <c r="Z162" i="1" s="1"/>
  <c r="I163" i="1"/>
  <c r="J163" i="1"/>
  <c r="AF163" i="1"/>
  <c r="AG163" i="1"/>
  <c r="AJ163" i="1"/>
  <c r="AK163" i="1"/>
  <c r="AL163" i="1"/>
  <c r="AO163" i="1"/>
  <c r="AP163" i="1"/>
  <c r="AX163" i="1" s="1"/>
  <c r="BD163" i="1"/>
  <c r="BF163" i="1"/>
  <c r="BI163" i="1"/>
  <c r="AE163" i="1" s="1"/>
  <c r="BJ163" i="1"/>
  <c r="J164" i="1"/>
  <c r="Z164" i="1"/>
  <c r="AB164" i="1"/>
  <c r="AF164" i="1"/>
  <c r="AJ164" i="1"/>
  <c r="AK164" i="1"/>
  <c r="AL164" i="1"/>
  <c r="AO164" i="1"/>
  <c r="AW164" i="1" s="1"/>
  <c r="AP164" i="1"/>
  <c r="BI164" i="1" s="1"/>
  <c r="BD164" i="1"/>
  <c r="BF164" i="1"/>
  <c r="BH164" i="1"/>
  <c r="AD164" i="1" s="1"/>
  <c r="BJ164" i="1"/>
  <c r="AH164" i="1" s="1"/>
  <c r="J165" i="1"/>
  <c r="AJ165" i="1" s="1"/>
  <c r="Z165" i="1"/>
  <c r="AH165" i="1"/>
  <c r="AO165" i="1"/>
  <c r="AP165" i="1"/>
  <c r="I165" i="1" s="1"/>
  <c r="AX165" i="1"/>
  <c r="BD165" i="1"/>
  <c r="BF165" i="1"/>
  <c r="BH165" i="1"/>
  <c r="AD165" i="1" s="1"/>
  <c r="BJ165" i="1"/>
  <c r="I166" i="1"/>
  <c r="J166" i="1"/>
  <c r="AL166" i="1" s="1"/>
  <c r="AG166" i="1"/>
  <c r="AH166" i="1"/>
  <c r="AO166" i="1"/>
  <c r="H166" i="1" s="1"/>
  <c r="AP166" i="1"/>
  <c r="AW166" i="1"/>
  <c r="AX166" i="1"/>
  <c r="BD166" i="1"/>
  <c r="BF166" i="1"/>
  <c r="BH166" i="1"/>
  <c r="AD166" i="1" s="1"/>
  <c r="BI166" i="1"/>
  <c r="BJ166" i="1"/>
  <c r="Z166" i="1" s="1"/>
  <c r="I167" i="1"/>
  <c r="J167" i="1"/>
  <c r="AL167" i="1" s="1"/>
  <c r="AF167" i="1"/>
  <c r="AG167" i="1"/>
  <c r="AJ167" i="1"/>
  <c r="AK167" i="1"/>
  <c r="AO167" i="1"/>
  <c r="AP167" i="1"/>
  <c r="AX167" i="1" s="1"/>
  <c r="BD167" i="1"/>
  <c r="BF167" i="1"/>
  <c r="BI167" i="1"/>
  <c r="AE167" i="1" s="1"/>
  <c r="BJ167" i="1"/>
  <c r="J169" i="1"/>
  <c r="AD169" i="1"/>
  <c r="AJ169" i="1"/>
  <c r="AS168" i="1" s="1"/>
  <c r="AL169" i="1"/>
  <c r="AU168" i="1" s="1"/>
  <c r="AO169" i="1"/>
  <c r="AP169" i="1"/>
  <c r="I169" i="1" s="1"/>
  <c r="I168" i="1" s="1"/>
  <c r="BD169" i="1"/>
  <c r="BF169" i="1"/>
  <c r="BI169" i="1"/>
  <c r="AC169" i="1" s="1"/>
  <c r="BJ169" i="1"/>
  <c r="Z169" i="1" s="1"/>
  <c r="J171" i="1"/>
  <c r="AB171" i="1"/>
  <c r="AF171" i="1"/>
  <c r="AG171" i="1"/>
  <c r="AK171" i="1"/>
  <c r="AO171" i="1"/>
  <c r="H171" i="1" s="1"/>
  <c r="AP171" i="1"/>
  <c r="AW171" i="1"/>
  <c r="BD171" i="1"/>
  <c r="BF171" i="1"/>
  <c r="BH171" i="1"/>
  <c r="AD171" i="1" s="1"/>
  <c r="BJ171" i="1"/>
  <c r="AH171" i="1" s="1"/>
  <c r="H172" i="1"/>
  <c r="J172" i="1"/>
  <c r="AL172" i="1" s="1"/>
  <c r="AF172" i="1"/>
  <c r="AJ172" i="1"/>
  <c r="AK172" i="1"/>
  <c r="AO172" i="1"/>
  <c r="AP172" i="1"/>
  <c r="I172" i="1" s="1"/>
  <c r="AW172" i="1"/>
  <c r="BD172" i="1"/>
  <c r="BF172" i="1"/>
  <c r="BH172" i="1"/>
  <c r="BJ172" i="1"/>
  <c r="Z172" i="1" s="1"/>
  <c r="H174" i="1"/>
  <c r="I174" i="1"/>
  <c r="J174" i="1"/>
  <c r="AJ174" i="1" s="1"/>
  <c r="AB174" i="1"/>
  <c r="AC174" i="1"/>
  <c r="AF174" i="1"/>
  <c r="AG174" i="1"/>
  <c r="AK174" i="1"/>
  <c r="AL174" i="1"/>
  <c r="AU173" i="1" s="1"/>
  <c r="AO174" i="1"/>
  <c r="AP174" i="1"/>
  <c r="AX174" i="1"/>
  <c r="BD174" i="1"/>
  <c r="BF174" i="1"/>
  <c r="BI174" i="1"/>
  <c r="AE174" i="1" s="1"/>
  <c r="BJ174" i="1"/>
  <c r="AH174" i="1" s="1"/>
  <c r="J175" i="1"/>
  <c r="J173" i="1" s="1"/>
  <c r="AB175" i="1"/>
  <c r="AF175" i="1"/>
  <c r="AJ175" i="1"/>
  <c r="AK175" i="1"/>
  <c r="AL175" i="1"/>
  <c r="AO175" i="1"/>
  <c r="AP175" i="1"/>
  <c r="I175" i="1" s="1"/>
  <c r="BD175" i="1"/>
  <c r="BF175" i="1"/>
  <c r="BI175" i="1"/>
  <c r="AE175" i="1" s="1"/>
  <c r="BJ175" i="1"/>
  <c r="Z175" i="1" s="1"/>
  <c r="J177" i="1"/>
  <c r="AB177" i="1"/>
  <c r="AC177" i="1"/>
  <c r="AF177" i="1"/>
  <c r="AG177" i="1"/>
  <c r="AK177" i="1"/>
  <c r="AT176" i="1" s="1"/>
  <c r="AO177" i="1"/>
  <c r="H177" i="1" s="1"/>
  <c r="AP177" i="1"/>
  <c r="BD177" i="1"/>
  <c r="BF177" i="1"/>
  <c r="BJ177" i="1"/>
  <c r="AH177" i="1" s="1"/>
  <c r="H178" i="1"/>
  <c r="J178" i="1"/>
  <c r="AL178" i="1" s="1"/>
  <c r="AB178" i="1"/>
  <c r="AF178" i="1"/>
  <c r="AJ178" i="1"/>
  <c r="AK178" i="1"/>
  <c r="AO178" i="1"/>
  <c r="AP178" i="1"/>
  <c r="I178" i="1" s="1"/>
  <c r="AW178" i="1"/>
  <c r="BD178" i="1"/>
  <c r="BF178" i="1"/>
  <c r="BH178" i="1"/>
  <c r="AD178" i="1" s="1"/>
  <c r="BI178" i="1"/>
  <c r="AE178" i="1" s="1"/>
  <c r="BJ178" i="1"/>
  <c r="Z178" i="1" s="1"/>
  <c r="I180" i="1"/>
  <c r="J180" i="1"/>
  <c r="AJ180" i="1" s="1"/>
  <c r="AB180" i="1"/>
  <c r="AC180" i="1"/>
  <c r="AF180" i="1"/>
  <c r="AG180" i="1"/>
  <c r="AK180" i="1"/>
  <c r="AL180" i="1"/>
  <c r="AO180" i="1"/>
  <c r="AP180" i="1"/>
  <c r="AX180" i="1"/>
  <c r="BD180" i="1"/>
  <c r="BF180" i="1"/>
  <c r="BI180" i="1"/>
  <c r="AE180" i="1" s="1"/>
  <c r="BJ180" i="1"/>
  <c r="AH180" i="1" s="1"/>
  <c r="J181" i="1"/>
  <c r="J179" i="1" s="1"/>
  <c r="AB181" i="1"/>
  <c r="AF181" i="1"/>
  <c r="AJ181" i="1"/>
  <c r="AK181" i="1"/>
  <c r="AO181" i="1"/>
  <c r="AP181" i="1"/>
  <c r="I181" i="1" s="1"/>
  <c r="AW181" i="1"/>
  <c r="BD181" i="1"/>
  <c r="BF181" i="1"/>
  <c r="BI181" i="1"/>
  <c r="AE181" i="1" s="1"/>
  <c r="BJ181" i="1"/>
  <c r="Z181" i="1" s="1"/>
  <c r="J183" i="1"/>
  <c r="AB183" i="1"/>
  <c r="AC183" i="1"/>
  <c r="AF183" i="1"/>
  <c r="AG183" i="1"/>
  <c r="AK183" i="1"/>
  <c r="AT182" i="1" s="1"/>
  <c r="AO183" i="1"/>
  <c r="H183" i="1" s="1"/>
  <c r="AP183" i="1"/>
  <c r="AW183" i="1"/>
  <c r="BD183" i="1"/>
  <c r="BF183" i="1"/>
  <c r="BH183" i="1"/>
  <c r="AD183" i="1" s="1"/>
  <c r="BJ183" i="1"/>
  <c r="AH183" i="1" s="1"/>
  <c r="H184" i="1"/>
  <c r="J184" i="1"/>
  <c r="AL184" i="1" s="1"/>
  <c r="AB184" i="1"/>
  <c r="AF184" i="1"/>
  <c r="AJ184" i="1"/>
  <c r="AK184" i="1"/>
  <c r="AO184" i="1"/>
  <c r="AP184" i="1"/>
  <c r="AW184" i="1"/>
  <c r="BD184" i="1"/>
  <c r="BF184" i="1"/>
  <c r="BH184" i="1"/>
  <c r="AD184" i="1" s="1"/>
  <c r="BJ184" i="1"/>
  <c r="Z184" i="1" s="1"/>
  <c r="H186" i="1"/>
  <c r="I186" i="1"/>
  <c r="J186" i="1"/>
  <c r="AJ186" i="1" s="1"/>
  <c r="AB186" i="1"/>
  <c r="AC186" i="1"/>
  <c r="AF186" i="1"/>
  <c r="AG186" i="1"/>
  <c r="AK186" i="1"/>
  <c r="AT185" i="1" s="1"/>
  <c r="AL186" i="1"/>
  <c r="AU185" i="1" s="1"/>
  <c r="AO186" i="1"/>
  <c r="AW186" i="1" s="1"/>
  <c r="AP186" i="1"/>
  <c r="AX186" i="1"/>
  <c r="BD186" i="1"/>
  <c r="BF186" i="1"/>
  <c r="BI186" i="1"/>
  <c r="AE186" i="1" s="1"/>
  <c r="BJ186" i="1"/>
  <c r="AH186" i="1" s="1"/>
  <c r="J187" i="1"/>
  <c r="J185" i="1" s="1"/>
  <c r="AB187" i="1"/>
  <c r="AF187" i="1"/>
  <c r="AJ187" i="1"/>
  <c r="AK187" i="1"/>
  <c r="AL187" i="1"/>
  <c r="AO187" i="1"/>
  <c r="AP187" i="1"/>
  <c r="I187" i="1" s="1"/>
  <c r="BD187" i="1"/>
  <c r="BF187" i="1"/>
  <c r="BI187" i="1"/>
  <c r="AE187" i="1" s="1"/>
  <c r="BJ187" i="1"/>
  <c r="Z187" i="1" s="1"/>
  <c r="J189" i="1"/>
  <c r="J188" i="1" s="1"/>
  <c r="AB189" i="1"/>
  <c r="AC189" i="1"/>
  <c r="AF189" i="1"/>
  <c r="AG189" i="1"/>
  <c r="AK189" i="1"/>
  <c r="AO189" i="1"/>
  <c r="H189" i="1" s="1"/>
  <c r="AP189" i="1"/>
  <c r="AW189" i="1"/>
  <c r="BD189" i="1"/>
  <c r="BF189" i="1"/>
  <c r="BH189" i="1"/>
  <c r="AD189" i="1" s="1"/>
  <c r="BJ189" i="1"/>
  <c r="AH189" i="1" s="1"/>
  <c r="J190" i="1"/>
  <c r="AL190" i="1" s="1"/>
  <c r="AB190" i="1"/>
  <c r="AF190" i="1"/>
  <c r="AJ190" i="1"/>
  <c r="AK190" i="1"/>
  <c r="AO190" i="1"/>
  <c r="AP190" i="1"/>
  <c r="I190" i="1" s="1"/>
  <c r="BD190" i="1"/>
  <c r="BF190" i="1"/>
  <c r="BJ190" i="1"/>
  <c r="Z190" i="1" s="1"/>
  <c r="J191" i="1"/>
  <c r="H192" i="1"/>
  <c r="I192" i="1"/>
  <c r="J192" i="1"/>
  <c r="AJ192" i="1" s="1"/>
  <c r="AB192" i="1"/>
  <c r="AC192" i="1"/>
  <c r="AF192" i="1"/>
  <c r="AG192" i="1"/>
  <c r="AK192" i="1"/>
  <c r="AT191" i="1" s="1"/>
  <c r="AL192" i="1"/>
  <c r="AO192" i="1"/>
  <c r="AP192" i="1"/>
  <c r="AW192" i="1"/>
  <c r="AV192" i="1" s="1"/>
  <c r="AX192" i="1"/>
  <c r="BD192" i="1"/>
  <c r="BF192" i="1"/>
  <c r="BH192" i="1"/>
  <c r="AD192" i="1" s="1"/>
  <c r="BI192" i="1"/>
  <c r="AE192" i="1" s="1"/>
  <c r="BJ192" i="1"/>
  <c r="AH192" i="1" s="1"/>
  <c r="J193" i="1"/>
  <c r="AB193" i="1"/>
  <c r="AF193" i="1"/>
  <c r="AJ193" i="1"/>
  <c r="AK193" i="1"/>
  <c r="AL193" i="1"/>
  <c r="AO193" i="1"/>
  <c r="AW193" i="1" s="1"/>
  <c r="AP193" i="1"/>
  <c r="I193" i="1" s="1"/>
  <c r="BD193" i="1"/>
  <c r="BF193" i="1"/>
  <c r="BI193" i="1"/>
  <c r="AE193" i="1" s="1"/>
  <c r="BJ193" i="1"/>
  <c r="Z193" i="1" s="1"/>
  <c r="J194" i="1"/>
  <c r="J195" i="1"/>
  <c r="AB195" i="1"/>
  <c r="AC195" i="1"/>
  <c r="AF195" i="1"/>
  <c r="AG195" i="1"/>
  <c r="AK195" i="1"/>
  <c r="AO195" i="1"/>
  <c r="AP195" i="1"/>
  <c r="I195" i="1" s="1"/>
  <c r="BD195" i="1"/>
  <c r="BF195" i="1"/>
  <c r="BJ195" i="1"/>
  <c r="AH195" i="1" s="1"/>
  <c r="J196" i="1"/>
  <c r="AB196" i="1"/>
  <c r="AF196" i="1"/>
  <c r="AJ196" i="1"/>
  <c r="AK196" i="1"/>
  <c r="AL196" i="1"/>
  <c r="AO196" i="1"/>
  <c r="AP196" i="1"/>
  <c r="I196" i="1" s="1"/>
  <c r="BD196" i="1"/>
  <c r="BF196" i="1"/>
  <c r="BJ196" i="1"/>
  <c r="Z196" i="1" s="1"/>
  <c r="J197" i="1"/>
  <c r="H198" i="1"/>
  <c r="J198" i="1"/>
  <c r="AJ198" i="1" s="1"/>
  <c r="AB198" i="1"/>
  <c r="AC198" i="1"/>
  <c r="AF198" i="1"/>
  <c r="AG198" i="1"/>
  <c r="AK198" i="1"/>
  <c r="AL198" i="1"/>
  <c r="AO198" i="1"/>
  <c r="AP198" i="1"/>
  <c r="I198" i="1" s="1"/>
  <c r="AW198" i="1"/>
  <c r="AV198" i="1" s="1"/>
  <c r="AX198" i="1"/>
  <c r="BD198" i="1"/>
  <c r="BF198" i="1"/>
  <c r="BH198" i="1"/>
  <c r="AD198" i="1" s="1"/>
  <c r="BI198" i="1"/>
  <c r="AE198" i="1" s="1"/>
  <c r="BJ198" i="1"/>
  <c r="AH198" i="1" s="1"/>
  <c r="J199" i="1"/>
  <c r="AL199" i="1" s="1"/>
  <c r="AB199" i="1"/>
  <c r="AF199" i="1"/>
  <c r="AJ199" i="1"/>
  <c r="AK199" i="1"/>
  <c r="AO199" i="1"/>
  <c r="H199" i="1" s="1"/>
  <c r="AP199" i="1"/>
  <c r="I199" i="1" s="1"/>
  <c r="AW199" i="1"/>
  <c r="BD199" i="1"/>
  <c r="BF199" i="1"/>
  <c r="BH199" i="1"/>
  <c r="AD199" i="1" s="1"/>
  <c r="BI199" i="1"/>
  <c r="AE199" i="1" s="1"/>
  <c r="BJ199" i="1"/>
  <c r="Z199" i="1" s="1"/>
  <c r="I201" i="1"/>
  <c r="J201" i="1"/>
  <c r="AJ201" i="1" s="1"/>
  <c r="AB201" i="1"/>
  <c r="AC201" i="1"/>
  <c r="AF201" i="1"/>
  <c r="AG201" i="1"/>
  <c r="AK201" i="1"/>
  <c r="AO201" i="1"/>
  <c r="AP201" i="1"/>
  <c r="AX201" i="1" s="1"/>
  <c r="BD201" i="1"/>
  <c r="BF201" i="1"/>
  <c r="BJ201" i="1"/>
  <c r="AH201" i="1" s="1"/>
  <c r="J202" i="1"/>
  <c r="AB202" i="1"/>
  <c r="AF202" i="1"/>
  <c r="AJ202" i="1"/>
  <c r="AK202" i="1"/>
  <c r="AL202" i="1"/>
  <c r="AO202" i="1"/>
  <c r="AP202" i="1"/>
  <c r="I202" i="1" s="1"/>
  <c r="BD202" i="1"/>
  <c r="BF202" i="1"/>
  <c r="BJ202" i="1"/>
  <c r="H204" i="1"/>
  <c r="I204" i="1"/>
  <c r="J204" i="1"/>
  <c r="AJ204" i="1" s="1"/>
  <c r="AB204" i="1"/>
  <c r="AC204" i="1"/>
  <c r="AF204" i="1"/>
  <c r="AG204" i="1"/>
  <c r="AK204" i="1"/>
  <c r="AL204" i="1"/>
  <c r="AO204" i="1"/>
  <c r="AW204" i="1" s="1"/>
  <c r="AP204" i="1"/>
  <c r="AX204" i="1"/>
  <c r="BD204" i="1"/>
  <c r="BF204" i="1"/>
  <c r="BI204" i="1"/>
  <c r="AE204" i="1" s="1"/>
  <c r="BJ204" i="1"/>
  <c r="AH204" i="1" s="1"/>
  <c r="J205" i="1"/>
  <c r="AB205" i="1"/>
  <c r="AF205" i="1"/>
  <c r="AJ205" i="1"/>
  <c r="AK205" i="1"/>
  <c r="AL205" i="1"/>
  <c r="AO205" i="1"/>
  <c r="AP205" i="1"/>
  <c r="I205" i="1" s="1"/>
  <c r="BD205" i="1"/>
  <c r="BF205" i="1"/>
  <c r="BI205" i="1"/>
  <c r="AE205" i="1" s="1"/>
  <c r="BJ205" i="1"/>
  <c r="J206" i="1"/>
  <c r="J203" i="1" s="1"/>
  <c r="AH206" i="1"/>
  <c r="AJ206" i="1"/>
  <c r="AS203" i="1" s="1"/>
  <c r="AO206" i="1"/>
  <c r="H206" i="1" s="1"/>
  <c r="AP206" i="1"/>
  <c r="BD206" i="1"/>
  <c r="BF206" i="1"/>
  <c r="BI206" i="1"/>
  <c r="BJ206" i="1"/>
  <c r="Z206" i="1" s="1"/>
  <c r="H208" i="1"/>
  <c r="J208" i="1"/>
  <c r="AL208" i="1" s="1"/>
  <c r="AB208" i="1"/>
  <c r="AJ208" i="1"/>
  <c r="AK208" i="1"/>
  <c r="AO208" i="1"/>
  <c r="AP208" i="1"/>
  <c r="AW208" i="1"/>
  <c r="BD208" i="1"/>
  <c r="BF208" i="1"/>
  <c r="BH208" i="1"/>
  <c r="BI208" i="1"/>
  <c r="BJ208" i="1"/>
  <c r="AH208" i="1" s="1"/>
  <c r="J209" i="1"/>
  <c r="AJ209" i="1" s="1"/>
  <c r="Z209" i="1"/>
  <c r="AH209" i="1"/>
  <c r="AO209" i="1"/>
  <c r="AP209" i="1"/>
  <c r="I209" i="1" s="1"/>
  <c r="AX209" i="1"/>
  <c r="BD209" i="1"/>
  <c r="BF209" i="1"/>
  <c r="BH209" i="1"/>
  <c r="AD209" i="1" s="1"/>
  <c r="BI209" i="1"/>
  <c r="BJ209" i="1"/>
  <c r="J210" i="1"/>
  <c r="AL210" i="1" s="1"/>
  <c r="AC210" i="1"/>
  <c r="AH210" i="1"/>
  <c r="AO210" i="1"/>
  <c r="H210" i="1" s="1"/>
  <c r="AP210" i="1"/>
  <c r="AW210" i="1"/>
  <c r="BD210" i="1"/>
  <c r="BF210" i="1"/>
  <c r="BH210" i="1"/>
  <c r="AD210" i="1" s="1"/>
  <c r="BJ210" i="1"/>
  <c r="Z210" i="1" s="1"/>
  <c r="H211" i="1"/>
  <c r="I211" i="1"/>
  <c r="J211" i="1"/>
  <c r="AF211" i="1"/>
  <c r="AG211" i="1"/>
  <c r="AJ211" i="1"/>
  <c r="AK211" i="1"/>
  <c r="AL211" i="1"/>
  <c r="AO211" i="1"/>
  <c r="AP211" i="1"/>
  <c r="AX211" i="1" s="1"/>
  <c r="AW211" i="1"/>
  <c r="BC211" i="1" s="1"/>
  <c r="BD211" i="1"/>
  <c r="BF211" i="1"/>
  <c r="BH211" i="1"/>
  <c r="AD211" i="1" s="1"/>
  <c r="BI211" i="1"/>
  <c r="AE211" i="1" s="1"/>
  <c r="BJ211" i="1"/>
  <c r="J213" i="1"/>
  <c r="AC213" i="1"/>
  <c r="AH213" i="1"/>
  <c r="AO213" i="1"/>
  <c r="H213" i="1" s="1"/>
  <c r="AP213" i="1"/>
  <c r="I213" i="1" s="1"/>
  <c r="BD213" i="1"/>
  <c r="BF213" i="1"/>
  <c r="BI213" i="1"/>
  <c r="AE213" i="1" s="1"/>
  <c r="BJ213" i="1"/>
  <c r="Z213" i="1" s="1"/>
  <c r="J214" i="1"/>
  <c r="AL214" i="1" s="1"/>
  <c r="AB214" i="1"/>
  <c r="AC214" i="1"/>
  <c r="AJ214" i="1"/>
  <c r="AK214" i="1"/>
  <c r="AO214" i="1"/>
  <c r="AP214" i="1"/>
  <c r="BD214" i="1"/>
  <c r="BF214" i="1"/>
  <c r="BJ214" i="1"/>
  <c r="J215" i="1"/>
  <c r="AB215" i="1"/>
  <c r="AJ215" i="1"/>
  <c r="AK215" i="1"/>
  <c r="AL215" i="1"/>
  <c r="AO215" i="1"/>
  <c r="AW215" i="1" s="1"/>
  <c r="AP215" i="1"/>
  <c r="BI215" i="1" s="1"/>
  <c r="BD215" i="1"/>
  <c r="BF215" i="1"/>
  <c r="BH215" i="1"/>
  <c r="AD215" i="1" s="1"/>
  <c r="BJ215" i="1"/>
  <c r="AH215" i="1" s="1"/>
  <c r="J216" i="1"/>
  <c r="AJ216" i="1" s="1"/>
  <c r="AH216" i="1"/>
  <c r="AO216" i="1"/>
  <c r="AP216" i="1"/>
  <c r="I216" i="1" s="1"/>
  <c r="AX216" i="1"/>
  <c r="BD216" i="1"/>
  <c r="BF216" i="1"/>
  <c r="BH216" i="1"/>
  <c r="AD216" i="1" s="1"/>
  <c r="BI216" i="1"/>
  <c r="BJ216" i="1"/>
  <c r="Z216" i="1" s="1"/>
  <c r="J217" i="1"/>
  <c r="AK217" i="1" s="1"/>
  <c r="Z217" i="1"/>
  <c r="AH217" i="1"/>
  <c r="AL217" i="1"/>
  <c r="AO217" i="1"/>
  <c r="H217" i="1" s="1"/>
  <c r="AP217" i="1"/>
  <c r="I217" i="1" s="1"/>
  <c r="AX217" i="1"/>
  <c r="BD217" i="1"/>
  <c r="BF217" i="1"/>
  <c r="BH217" i="1"/>
  <c r="BJ217" i="1"/>
  <c r="I218" i="1"/>
  <c r="J218" i="1"/>
  <c r="AJ218" i="1" s="1"/>
  <c r="AD218" i="1"/>
  <c r="AK218" i="1"/>
  <c r="AL218" i="1"/>
  <c r="AO218" i="1"/>
  <c r="H218" i="1" s="1"/>
  <c r="AP218" i="1"/>
  <c r="AX218" i="1"/>
  <c r="BD218" i="1"/>
  <c r="BF218" i="1"/>
  <c r="BH218" i="1"/>
  <c r="AF218" i="1" s="1"/>
  <c r="BI218" i="1"/>
  <c r="AE218" i="1" s="1"/>
  <c r="BJ218" i="1"/>
  <c r="Z218" i="1" s="1"/>
  <c r="J219" i="1"/>
  <c r="AL219" i="1" s="1"/>
  <c r="Z219" i="1"/>
  <c r="AB219" i="1"/>
  <c r="AJ219" i="1"/>
  <c r="AK219" i="1"/>
  <c r="AO219" i="1"/>
  <c r="H219" i="1" s="1"/>
  <c r="AP219" i="1"/>
  <c r="AX219" i="1" s="1"/>
  <c r="AW219" i="1"/>
  <c r="AV219" i="1" s="1"/>
  <c r="BD219" i="1"/>
  <c r="BF219" i="1"/>
  <c r="BH219" i="1"/>
  <c r="BI219" i="1"/>
  <c r="AE219" i="1" s="1"/>
  <c r="BJ219" i="1"/>
  <c r="AH219" i="1" s="1"/>
  <c r="J220" i="1"/>
  <c r="AL220" i="1" s="1"/>
  <c r="AH220" i="1"/>
  <c r="AO220" i="1"/>
  <c r="AP220" i="1"/>
  <c r="I220" i="1" s="1"/>
  <c r="BD220" i="1"/>
  <c r="BF220" i="1"/>
  <c r="BI220" i="1"/>
  <c r="AC220" i="1" s="1"/>
  <c r="BJ220" i="1"/>
  <c r="Z220" i="1" s="1"/>
  <c r="I221" i="1"/>
  <c r="J221" i="1"/>
  <c r="AK221" i="1" s="1"/>
  <c r="Z221" i="1"/>
  <c r="AC221" i="1"/>
  <c r="AH221" i="1"/>
  <c r="AJ221" i="1"/>
  <c r="AL221" i="1"/>
  <c r="AO221" i="1"/>
  <c r="AP221" i="1"/>
  <c r="AX221" i="1"/>
  <c r="BD221" i="1"/>
  <c r="BF221" i="1"/>
  <c r="BI221" i="1"/>
  <c r="AE221" i="1" s="1"/>
  <c r="BJ221" i="1"/>
  <c r="J222" i="1"/>
  <c r="AB222" i="1"/>
  <c r="AC222" i="1"/>
  <c r="AK222" i="1"/>
  <c r="AO222" i="1"/>
  <c r="H222" i="1" s="1"/>
  <c r="AP222" i="1"/>
  <c r="AW222" i="1"/>
  <c r="BD222" i="1"/>
  <c r="BF222" i="1"/>
  <c r="BH222" i="1"/>
  <c r="AD222" i="1" s="1"/>
  <c r="BJ222" i="1"/>
  <c r="Z222" i="1" s="1"/>
  <c r="J223" i="1"/>
  <c r="Z223" i="1"/>
  <c r="AB223" i="1"/>
  <c r="AJ223" i="1"/>
  <c r="AK223" i="1"/>
  <c r="AL223" i="1"/>
  <c r="AO223" i="1"/>
  <c r="AP223" i="1"/>
  <c r="AX223" i="1" s="1"/>
  <c r="BD223" i="1"/>
  <c r="BF223" i="1"/>
  <c r="BJ223" i="1"/>
  <c r="AH223" i="1" s="1"/>
  <c r="J224" i="1"/>
  <c r="AL224" i="1" s="1"/>
  <c r="Z224" i="1"/>
  <c r="AH224" i="1"/>
  <c r="AO224" i="1"/>
  <c r="AW224" i="1" s="1"/>
  <c r="AP224" i="1"/>
  <c r="BD224" i="1"/>
  <c r="BF224" i="1"/>
  <c r="BH224" i="1"/>
  <c r="AD224" i="1" s="1"/>
  <c r="BJ224" i="1"/>
  <c r="I225" i="1"/>
  <c r="J225" i="1"/>
  <c r="Z225" i="1"/>
  <c r="AC225" i="1"/>
  <c r="AH225" i="1"/>
  <c r="AO225" i="1"/>
  <c r="H225" i="1" s="1"/>
  <c r="AP225" i="1"/>
  <c r="AW225" i="1"/>
  <c r="BD225" i="1"/>
  <c r="BF225" i="1"/>
  <c r="BH225" i="1"/>
  <c r="AB225" i="1" s="1"/>
  <c r="BJ225" i="1"/>
  <c r="I226" i="1"/>
  <c r="J226" i="1"/>
  <c r="AJ226" i="1" s="1"/>
  <c r="AB226" i="1"/>
  <c r="AC226" i="1"/>
  <c r="AK226" i="1"/>
  <c r="AL226" i="1"/>
  <c r="AO226" i="1"/>
  <c r="H226" i="1" s="1"/>
  <c r="AP226" i="1"/>
  <c r="AW226" i="1"/>
  <c r="AX226" i="1"/>
  <c r="BD226" i="1"/>
  <c r="BF226" i="1"/>
  <c r="BH226" i="1"/>
  <c r="AD226" i="1" s="1"/>
  <c r="BI226" i="1"/>
  <c r="BJ226" i="1"/>
  <c r="Z226" i="1" s="1"/>
  <c r="J227" i="1"/>
  <c r="AL227" i="1" s="1"/>
  <c r="Z227" i="1"/>
  <c r="AB227" i="1"/>
  <c r="AJ227" i="1"/>
  <c r="AK227" i="1"/>
  <c r="AO227" i="1"/>
  <c r="H227" i="1" s="1"/>
  <c r="AP227" i="1"/>
  <c r="AX227" i="1" s="1"/>
  <c r="AW227" i="1"/>
  <c r="BD227" i="1"/>
  <c r="BF227" i="1"/>
  <c r="BH227" i="1"/>
  <c r="BJ227" i="1"/>
  <c r="AH227" i="1" s="1"/>
  <c r="J228" i="1"/>
  <c r="AL228" i="1" s="1"/>
  <c r="Z228" i="1"/>
  <c r="AH228" i="1"/>
  <c r="AO228" i="1"/>
  <c r="AW228" i="1" s="1"/>
  <c r="AP228" i="1"/>
  <c r="I228" i="1" s="1"/>
  <c r="AX228" i="1"/>
  <c r="BD228" i="1"/>
  <c r="BF228" i="1"/>
  <c r="BH228" i="1"/>
  <c r="AD228" i="1" s="1"/>
  <c r="BI228" i="1"/>
  <c r="AC228" i="1" s="1"/>
  <c r="BJ228" i="1"/>
  <c r="J229" i="1"/>
  <c r="AK229" i="1" s="1"/>
  <c r="Z229" i="1"/>
  <c r="AC229" i="1"/>
  <c r="AH229" i="1"/>
  <c r="AL229" i="1"/>
  <c r="AO229" i="1"/>
  <c r="AP229" i="1"/>
  <c r="I229" i="1" s="1"/>
  <c r="AX229" i="1"/>
  <c r="BD229" i="1"/>
  <c r="BF229" i="1"/>
  <c r="BI229" i="1"/>
  <c r="BJ229" i="1"/>
  <c r="J230" i="1"/>
  <c r="AB230" i="1"/>
  <c r="AC230" i="1"/>
  <c r="AK230" i="1"/>
  <c r="AO230" i="1"/>
  <c r="H230" i="1" s="1"/>
  <c r="AP230" i="1"/>
  <c r="BD230" i="1"/>
  <c r="BF230" i="1"/>
  <c r="BJ230" i="1"/>
  <c r="Z230" i="1" s="1"/>
  <c r="J231" i="1"/>
  <c r="Z231" i="1"/>
  <c r="AB231" i="1"/>
  <c r="AJ231" i="1"/>
  <c r="AK231" i="1"/>
  <c r="AL231" i="1"/>
  <c r="AO231" i="1"/>
  <c r="AP231" i="1"/>
  <c r="AX231" i="1" s="1"/>
  <c r="BD231" i="1"/>
  <c r="BF231" i="1"/>
  <c r="BI231" i="1"/>
  <c r="AE231" i="1" s="1"/>
  <c r="BJ231" i="1"/>
  <c r="AH231" i="1" s="1"/>
  <c r="J232" i="1"/>
  <c r="AL232" i="1" s="1"/>
  <c r="Z232" i="1"/>
  <c r="AH232" i="1"/>
  <c r="AO232" i="1"/>
  <c r="AW232" i="1" s="1"/>
  <c r="AP232" i="1"/>
  <c r="BD232" i="1"/>
  <c r="BF232" i="1"/>
  <c r="BH232" i="1"/>
  <c r="AD232" i="1" s="1"/>
  <c r="BJ232" i="1"/>
  <c r="I233" i="1"/>
  <c r="J233" i="1"/>
  <c r="Z233" i="1"/>
  <c r="AC233" i="1"/>
  <c r="AH233" i="1"/>
  <c r="AO233" i="1"/>
  <c r="H233" i="1" s="1"/>
  <c r="AP233" i="1"/>
  <c r="AW233" i="1"/>
  <c r="BD233" i="1"/>
  <c r="BF233" i="1"/>
  <c r="BH233" i="1"/>
  <c r="AB233" i="1" s="1"/>
  <c r="BJ233" i="1"/>
  <c r="I234" i="1"/>
  <c r="J234" i="1"/>
  <c r="AJ234" i="1" s="1"/>
  <c r="AB234" i="1"/>
  <c r="AC234" i="1"/>
  <c r="AK234" i="1"/>
  <c r="AL234" i="1"/>
  <c r="AO234" i="1"/>
  <c r="H234" i="1" s="1"/>
  <c r="AP234" i="1"/>
  <c r="AW234" i="1"/>
  <c r="AX234" i="1"/>
  <c r="BD234" i="1"/>
  <c r="BF234" i="1"/>
  <c r="BH234" i="1"/>
  <c r="AD234" i="1" s="1"/>
  <c r="BI234" i="1"/>
  <c r="BJ234" i="1"/>
  <c r="Z234" i="1" s="1"/>
  <c r="J235" i="1"/>
  <c r="AL235" i="1" s="1"/>
  <c r="Z235" i="1"/>
  <c r="AF235" i="1"/>
  <c r="AJ235" i="1"/>
  <c r="AK235" i="1"/>
  <c r="AO235" i="1"/>
  <c r="H235" i="1" s="1"/>
  <c r="AP235" i="1"/>
  <c r="AX235" i="1" s="1"/>
  <c r="AW235" i="1"/>
  <c r="BD235" i="1"/>
  <c r="BF235" i="1"/>
  <c r="BH235" i="1"/>
  <c r="BJ235" i="1"/>
  <c r="AH235" i="1" s="1"/>
  <c r="J236" i="1"/>
  <c r="AL236" i="1" s="1"/>
  <c r="Z236" i="1"/>
  <c r="AH236" i="1"/>
  <c r="AO236" i="1"/>
  <c r="AW236" i="1" s="1"/>
  <c r="AP236" i="1"/>
  <c r="I236" i="1" s="1"/>
  <c r="AX236" i="1"/>
  <c r="BD236" i="1"/>
  <c r="BF236" i="1"/>
  <c r="BH236" i="1"/>
  <c r="AD236" i="1" s="1"/>
  <c r="BI236" i="1"/>
  <c r="AC236" i="1" s="1"/>
  <c r="BJ236" i="1"/>
  <c r="J237" i="1"/>
  <c r="AK237" i="1" s="1"/>
  <c r="Z237" i="1"/>
  <c r="AC237" i="1"/>
  <c r="AG237" i="1"/>
  <c r="AH237" i="1"/>
  <c r="AL237" i="1"/>
  <c r="AO237" i="1"/>
  <c r="AP237" i="1"/>
  <c r="I237" i="1" s="1"/>
  <c r="AX237" i="1"/>
  <c r="BD237" i="1"/>
  <c r="BF237" i="1"/>
  <c r="BI237" i="1"/>
  <c r="AE237" i="1" s="1"/>
  <c r="BJ237" i="1"/>
  <c r="J238" i="1"/>
  <c r="AB238" i="1"/>
  <c r="AF238" i="1"/>
  <c r="AG238" i="1"/>
  <c r="AK238" i="1"/>
  <c r="AO238" i="1"/>
  <c r="H238" i="1" s="1"/>
  <c r="AP238" i="1"/>
  <c r="AW238" i="1"/>
  <c r="BD238" i="1"/>
  <c r="BF238" i="1"/>
  <c r="BH238" i="1"/>
  <c r="AD238" i="1" s="1"/>
  <c r="BJ238" i="1"/>
  <c r="Z238" i="1" s="1"/>
  <c r="J239" i="1"/>
  <c r="Z239" i="1"/>
  <c r="AB239" i="1"/>
  <c r="AJ239" i="1"/>
  <c r="AK239" i="1"/>
  <c r="AL239" i="1"/>
  <c r="AO239" i="1"/>
  <c r="AP239" i="1"/>
  <c r="AX239" i="1" s="1"/>
  <c r="BD239" i="1"/>
  <c r="BF239" i="1"/>
  <c r="BJ239" i="1"/>
  <c r="AH239" i="1" s="1"/>
  <c r="J240" i="1"/>
  <c r="AL240" i="1" s="1"/>
  <c r="Z240" i="1"/>
  <c r="AH240" i="1"/>
  <c r="AO240" i="1"/>
  <c r="AW240" i="1" s="1"/>
  <c r="AP240" i="1"/>
  <c r="BD240" i="1"/>
  <c r="BF240" i="1"/>
  <c r="BH240" i="1"/>
  <c r="AD240" i="1" s="1"/>
  <c r="BJ240" i="1"/>
  <c r="J241" i="1"/>
  <c r="Z241" i="1"/>
  <c r="AC241" i="1"/>
  <c r="AH241" i="1"/>
  <c r="AO241" i="1"/>
  <c r="H241" i="1" s="1"/>
  <c r="AP241" i="1"/>
  <c r="I241" i="1" s="1"/>
  <c r="AW241" i="1"/>
  <c r="BD241" i="1"/>
  <c r="BF241" i="1"/>
  <c r="BH241" i="1"/>
  <c r="AB241" i="1" s="1"/>
  <c r="BJ241" i="1"/>
  <c r="I242" i="1"/>
  <c r="J242" i="1"/>
  <c r="AJ242" i="1" s="1"/>
  <c r="AB242" i="1"/>
  <c r="AC242" i="1"/>
  <c r="AK242" i="1"/>
  <c r="AL242" i="1"/>
  <c r="AO242" i="1"/>
  <c r="AP242" i="1"/>
  <c r="AX242" i="1"/>
  <c r="BD242" i="1"/>
  <c r="BF242" i="1"/>
  <c r="BI242" i="1"/>
  <c r="BJ242" i="1"/>
  <c r="J244" i="1"/>
  <c r="Z244" i="1"/>
  <c r="AC244" i="1"/>
  <c r="AH244" i="1"/>
  <c r="AL244" i="1"/>
  <c r="AO244" i="1"/>
  <c r="H244" i="1" s="1"/>
  <c r="AP244" i="1"/>
  <c r="I244" i="1" s="1"/>
  <c r="BD244" i="1"/>
  <c r="BF244" i="1"/>
  <c r="BI244" i="1"/>
  <c r="AE244" i="1" s="1"/>
  <c r="BJ244" i="1"/>
  <c r="I245" i="1"/>
  <c r="J245" i="1"/>
  <c r="AJ245" i="1" s="1"/>
  <c r="AB245" i="1"/>
  <c r="AC245" i="1"/>
  <c r="AK245" i="1"/>
  <c r="AL245" i="1"/>
  <c r="AO245" i="1"/>
  <c r="H245" i="1" s="1"/>
  <c r="AP245" i="1"/>
  <c r="AW245" i="1"/>
  <c r="AX245" i="1"/>
  <c r="BD245" i="1"/>
  <c r="BF245" i="1"/>
  <c r="BH245" i="1"/>
  <c r="AD245" i="1" s="1"/>
  <c r="BI245" i="1"/>
  <c r="BJ245" i="1"/>
  <c r="J246" i="1"/>
  <c r="AB246" i="1"/>
  <c r="AJ246" i="1"/>
  <c r="AK246" i="1"/>
  <c r="AL246" i="1"/>
  <c r="AO246" i="1"/>
  <c r="H246" i="1" s="1"/>
  <c r="AP246" i="1"/>
  <c r="AW246" i="1"/>
  <c r="BD246" i="1"/>
  <c r="BF246" i="1"/>
  <c r="BI246" i="1"/>
  <c r="BJ246" i="1"/>
  <c r="AH246" i="1" s="1"/>
  <c r="J247" i="1"/>
  <c r="Z247" i="1"/>
  <c r="AH247" i="1"/>
  <c r="AJ247" i="1"/>
  <c r="AO247" i="1"/>
  <c r="AP247" i="1"/>
  <c r="I247" i="1" s="1"/>
  <c r="AX247" i="1"/>
  <c r="BD247" i="1"/>
  <c r="BF247" i="1"/>
  <c r="BH247" i="1"/>
  <c r="BI247" i="1"/>
  <c r="AE247" i="1" s="1"/>
  <c r="BJ247" i="1"/>
  <c r="J248" i="1"/>
  <c r="Z248" i="1"/>
  <c r="AC248" i="1"/>
  <c r="AH248" i="1"/>
  <c r="AO248" i="1"/>
  <c r="AP248" i="1"/>
  <c r="BD248" i="1"/>
  <c r="BF248" i="1"/>
  <c r="BJ248" i="1"/>
  <c r="H249" i="1"/>
  <c r="J249" i="1"/>
  <c r="AJ249" i="1" s="1"/>
  <c r="AB249" i="1"/>
  <c r="AC249" i="1"/>
  <c r="AK249" i="1"/>
  <c r="AL249" i="1"/>
  <c r="AO249" i="1"/>
  <c r="AP249" i="1"/>
  <c r="I249" i="1" s="1"/>
  <c r="AW249" i="1"/>
  <c r="AX249" i="1"/>
  <c r="BD249" i="1"/>
  <c r="BF249" i="1"/>
  <c r="BH249" i="1"/>
  <c r="BI249" i="1"/>
  <c r="BJ249" i="1"/>
  <c r="J250" i="1"/>
  <c r="AB250" i="1"/>
  <c r="AJ250" i="1"/>
  <c r="AK250" i="1"/>
  <c r="AL250" i="1"/>
  <c r="AO250" i="1"/>
  <c r="H250" i="1" s="1"/>
  <c r="AP250" i="1"/>
  <c r="AW250" i="1"/>
  <c r="BD250" i="1"/>
  <c r="BF250" i="1"/>
  <c r="BI250" i="1"/>
  <c r="AC250" i="1" s="1"/>
  <c r="BJ250" i="1"/>
  <c r="AH250" i="1" s="1"/>
  <c r="J251" i="1"/>
  <c r="AL251" i="1" s="1"/>
  <c r="AK251" i="1"/>
  <c r="AO251" i="1"/>
  <c r="AW251" i="1" s="1"/>
  <c r="AP251" i="1"/>
  <c r="I251" i="1" s="1"/>
  <c r="BD251" i="1"/>
  <c r="BF251" i="1"/>
  <c r="BH251" i="1"/>
  <c r="AF251" i="1" s="1"/>
  <c r="BJ251" i="1"/>
  <c r="Z251" i="1" s="1"/>
  <c r="J253" i="1"/>
  <c r="AL253" i="1" s="1"/>
  <c r="AJ253" i="1"/>
  <c r="AK253" i="1"/>
  <c r="AO253" i="1"/>
  <c r="BH253" i="1" s="1"/>
  <c r="AD253" i="1" s="1"/>
  <c r="AP253" i="1"/>
  <c r="AX253" i="1" s="1"/>
  <c r="BD253" i="1"/>
  <c r="BF253" i="1"/>
  <c r="BJ253" i="1"/>
  <c r="AH253" i="1" s="1"/>
  <c r="H254" i="1"/>
  <c r="J254" i="1"/>
  <c r="J252" i="1" s="1"/>
  <c r="AB254" i="1"/>
  <c r="AF254" i="1"/>
  <c r="AJ254" i="1"/>
  <c r="AK254" i="1"/>
  <c r="AO254" i="1"/>
  <c r="AP254" i="1"/>
  <c r="I254" i="1" s="1"/>
  <c r="AW254" i="1"/>
  <c r="BD254" i="1"/>
  <c r="BF254" i="1"/>
  <c r="BH254" i="1"/>
  <c r="AD254" i="1" s="1"/>
  <c r="BI254" i="1"/>
  <c r="AC254" i="1" s="1"/>
  <c r="BJ254" i="1"/>
  <c r="AH254" i="1" s="1"/>
  <c r="B2" i="2"/>
  <c r="E2" i="2"/>
  <c r="B4" i="2"/>
  <c r="E4" i="2"/>
  <c r="B6" i="2"/>
  <c r="E6" i="2"/>
  <c r="B8" i="2"/>
  <c r="E8" i="2"/>
  <c r="C2" i="3"/>
  <c r="F2" i="3"/>
  <c r="C4" i="3"/>
  <c r="F4" i="3"/>
  <c r="C6" i="3"/>
  <c r="F6" i="3"/>
  <c r="C8" i="3"/>
  <c r="F8" i="3"/>
  <c r="C10" i="3"/>
  <c r="F10" i="3"/>
  <c r="I10" i="3"/>
  <c r="C2" i="4"/>
  <c r="F2" i="4"/>
  <c r="C4" i="4"/>
  <c r="F4" i="4"/>
  <c r="C6" i="4"/>
  <c r="F6" i="4"/>
  <c r="C8" i="4"/>
  <c r="F8" i="4"/>
  <c r="C10" i="4"/>
  <c r="F10" i="4"/>
  <c r="I10" i="4"/>
  <c r="I15" i="4"/>
  <c r="F14" i="3" s="1"/>
  <c r="I16" i="4"/>
  <c r="F15" i="3" s="1"/>
  <c r="I17" i="4"/>
  <c r="F16" i="3" s="1"/>
  <c r="I21" i="4"/>
  <c r="I14" i="3" s="1"/>
  <c r="I22" i="4"/>
  <c r="I15" i="3" s="1"/>
  <c r="I23" i="4"/>
  <c r="I16" i="3" s="1"/>
  <c r="I24" i="4"/>
  <c r="I17" i="3" s="1"/>
  <c r="I25" i="4"/>
  <c r="I18" i="3" s="1"/>
  <c r="I26" i="4"/>
  <c r="I19" i="3" s="1"/>
  <c r="I35" i="4"/>
  <c r="I36" i="4" s="1"/>
  <c r="I24" i="3" s="1"/>
  <c r="BH239" i="1" l="1"/>
  <c r="AW239" i="1"/>
  <c r="H214" i="1"/>
  <c r="AW214" i="1"/>
  <c r="BH214" i="1"/>
  <c r="I210" i="1"/>
  <c r="AX210" i="1"/>
  <c r="BI210" i="1"/>
  <c r="BH206" i="1"/>
  <c r="I248" i="1"/>
  <c r="AX248" i="1"/>
  <c r="BI248" i="1"/>
  <c r="BC234" i="1"/>
  <c r="AV234" i="1"/>
  <c r="I232" i="1"/>
  <c r="AX232" i="1"/>
  <c r="BI232" i="1"/>
  <c r="AC232" i="1" s="1"/>
  <c r="H229" i="1"/>
  <c r="AW229" i="1"/>
  <c r="AV229" i="1" s="1"/>
  <c r="BH229" i="1"/>
  <c r="AB229" i="1" s="1"/>
  <c r="I222" i="1"/>
  <c r="AX222" i="1"/>
  <c r="AV222" i="1" s="1"/>
  <c r="BI222" i="1"/>
  <c r="BC219" i="1"/>
  <c r="H205" i="1"/>
  <c r="BH205" i="1"/>
  <c r="AD205" i="1" s="1"/>
  <c r="AW205" i="1"/>
  <c r="H195" i="1"/>
  <c r="AW195" i="1"/>
  <c r="BH195" i="1"/>
  <c r="AD195" i="1" s="1"/>
  <c r="H187" i="1"/>
  <c r="BH187" i="1"/>
  <c r="AD187" i="1" s="1"/>
  <c r="AW187" i="1"/>
  <c r="I184" i="1"/>
  <c r="BI184" i="1"/>
  <c r="AE184" i="1" s="1"/>
  <c r="AJ183" i="1"/>
  <c r="AS182" i="1" s="1"/>
  <c r="AL183" i="1"/>
  <c r="AU182" i="1" s="1"/>
  <c r="J182" i="1"/>
  <c r="AJ171" i="1"/>
  <c r="AS170" i="1" s="1"/>
  <c r="AL171" i="1"/>
  <c r="AU170" i="1" s="1"/>
  <c r="J170" i="1"/>
  <c r="AD160" i="1"/>
  <c r="AB160" i="1"/>
  <c r="H159" i="1"/>
  <c r="AW159" i="1"/>
  <c r="AW253" i="1"/>
  <c r="BC253" i="1" s="1"/>
  <c r="BH250" i="1"/>
  <c r="H248" i="1"/>
  <c r="AW248" i="1"/>
  <c r="BH248" i="1"/>
  <c r="AD248" i="1" s="1"/>
  <c r="AF245" i="1"/>
  <c r="AF234" i="1"/>
  <c r="AJ230" i="1"/>
  <c r="AL230" i="1"/>
  <c r="AF226" i="1"/>
  <c r="BH223" i="1"/>
  <c r="AW223" i="1"/>
  <c r="H223" i="1"/>
  <c r="H221" i="1"/>
  <c r="AW221" i="1"/>
  <c r="AV221" i="1" s="1"/>
  <c r="BH221" i="1"/>
  <c r="AB221" i="1" s="1"/>
  <c r="AG221" i="1"/>
  <c r="AG218" i="1"/>
  <c r="AT197" i="1"/>
  <c r="H196" i="1"/>
  <c r="BH196" i="1"/>
  <c r="AD196" i="1" s="1"/>
  <c r="AW196" i="1"/>
  <c r="AV186" i="1"/>
  <c r="AE162" i="1"/>
  <c r="AC162" i="1"/>
  <c r="AX129" i="1"/>
  <c r="I129" i="1"/>
  <c r="BI129" i="1"/>
  <c r="AE129" i="1" s="1"/>
  <c r="AE249" i="1"/>
  <c r="AG249" i="1"/>
  <c r="AE245" i="1"/>
  <c r="AG245" i="1"/>
  <c r="AE242" i="1"/>
  <c r="AG242" i="1"/>
  <c r="H239" i="1"/>
  <c r="H237" i="1"/>
  <c r="AW237" i="1"/>
  <c r="AV237" i="1" s="1"/>
  <c r="BH237" i="1"/>
  <c r="AB237" i="1" s="1"/>
  <c r="AD235" i="1"/>
  <c r="AB235" i="1"/>
  <c r="AE234" i="1"/>
  <c r="AG234" i="1"/>
  <c r="AV233" i="1"/>
  <c r="I230" i="1"/>
  <c r="AX230" i="1"/>
  <c r="BI230" i="1"/>
  <c r="AE229" i="1"/>
  <c r="AG229" i="1"/>
  <c r="AD227" i="1"/>
  <c r="AF227" i="1"/>
  <c r="AE226" i="1"/>
  <c r="AG226" i="1"/>
  <c r="AW220" i="1"/>
  <c r="BH220" i="1"/>
  <c r="AD220" i="1" s="1"/>
  <c r="AF215" i="1"/>
  <c r="H202" i="1"/>
  <c r="BH202" i="1"/>
  <c r="AD202" i="1" s="1"/>
  <c r="AW202" i="1"/>
  <c r="BH190" i="1"/>
  <c r="AD190" i="1" s="1"/>
  <c r="H190" i="1"/>
  <c r="AW190" i="1"/>
  <c r="AW180" i="1"/>
  <c r="AV180" i="1" s="1"/>
  <c r="BH180" i="1"/>
  <c r="AD180" i="1" s="1"/>
  <c r="H180" i="1"/>
  <c r="I13" i="1"/>
  <c r="I12" i="1" s="1"/>
  <c r="AX13" i="1"/>
  <c r="BI13" i="1"/>
  <c r="AE13" i="1" s="1"/>
  <c r="H253" i="1"/>
  <c r="AD249" i="1"/>
  <c r="AF249" i="1"/>
  <c r="BC249" i="1"/>
  <c r="BC245" i="1"/>
  <c r="AV245" i="1"/>
  <c r="AW242" i="1"/>
  <c r="BC242" i="1" s="1"/>
  <c r="BH242" i="1"/>
  <c r="H242" i="1"/>
  <c r="AK241" i="1"/>
  <c r="AL241" i="1"/>
  <c r="AJ238" i="1"/>
  <c r="AL238" i="1"/>
  <c r="AX233" i="1"/>
  <c r="BI233" i="1"/>
  <c r="BC226" i="1"/>
  <c r="AV226" i="1"/>
  <c r="AX225" i="1"/>
  <c r="AV225" i="1" s="1"/>
  <c r="BI225" i="1"/>
  <c r="I224" i="1"/>
  <c r="AX224" i="1"/>
  <c r="BI224" i="1"/>
  <c r="AC224" i="1" s="1"/>
  <c r="AD219" i="1"/>
  <c r="AF219" i="1"/>
  <c r="AT170" i="1"/>
  <c r="I160" i="1"/>
  <c r="BI160" i="1"/>
  <c r="AC160" i="1" s="1"/>
  <c r="BH159" i="1"/>
  <c r="AJ123" i="1"/>
  <c r="AL123" i="1"/>
  <c r="AL254" i="1"/>
  <c r="AU252" i="1" s="1"/>
  <c r="AV253" i="1"/>
  <c r="AS252" i="1"/>
  <c r="BI251" i="1"/>
  <c r="AE251" i="1" s="1"/>
  <c r="AX251" i="1"/>
  <c r="BC251" i="1" s="1"/>
  <c r="AX241" i="1"/>
  <c r="BI241" i="1"/>
  <c r="I240" i="1"/>
  <c r="AX240" i="1"/>
  <c r="BI240" i="1"/>
  <c r="AC240" i="1" s="1"/>
  <c r="I238" i="1"/>
  <c r="AX238" i="1"/>
  <c r="AV238" i="1" s="1"/>
  <c r="BI238" i="1"/>
  <c r="BI235" i="1"/>
  <c r="AE235" i="1" s="1"/>
  <c r="AK233" i="1"/>
  <c r="AL233" i="1"/>
  <c r="BH231" i="1"/>
  <c r="AW231" i="1"/>
  <c r="H231" i="1"/>
  <c r="BI227" i="1"/>
  <c r="AE227" i="1" s="1"/>
  <c r="AK225" i="1"/>
  <c r="AL225" i="1"/>
  <c r="AJ222" i="1"/>
  <c r="AL222" i="1"/>
  <c r="H215" i="1"/>
  <c r="I214" i="1"/>
  <c r="AX214" i="1"/>
  <c r="BI214" i="1"/>
  <c r="AX213" i="1"/>
  <c r="AG213" i="1"/>
  <c r="AC211" i="1"/>
  <c r="AD208" i="1"/>
  <c r="AF208" i="1"/>
  <c r="AW201" i="1"/>
  <c r="AV201" i="1" s="1"/>
  <c r="BH201" i="1"/>
  <c r="AD201" i="1" s="1"/>
  <c r="H201" i="1"/>
  <c r="H200" i="1" s="1"/>
  <c r="AX189" i="1"/>
  <c r="BI189" i="1"/>
  <c r="AE189" i="1" s="1"/>
  <c r="I189" i="1"/>
  <c r="H185" i="1"/>
  <c r="I158" i="1"/>
  <c r="AX158" i="1"/>
  <c r="AC158" i="1"/>
  <c r="AX133" i="1"/>
  <c r="BI133" i="1"/>
  <c r="AE133" i="1" s="1"/>
  <c r="I133" i="1"/>
  <c r="BH246" i="1"/>
  <c r="AX244" i="1"/>
  <c r="BI239" i="1"/>
  <c r="AE239" i="1" s="1"/>
  <c r="BI223" i="1"/>
  <c r="AE223" i="1" s="1"/>
  <c r="AF222" i="1"/>
  <c r="AX220" i="1"/>
  <c r="BC220" i="1" s="1"/>
  <c r="AB211" i="1"/>
  <c r="BH204" i="1"/>
  <c r="AD204" i="1" s="1"/>
  <c r="BI201" i="1"/>
  <c r="AE201" i="1" s="1"/>
  <c r="AL201" i="1"/>
  <c r="AU200" i="1" s="1"/>
  <c r="AS197" i="1"/>
  <c r="BI195" i="1"/>
  <c r="AE195" i="1" s="1"/>
  <c r="AX195" i="1"/>
  <c r="AT194" i="1"/>
  <c r="H188" i="1"/>
  <c r="BH186" i="1"/>
  <c r="AD186" i="1" s="1"/>
  <c r="AX183" i="1"/>
  <c r="AV183" i="1" s="1"/>
  <c r="BI183" i="1"/>
  <c r="AE183" i="1" s="1"/>
  <c r="I183" i="1"/>
  <c r="H181" i="1"/>
  <c r="BH181" i="1"/>
  <c r="AD181" i="1" s="1"/>
  <c r="AU179" i="1"/>
  <c r="AW177" i="1"/>
  <c r="AJ177" i="1"/>
  <c r="AS176" i="1" s="1"/>
  <c r="AL177" i="1"/>
  <c r="AU176" i="1" s="1"/>
  <c r="H175" i="1"/>
  <c r="BH175" i="1"/>
  <c r="AD175" i="1" s="1"/>
  <c r="AW175" i="1"/>
  <c r="BI172" i="1"/>
  <c r="AE172" i="1" s="1"/>
  <c r="AV171" i="1"/>
  <c r="BH167" i="1"/>
  <c r="H167" i="1"/>
  <c r="AW167" i="1"/>
  <c r="BC167" i="1" s="1"/>
  <c r="H164" i="1"/>
  <c r="AX150" i="1"/>
  <c r="I150" i="1"/>
  <c r="I149" i="1" s="1"/>
  <c r="AX148" i="1"/>
  <c r="I148" i="1"/>
  <c r="H147" i="1"/>
  <c r="BH147" i="1"/>
  <c r="AD147" i="1" s="1"/>
  <c r="BI138" i="1"/>
  <c r="AC138" i="1" s="1"/>
  <c r="H133" i="1"/>
  <c r="AW133" i="1"/>
  <c r="H114" i="1"/>
  <c r="AX106" i="1"/>
  <c r="BI106" i="1"/>
  <c r="AE106" i="1" s="1"/>
  <c r="I106" i="1"/>
  <c r="I104" i="1"/>
  <c r="AX104" i="1"/>
  <c r="BI104" i="1"/>
  <c r="AE104" i="1" s="1"/>
  <c r="AW102" i="1"/>
  <c r="BC102" i="1" s="1"/>
  <c r="BH102" i="1"/>
  <c r="AD102" i="1" s="1"/>
  <c r="H102" i="1"/>
  <c r="BH94" i="1"/>
  <c r="AD94" i="1" s="1"/>
  <c r="H94" i="1"/>
  <c r="AW94" i="1"/>
  <c r="I91" i="1"/>
  <c r="BI91" i="1"/>
  <c r="AC91" i="1" s="1"/>
  <c r="BH90" i="1"/>
  <c r="AD90" i="1" s="1"/>
  <c r="H90" i="1"/>
  <c r="AW90" i="1"/>
  <c r="AX89" i="1"/>
  <c r="I89" i="1"/>
  <c r="BH83" i="1"/>
  <c r="AD83" i="1" s="1"/>
  <c r="H83" i="1"/>
  <c r="AW83" i="1"/>
  <c r="AX82" i="1"/>
  <c r="I82" i="1"/>
  <c r="AX73" i="1"/>
  <c r="BI73" i="1"/>
  <c r="AE73" i="1" s="1"/>
  <c r="I73" i="1"/>
  <c r="I72" i="1"/>
  <c r="AX72" i="1"/>
  <c r="AW69" i="1"/>
  <c r="BC69" i="1" s="1"/>
  <c r="BH69" i="1"/>
  <c r="AD69" i="1" s="1"/>
  <c r="H69" i="1"/>
  <c r="I68" i="1"/>
  <c r="AX68" i="1"/>
  <c r="BI68" i="1"/>
  <c r="AE68" i="1" s="1"/>
  <c r="H51" i="1"/>
  <c r="BH51" i="1"/>
  <c r="AD51" i="1" s="1"/>
  <c r="AW51" i="1"/>
  <c r="I41" i="1"/>
  <c r="AX41" i="1"/>
  <c r="BI41" i="1"/>
  <c r="AW32" i="1"/>
  <c r="BH32" i="1"/>
  <c r="AD32" i="1" s="1"/>
  <c r="H32" i="1"/>
  <c r="AG244" i="1"/>
  <c r="BC238" i="1"/>
  <c r="BH230" i="1"/>
  <c r="AW230" i="1"/>
  <c r="BC222" i="1"/>
  <c r="BI202" i="1"/>
  <c r="AE202" i="1" s="1"/>
  <c r="AT200" i="1"/>
  <c r="J200" i="1"/>
  <c r="BI196" i="1"/>
  <c r="AE196" i="1" s="1"/>
  <c r="AJ195" i="1"/>
  <c r="AS194" i="1" s="1"/>
  <c r="AL195" i="1"/>
  <c r="AU194" i="1" s="1"/>
  <c r="BI190" i="1"/>
  <c r="AE190" i="1" s="1"/>
  <c r="AT188" i="1"/>
  <c r="H182" i="1"/>
  <c r="AL181" i="1"/>
  <c r="AT179" i="1"/>
  <c r="BH177" i="1"/>
  <c r="AD177" i="1" s="1"/>
  <c r="AX177" i="1"/>
  <c r="BI177" i="1"/>
  <c r="AE177" i="1" s="1"/>
  <c r="I177" i="1"/>
  <c r="AW174" i="1"/>
  <c r="AV174" i="1" s="1"/>
  <c r="BH174" i="1"/>
  <c r="AD174" i="1" s="1"/>
  <c r="AD172" i="1"/>
  <c r="AB172" i="1"/>
  <c r="AX171" i="1"/>
  <c r="BI171" i="1"/>
  <c r="I171" i="1"/>
  <c r="I170" i="1" s="1"/>
  <c r="AE166" i="1"/>
  <c r="AC166" i="1"/>
  <c r="BI156" i="1"/>
  <c r="AC156" i="1" s="1"/>
  <c r="AX155" i="1"/>
  <c r="BI155" i="1"/>
  <c r="I155" i="1"/>
  <c r="BI140" i="1"/>
  <c r="AE140" i="1" s="1"/>
  <c r="AX140" i="1"/>
  <c r="AX137" i="1"/>
  <c r="BI137" i="1"/>
  <c r="AE137" i="1" s="1"/>
  <c r="I137" i="1"/>
  <c r="H120" i="1"/>
  <c r="BH120" i="1"/>
  <c r="AD120" i="1" s="1"/>
  <c r="AW120" i="1"/>
  <c r="AV120" i="1" s="1"/>
  <c r="I115" i="1"/>
  <c r="AX115" i="1"/>
  <c r="BC115" i="1" s="1"/>
  <c r="H103" i="1"/>
  <c r="BH103" i="1"/>
  <c r="AD103" i="1" s="1"/>
  <c r="AW103" i="1"/>
  <c r="BH99" i="1"/>
  <c r="AD99" i="1" s="1"/>
  <c r="AW99" i="1"/>
  <c r="AX86" i="1"/>
  <c r="BI86" i="1"/>
  <c r="AE86" i="1" s="1"/>
  <c r="I86" i="1"/>
  <c r="AX79" i="1"/>
  <c r="BI79" i="1"/>
  <c r="AE79" i="1" s="1"/>
  <c r="I79" i="1"/>
  <c r="BI72" i="1"/>
  <c r="AE72" i="1" s="1"/>
  <c r="H70" i="1"/>
  <c r="BH70" i="1"/>
  <c r="AD70" i="1" s="1"/>
  <c r="AW70" i="1"/>
  <c r="I60" i="1"/>
  <c r="BI60" i="1"/>
  <c r="AC60" i="1" s="1"/>
  <c r="AJ59" i="1"/>
  <c r="AL59" i="1"/>
  <c r="AX38" i="1"/>
  <c r="BI38" i="1"/>
  <c r="AE38" i="1" s="1"/>
  <c r="I38" i="1"/>
  <c r="AS200" i="1"/>
  <c r="AU197" i="1"/>
  <c r="H197" i="1"/>
  <c r="H193" i="1"/>
  <c r="H191" i="1" s="1"/>
  <c r="BH193" i="1"/>
  <c r="AD193" i="1" s="1"/>
  <c r="AU191" i="1"/>
  <c r="AV189" i="1"/>
  <c r="AJ189" i="1"/>
  <c r="AS188" i="1" s="1"/>
  <c r="AL189" i="1"/>
  <c r="AU188" i="1" s="1"/>
  <c r="H176" i="1"/>
  <c r="J176" i="1"/>
  <c r="H173" i="1"/>
  <c r="H170" i="1"/>
  <c r="H169" i="1"/>
  <c r="H168" i="1" s="1"/>
  <c r="BH169" i="1"/>
  <c r="AW169" i="1"/>
  <c r="BH163" i="1"/>
  <c r="H163" i="1"/>
  <c r="AW163" i="1"/>
  <c r="BC163" i="1" s="1"/>
  <c r="AX159" i="1"/>
  <c r="BI159" i="1"/>
  <c r="I159" i="1"/>
  <c r="AD156" i="1"/>
  <c r="AB156" i="1"/>
  <c r="H155" i="1"/>
  <c r="AW155" i="1"/>
  <c r="AE154" i="1"/>
  <c r="AC154" i="1"/>
  <c r="BH151" i="1"/>
  <c r="AD151" i="1" s="1"/>
  <c r="H151" i="1"/>
  <c r="AW151" i="1"/>
  <c r="H145" i="1"/>
  <c r="H144" i="1" s="1"/>
  <c r="BH145" i="1"/>
  <c r="AD145" i="1" s="1"/>
  <c r="AW145" i="1"/>
  <c r="H137" i="1"/>
  <c r="AW137" i="1"/>
  <c r="BC137" i="1" s="1"/>
  <c r="H128" i="1"/>
  <c r="BH128" i="1"/>
  <c r="AD128" i="1" s="1"/>
  <c r="H119" i="1"/>
  <c r="AW119" i="1"/>
  <c r="BC119" i="1" s="1"/>
  <c r="BH119" i="1"/>
  <c r="AF119" i="1" s="1"/>
  <c r="AL118" i="1"/>
  <c r="AX113" i="1"/>
  <c r="I113" i="1"/>
  <c r="BI113" i="1"/>
  <c r="AE113" i="1" s="1"/>
  <c r="AT173" i="1"/>
  <c r="AC167" i="1"/>
  <c r="AC163" i="1"/>
  <c r="BH130" i="1"/>
  <c r="AD130" i="1" s="1"/>
  <c r="BI128" i="1"/>
  <c r="AE128" i="1" s="1"/>
  <c r="H125" i="1"/>
  <c r="AX118" i="1"/>
  <c r="BI117" i="1"/>
  <c r="AE117" i="1" s="1"/>
  <c r="AX117" i="1"/>
  <c r="AV117" i="1" s="1"/>
  <c r="BH116" i="1"/>
  <c r="AB116" i="1" s="1"/>
  <c r="AJ113" i="1"/>
  <c r="AL113" i="1"/>
  <c r="BC109" i="1"/>
  <c r="AV109" i="1"/>
  <c r="AX59" i="1"/>
  <c r="BI59" i="1"/>
  <c r="AE59" i="1" s="1"/>
  <c r="I59" i="1"/>
  <c r="H47" i="1"/>
  <c r="BH47" i="1"/>
  <c r="AD47" i="1" s="1"/>
  <c r="AW47" i="1"/>
  <c r="I46" i="1"/>
  <c r="AX46" i="1"/>
  <c r="AV46" i="1" s="1"/>
  <c r="BI46" i="1"/>
  <c r="AE46" i="1" s="1"/>
  <c r="H34" i="1"/>
  <c r="AW34" i="1"/>
  <c r="BH34" i="1"/>
  <c r="I21" i="1"/>
  <c r="I20" i="1" s="1"/>
  <c r="AX21" i="1"/>
  <c r="BI21" i="1"/>
  <c r="H15" i="1"/>
  <c r="BH15" i="1"/>
  <c r="AB15" i="1" s="1"/>
  <c r="AW15" i="1"/>
  <c r="AS191" i="1"/>
  <c r="AS185" i="1"/>
  <c r="AS179" i="1"/>
  <c r="AS173" i="1"/>
  <c r="BC120" i="1"/>
  <c r="BC113" i="1"/>
  <c r="AX108" i="1"/>
  <c r="BI108" i="1"/>
  <c r="AE108" i="1" s="1"/>
  <c r="AJ106" i="1"/>
  <c r="AL106" i="1"/>
  <c r="AJ73" i="1"/>
  <c r="AL73" i="1"/>
  <c r="AW66" i="1"/>
  <c r="BH66" i="1"/>
  <c r="AD66" i="1" s="1"/>
  <c r="H66" i="1"/>
  <c r="H65" i="1" s="1"/>
  <c r="AX28" i="1"/>
  <c r="BI28" i="1"/>
  <c r="AE28" i="1" s="1"/>
  <c r="I28" i="1"/>
  <c r="BH26" i="1"/>
  <c r="AD26" i="1" s="1"/>
  <c r="AW26" i="1"/>
  <c r="H24" i="1"/>
  <c r="AW24" i="1"/>
  <c r="BH24" i="1"/>
  <c r="AD24" i="1" s="1"/>
  <c r="AJ21" i="1"/>
  <c r="AS20" i="1" s="1"/>
  <c r="J20" i="1"/>
  <c r="AL21" i="1"/>
  <c r="AU20" i="1" s="1"/>
  <c r="BH105" i="1"/>
  <c r="AD105" i="1" s="1"/>
  <c r="AW105" i="1"/>
  <c r="BI102" i="1"/>
  <c r="AE102" i="1" s="1"/>
  <c r="AL102" i="1"/>
  <c r="I94" i="1"/>
  <c r="I90" i="1"/>
  <c r="H87" i="1"/>
  <c r="I83" i="1"/>
  <c r="H80" i="1"/>
  <c r="BI69" i="1"/>
  <c r="AE69" i="1" s="1"/>
  <c r="AL69" i="1"/>
  <c r="BI66" i="1"/>
  <c r="AE66" i="1" s="1"/>
  <c r="AL66" i="1"/>
  <c r="AU65" i="1" s="1"/>
  <c r="AW64" i="1"/>
  <c r="BH63" i="1"/>
  <c r="AD63" i="1" s="1"/>
  <c r="BI56" i="1"/>
  <c r="AC56" i="1" s="1"/>
  <c r="AW56" i="1"/>
  <c r="BH55" i="1"/>
  <c r="AD55" i="1" s="1"/>
  <c r="AW55" i="1"/>
  <c r="BH54" i="1"/>
  <c r="AD54" i="1" s="1"/>
  <c r="I53" i="1"/>
  <c r="AW50" i="1"/>
  <c r="H50" i="1"/>
  <c r="BH42" i="1"/>
  <c r="AW42" i="1"/>
  <c r="BH36" i="1"/>
  <c r="AD36" i="1" s="1"/>
  <c r="BI34" i="1"/>
  <c r="AE34" i="1" s="1"/>
  <c r="AX34" i="1"/>
  <c r="BI32" i="1"/>
  <c r="AE32" i="1" s="1"/>
  <c r="AL32" i="1"/>
  <c r="BI24" i="1"/>
  <c r="AE24" i="1" s="1"/>
  <c r="AX24" i="1"/>
  <c r="AL24" i="1"/>
  <c r="BH18" i="1"/>
  <c r="J14" i="1"/>
  <c r="AX101" i="1"/>
  <c r="BI94" i="1"/>
  <c r="AE94" i="1" s="1"/>
  <c r="BI90" i="1"/>
  <c r="AE90" i="1" s="1"/>
  <c r="BI83" i="1"/>
  <c r="AE83" i="1" s="1"/>
  <c r="I77" i="1"/>
  <c r="BH64" i="1"/>
  <c r="AD64" i="1" s="1"/>
  <c r="BI62" i="1"/>
  <c r="AE62" i="1" s="1"/>
  <c r="AX62" i="1"/>
  <c r="BH56" i="1"/>
  <c r="AD56" i="1" s="1"/>
  <c r="BC46" i="1"/>
  <c r="H40" i="1"/>
  <c r="BC21" i="1"/>
  <c r="BC106" i="1"/>
  <c r="J65" i="1"/>
  <c r="BH25" i="1"/>
  <c r="AD25" i="1" s="1"/>
  <c r="AW25" i="1"/>
  <c r="AV21" i="1"/>
  <c r="AB21" i="1"/>
  <c r="F22" i="3"/>
  <c r="I22" i="3"/>
  <c r="I18" i="4"/>
  <c r="AE254" i="1"/>
  <c r="Z254" i="1"/>
  <c r="I253" i="1"/>
  <c r="I252" i="1" s="1"/>
  <c r="AK248" i="1"/>
  <c r="AJ248" i="1"/>
  <c r="AB247" i="1"/>
  <c r="AF247" i="1"/>
  <c r="AL247" i="1"/>
  <c r="AK247" i="1"/>
  <c r="Z245" i="1"/>
  <c r="AH245" i="1"/>
  <c r="AV241" i="1"/>
  <c r="BC241" i="1"/>
  <c r="AV220" i="1"/>
  <c r="I27" i="4"/>
  <c r="AX254" i="1"/>
  <c r="BI253" i="1"/>
  <c r="AB253" i="1"/>
  <c r="H252" i="1"/>
  <c r="AJ251" i="1"/>
  <c r="AD251" i="1"/>
  <c r="H251" i="1"/>
  <c r="AE250" i="1"/>
  <c r="AV249" i="1"/>
  <c r="AX246" i="1"/>
  <c r="I246" i="1"/>
  <c r="Z246" i="1"/>
  <c r="BH244" i="1"/>
  <c r="AW244" i="1"/>
  <c r="BC240" i="1"/>
  <c r="AV240" i="1"/>
  <c r="BC235" i="1"/>
  <c r="AV235" i="1"/>
  <c r="BC232" i="1"/>
  <c r="AV232" i="1"/>
  <c r="BC227" i="1"/>
  <c r="AV227" i="1"/>
  <c r="BC224" i="1"/>
  <c r="AV224" i="1"/>
  <c r="AG254" i="1"/>
  <c r="AF253" i="1"/>
  <c r="Z253" i="1"/>
  <c r="AH251" i="1"/>
  <c r="AB251" i="1"/>
  <c r="AX250" i="1"/>
  <c r="AV250" i="1" s="1"/>
  <c r="I250" i="1"/>
  <c r="Z249" i="1"/>
  <c r="AH249" i="1"/>
  <c r="AL248" i="1"/>
  <c r="AW247" i="1"/>
  <c r="H247" i="1"/>
  <c r="H243" i="1" s="1"/>
  <c r="AD247" i="1"/>
  <c r="AC246" i="1"/>
  <c r="AG246" i="1"/>
  <c r="J243" i="1"/>
  <c r="AK244" i="1"/>
  <c r="AT243" i="1" s="1"/>
  <c r="AJ244" i="1"/>
  <c r="AV242" i="1"/>
  <c r="AT252" i="1"/>
  <c r="AC251" i="1"/>
  <c r="AG251" i="1"/>
  <c r="AG250" i="1"/>
  <c r="Z250" i="1"/>
  <c r="AB248" i="1"/>
  <c r="AF248" i="1"/>
  <c r="AV248" i="1"/>
  <c r="BC248" i="1"/>
  <c r="AC247" i="1"/>
  <c r="AG247" i="1"/>
  <c r="AE246" i="1"/>
  <c r="I243" i="1"/>
  <c r="Z242" i="1"/>
  <c r="AH242" i="1"/>
  <c r="BC239" i="1"/>
  <c r="AV239" i="1"/>
  <c r="BC236" i="1"/>
  <c r="AV236" i="1"/>
  <c r="BC231" i="1"/>
  <c r="AV231" i="1"/>
  <c r="BC228" i="1"/>
  <c r="AV228" i="1"/>
  <c r="BC223" i="1"/>
  <c r="AV223" i="1"/>
  <c r="AJ241" i="1"/>
  <c r="AK240" i="1"/>
  <c r="AF240" i="1"/>
  <c r="AB240" i="1"/>
  <c r="H240" i="1"/>
  <c r="AG239" i="1"/>
  <c r="AC239" i="1"/>
  <c r="I239" i="1"/>
  <c r="AH238" i="1"/>
  <c r="BC237" i="1"/>
  <c r="AJ237" i="1"/>
  <c r="AK236" i="1"/>
  <c r="AF236" i="1"/>
  <c r="AB236" i="1"/>
  <c r="H236" i="1"/>
  <c r="AG235" i="1"/>
  <c r="AC235" i="1"/>
  <c r="I235" i="1"/>
  <c r="AH234" i="1"/>
  <c r="BC233" i="1"/>
  <c r="AJ233" i="1"/>
  <c r="AK232" i="1"/>
  <c r="AF232" i="1"/>
  <c r="AB232" i="1"/>
  <c r="H232" i="1"/>
  <c r="AG231" i="1"/>
  <c r="AC231" i="1"/>
  <c r="I231" i="1"/>
  <c r="AH230" i="1"/>
  <c r="BC229" i="1"/>
  <c r="AJ229" i="1"/>
  <c r="AK228" i="1"/>
  <c r="AF228" i="1"/>
  <c r="AB228" i="1"/>
  <c r="H228" i="1"/>
  <c r="AG227" i="1"/>
  <c r="AC227" i="1"/>
  <c r="I227" i="1"/>
  <c r="AH226" i="1"/>
  <c r="BC225" i="1"/>
  <c r="AJ225" i="1"/>
  <c r="AK224" i="1"/>
  <c r="AF224" i="1"/>
  <c r="AB224" i="1"/>
  <c r="H224" i="1"/>
  <c r="AG223" i="1"/>
  <c r="AC223" i="1"/>
  <c r="I223" i="1"/>
  <c r="AH222" i="1"/>
  <c r="BC221" i="1"/>
  <c r="AK220" i="1"/>
  <c r="AF220" i="1"/>
  <c r="AB220" i="1"/>
  <c r="H220" i="1"/>
  <c r="AG219" i="1"/>
  <c r="AC219" i="1"/>
  <c r="I219" i="1"/>
  <c r="AB218" i="1"/>
  <c r="H216" i="1"/>
  <c r="AW216" i="1"/>
  <c r="AC215" i="1"/>
  <c r="AG215" i="1"/>
  <c r="BH213" i="1"/>
  <c r="AW213" i="1"/>
  <c r="AJ213" i="1"/>
  <c r="J212" i="1"/>
  <c r="AK213" i="1"/>
  <c r="H209" i="1"/>
  <c r="AW209" i="1"/>
  <c r="AC208" i="1"/>
  <c r="AG208" i="1"/>
  <c r="AV204" i="1"/>
  <c r="BC204" i="1"/>
  <c r="AC161" i="1"/>
  <c r="AG161" i="1"/>
  <c r="AE161" i="1"/>
  <c r="AB150" i="1"/>
  <c r="AF150" i="1"/>
  <c r="AD150" i="1"/>
  <c r="AD241" i="1"/>
  <c r="AJ240" i="1"/>
  <c r="AE240" i="1"/>
  <c r="AD237" i="1"/>
  <c r="AJ236" i="1"/>
  <c r="AE236" i="1"/>
  <c r="AD233" i="1"/>
  <c r="AJ232" i="1"/>
  <c r="AE232" i="1"/>
  <c r="AD229" i="1"/>
  <c r="AJ228" i="1"/>
  <c r="AE228" i="1"/>
  <c r="AD225" i="1"/>
  <c r="AJ224" i="1"/>
  <c r="AE224" i="1"/>
  <c r="AD221" i="1"/>
  <c r="AJ220" i="1"/>
  <c r="AE220" i="1"/>
  <c r="AW218" i="1"/>
  <c r="BI217" i="1"/>
  <c r="AC216" i="1"/>
  <c r="AG216" i="1"/>
  <c r="AE215" i="1"/>
  <c r="AV214" i="1"/>
  <c r="AH211" i="1"/>
  <c r="Z211" i="1"/>
  <c r="AC209" i="1"/>
  <c r="AG209" i="1"/>
  <c r="AE208" i="1"/>
  <c r="H207" i="1"/>
  <c r="Z202" i="1"/>
  <c r="AH202" i="1"/>
  <c r="I200" i="1"/>
  <c r="I194" i="1"/>
  <c r="I188" i="1"/>
  <c r="I182" i="1"/>
  <c r="I176" i="1"/>
  <c r="AB158" i="1"/>
  <c r="AF158" i="1"/>
  <c r="AD158" i="1"/>
  <c r="AB217" i="1"/>
  <c r="AF217" i="1"/>
  <c r="AB216" i="1"/>
  <c r="AF216" i="1"/>
  <c r="AK216" i="1"/>
  <c r="AL216" i="1"/>
  <c r="AH214" i="1"/>
  <c r="Z214" i="1"/>
  <c r="AB210" i="1"/>
  <c r="AF210" i="1"/>
  <c r="BC210" i="1"/>
  <c r="AV210" i="1"/>
  <c r="AJ210" i="1"/>
  <c r="AK210" i="1"/>
  <c r="AB209" i="1"/>
  <c r="AF209" i="1"/>
  <c r="AK209" i="1"/>
  <c r="AT207" i="1" s="1"/>
  <c r="AL209" i="1"/>
  <c r="AU207" i="1" s="1"/>
  <c r="AC206" i="1"/>
  <c r="AG206" i="1"/>
  <c r="Z205" i="1"/>
  <c r="AH205" i="1"/>
  <c r="AC164" i="1"/>
  <c r="AG164" i="1"/>
  <c r="AE164" i="1"/>
  <c r="AF241" i="1"/>
  <c r="AG240" i="1"/>
  <c r="AF237" i="1"/>
  <c r="AG236" i="1"/>
  <c r="AF233" i="1"/>
  <c r="AG232" i="1"/>
  <c r="AF229" i="1"/>
  <c r="AG228" i="1"/>
  <c r="AF225" i="1"/>
  <c r="AG224" i="1"/>
  <c r="AF221" i="1"/>
  <c r="AG220" i="1"/>
  <c r="AH218" i="1"/>
  <c r="AC218" i="1"/>
  <c r="AW217" i="1"/>
  <c r="AJ217" i="1"/>
  <c r="AD217" i="1"/>
  <c r="AE216" i="1"/>
  <c r="I215" i="1"/>
  <c r="AX215" i="1"/>
  <c r="Z215" i="1"/>
  <c r="AL213" i="1"/>
  <c r="AV211" i="1"/>
  <c r="AE209" i="1"/>
  <c r="I208" i="1"/>
  <c r="I207" i="1" s="1"/>
  <c r="AX208" i="1"/>
  <c r="AS207" i="1"/>
  <c r="Z208" i="1"/>
  <c r="J207" i="1"/>
  <c r="AD206" i="1"/>
  <c r="AB206" i="1"/>
  <c r="AF206" i="1"/>
  <c r="AX206" i="1"/>
  <c r="I206" i="1"/>
  <c r="I203" i="1" s="1"/>
  <c r="AE206" i="1"/>
  <c r="H203" i="1"/>
  <c r="I197" i="1"/>
  <c r="I191" i="1"/>
  <c r="I185" i="1"/>
  <c r="I179" i="1"/>
  <c r="I173" i="1"/>
  <c r="AW206" i="1"/>
  <c r="AL206" i="1"/>
  <c r="AU203" i="1" s="1"/>
  <c r="AX205" i="1"/>
  <c r="Z204" i="1"/>
  <c r="AX202" i="1"/>
  <c r="BC201" i="1"/>
  <c r="Z201" i="1"/>
  <c r="AX199" i="1"/>
  <c r="AH199" i="1"/>
  <c r="BC198" i="1"/>
  <c r="Z198" i="1"/>
  <c r="AX196" i="1"/>
  <c r="AH196" i="1"/>
  <c r="BC195" i="1"/>
  <c r="Z195" i="1"/>
  <c r="AX193" i="1"/>
  <c r="AH193" i="1"/>
  <c r="BC192" i="1"/>
  <c r="Z192" i="1"/>
  <c r="AX190" i="1"/>
  <c r="AH190" i="1"/>
  <c r="BC189" i="1"/>
  <c r="Z189" i="1"/>
  <c r="AX187" i="1"/>
  <c r="AH187" i="1"/>
  <c r="BC186" i="1"/>
  <c r="Z186" i="1"/>
  <c r="AX184" i="1"/>
  <c r="AH184" i="1"/>
  <c r="BC183" i="1"/>
  <c r="Z183" i="1"/>
  <c r="AX181" i="1"/>
  <c r="AH181" i="1"/>
  <c r="BC180" i="1"/>
  <c r="Z180" i="1"/>
  <c r="AX178" i="1"/>
  <c r="AH178" i="1"/>
  <c r="BC177" i="1"/>
  <c r="Z177" i="1"/>
  <c r="AX175" i="1"/>
  <c r="AH175" i="1"/>
  <c r="BC174" i="1"/>
  <c r="Z174" i="1"/>
  <c r="AX172" i="1"/>
  <c r="AH172" i="1"/>
  <c r="BC171" i="1"/>
  <c r="Z171" i="1"/>
  <c r="AB169" i="1"/>
  <c r="AF169" i="1"/>
  <c r="AX169" i="1"/>
  <c r="AG169" i="1"/>
  <c r="J168" i="1"/>
  <c r="AK169" i="1"/>
  <c r="AT168" i="1" s="1"/>
  <c r="H165" i="1"/>
  <c r="AW165" i="1"/>
  <c r="AJ154" i="1"/>
  <c r="J153" i="1"/>
  <c r="AK154" i="1"/>
  <c r="AL154" i="1"/>
  <c r="AK206" i="1"/>
  <c r="AT203" i="1" s="1"/>
  <c r="AG205" i="1"/>
  <c r="AC205" i="1"/>
  <c r="AG202" i="1"/>
  <c r="AC202" i="1"/>
  <c r="AG199" i="1"/>
  <c r="AC199" i="1"/>
  <c r="AG196" i="1"/>
  <c r="AC196" i="1"/>
  <c r="AG193" i="1"/>
  <c r="AC193" i="1"/>
  <c r="AG190" i="1"/>
  <c r="AC190" i="1"/>
  <c r="AG187" i="1"/>
  <c r="AC187" i="1"/>
  <c r="AG184" i="1"/>
  <c r="AC184" i="1"/>
  <c r="AG181" i="1"/>
  <c r="AC181" i="1"/>
  <c r="AG178" i="1"/>
  <c r="AC178" i="1"/>
  <c r="AG175" i="1"/>
  <c r="AC175" i="1"/>
  <c r="AG172" i="1"/>
  <c r="AC172" i="1"/>
  <c r="AE169" i="1"/>
  <c r="AH167" i="1"/>
  <c r="Z167" i="1"/>
  <c r="BI165" i="1"/>
  <c r="AH163" i="1"/>
  <c r="Z163" i="1"/>
  <c r="AH160" i="1"/>
  <c r="Z160" i="1"/>
  <c r="BC151" i="1"/>
  <c r="AV151" i="1"/>
  <c r="H150" i="1"/>
  <c r="H149" i="1" s="1"/>
  <c r="AW150" i="1"/>
  <c r="AB166" i="1"/>
  <c r="AF166" i="1"/>
  <c r="BC166" i="1"/>
  <c r="AV166" i="1"/>
  <c r="AJ166" i="1"/>
  <c r="AK166" i="1"/>
  <c r="AB165" i="1"/>
  <c r="AF165" i="1"/>
  <c r="AK165" i="1"/>
  <c r="AL165" i="1"/>
  <c r="I164" i="1"/>
  <c r="AX164" i="1"/>
  <c r="AV164" i="1" s="1"/>
  <c r="AB162" i="1"/>
  <c r="AF162" i="1"/>
  <c r="BC162" i="1"/>
  <c r="AV162" i="1"/>
  <c r="AJ162" i="1"/>
  <c r="AK162" i="1"/>
  <c r="I161" i="1"/>
  <c r="AX161" i="1"/>
  <c r="BC159" i="1"/>
  <c r="AV159" i="1"/>
  <c r="H158" i="1"/>
  <c r="AW158" i="1"/>
  <c r="AC157" i="1"/>
  <c r="AG157" i="1"/>
  <c r="AH156" i="1"/>
  <c r="Z156" i="1"/>
  <c r="AB154" i="1"/>
  <c r="AF154" i="1"/>
  <c r="AD154" i="1"/>
  <c r="AJ150" i="1"/>
  <c r="AS149" i="1" s="1"/>
  <c r="J149" i="1"/>
  <c r="AK150" i="1"/>
  <c r="AT149" i="1" s="1"/>
  <c r="AL150" i="1"/>
  <c r="AU149" i="1" s="1"/>
  <c r="I144" i="1"/>
  <c r="AH169" i="1"/>
  <c r="AV167" i="1"/>
  <c r="AV163" i="1"/>
  <c r="AJ158" i="1"/>
  <c r="AK158" i="1"/>
  <c r="AL158" i="1"/>
  <c r="I157" i="1"/>
  <c r="I153" i="1" s="1"/>
  <c r="AX157" i="1"/>
  <c r="AE157" i="1"/>
  <c r="BC155" i="1"/>
  <c r="AV155" i="1"/>
  <c r="H154" i="1"/>
  <c r="AW154" i="1"/>
  <c r="BC148" i="1"/>
  <c r="AV148" i="1"/>
  <c r="BC129" i="1"/>
  <c r="AD161" i="1"/>
  <c r="AE160" i="1"/>
  <c r="AD157" i="1"/>
  <c r="AE156" i="1"/>
  <c r="AW147" i="1"/>
  <c r="AL147" i="1"/>
  <c r="AX146" i="1"/>
  <c r="AD146" i="1"/>
  <c r="AE145" i="1"/>
  <c r="Z145" i="1"/>
  <c r="AX142" i="1"/>
  <c r="AD142" i="1"/>
  <c r="AW140" i="1"/>
  <c r="AL140" i="1"/>
  <c r="AX139" i="1"/>
  <c r="AD139" i="1"/>
  <c r="AE138" i="1"/>
  <c r="Z138" i="1"/>
  <c r="AV137" i="1"/>
  <c r="AW136" i="1"/>
  <c r="AL136" i="1"/>
  <c r="AX135" i="1"/>
  <c r="AD135" i="1"/>
  <c r="AE134" i="1"/>
  <c r="Z134" i="1"/>
  <c r="AV133" i="1"/>
  <c r="AW132" i="1"/>
  <c r="AL132" i="1"/>
  <c r="AX131" i="1"/>
  <c r="AD131" i="1"/>
  <c r="AE130" i="1"/>
  <c r="Z130" i="1"/>
  <c r="AV129" i="1"/>
  <c r="AW128" i="1"/>
  <c r="AL128" i="1"/>
  <c r="AX127" i="1"/>
  <c r="AD127" i="1"/>
  <c r="AE126" i="1"/>
  <c r="Z126" i="1"/>
  <c r="AH125" i="1"/>
  <c r="I124" i="1"/>
  <c r="BH123" i="1"/>
  <c r="AW123" i="1"/>
  <c r="BI122" i="1"/>
  <c r="BI121" i="1"/>
  <c r="Z121" i="1"/>
  <c r="BI120" i="1"/>
  <c r="AV119" i="1"/>
  <c r="AK119" i="1"/>
  <c r="AD119" i="1"/>
  <c r="BH118" i="1"/>
  <c r="AE118" i="1"/>
  <c r="BH117" i="1"/>
  <c r="AF115" i="1"/>
  <c r="AB115" i="1"/>
  <c r="AD115" i="1"/>
  <c r="AL115" i="1"/>
  <c r="AJ115" i="1"/>
  <c r="AH110" i="1"/>
  <c r="Z110" i="1"/>
  <c r="AB100" i="1"/>
  <c r="AF100" i="1"/>
  <c r="AD100" i="1"/>
  <c r="AC92" i="1"/>
  <c r="AG92" i="1"/>
  <c r="AE92" i="1"/>
  <c r="AW161" i="1"/>
  <c r="AL161" i="1"/>
  <c r="AX160" i="1"/>
  <c r="Z159" i="1"/>
  <c r="AW157" i="1"/>
  <c r="AL157" i="1"/>
  <c r="AX156" i="1"/>
  <c r="Z155" i="1"/>
  <c r="Z151" i="1"/>
  <c r="Z148" i="1"/>
  <c r="AK147" i="1"/>
  <c r="AT144" i="1" s="1"/>
  <c r="AF147" i="1"/>
  <c r="AB147" i="1"/>
  <c r="AW146" i="1"/>
  <c r="AL146" i="1"/>
  <c r="AG146" i="1"/>
  <c r="AC146" i="1"/>
  <c r="AX145" i="1"/>
  <c r="AW142" i="1"/>
  <c r="AL142" i="1"/>
  <c r="AU141" i="1" s="1"/>
  <c r="AG142" i="1"/>
  <c r="AC142" i="1"/>
  <c r="AK140" i="1"/>
  <c r="AF140" i="1"/>
  <c r="AB140" i="1"/>
  <c r="AW139" i="1"/>
  <c r="AL139" i="1"/>
  <c r="AG139" i="1"/>
  <c r="AC139" i="1"/>
  <c r="AX138" i="1"/>
  <c r="Z137" i="1"/>
  <c r="AK136" i="1"/>
  <c r="AF136" i="1"/>
  <c r="AB136" i="1"/>
  <c r="AW135" i="1"/>
  <c r="AL135" i="1"/>
  <c r="AG135" i="1"/>
  <c r="AC135" i="1"/>
  <c r="AX134" i="1"/>
  <c r="AV134" i="1" s="1"/>
  <c r="Z133" i="1"/>
  <c r="AK132" i="1"/>
  <c r="AF132" i="1"/>
  <c r="AB132" i="1"/>
  <c r="AW131" i="1"/>
  <c r="AL131" i="1"/>
  <c r="AG131" i="1"/>
  <c r="AC131" i="1"/>
  <c r="AX130" i="1"/>
  <c r="Z129" i="1"/>
  <c r="AK128" i="1"/>
  <c r="AF128" i="1"/>
  <c r="AB128" i="1"/>
  <c r="AW127" i="1"/>
  <c r="AL127" i="1"/>
  <c r="AG127" i="1"/>
  <c r="AC127" i="1"/>
  <c r="AX126" i="1"/>
  <c r="AV126" i="1" s="1"/>
  <c r="BI125" i="1"/>
  <c r="BI124" i="1"/>
  <c r="AK123" i="1"/>
  <c r="BH122" i="1"/>
  <c r="AX122" i="1"/>
  <c r="BH121" i="1"/>
  <c r="AX121" i="1"/>
  <c r="BC121" i="1" s="1"/>
  <c r="Z120" i="1"/>
  <c r="AH119" i="1"/>
  <c r="AW118" i="1"/>
  <c r="AJ118" i="1"/>
  <c r="AJ117" i="1"/>
  <c r="H117" i="1"/>
  <c r="I116" i="1"/>
  <c r="AX116" i="1"/>
  <c r="BC116" i="1" s="1"/>
  <c r="AV115" i="1"/>
  <c r="BC114" i="1"/>
  <c r="AV114" i="1"/>
  <c r="I111" i="1"/>
  <c r="AX111" i="1"/>
  <c r="BI111" i="1"/>
  <c r="AC110" i="1"/>
  <c r="AG110" i="1"/>
  <c r="AE110" i="1"/>
  <c r="AC96" i="1"/>
  <c r="AG96" i="1"/>
  <c r="AE96" i="1"/>
  <c r="AB89" i="1"/>
  <c r="AF89" i="1"/>
  <c r="AD89" i="1"/>
  <c r="AB82" i="1"/>
  <c r="AF82" i="1"/>
  <c r="AD82" i="1"/>
  <c r="AF161" i="1"/>
  <c r="AG160" i="1"/>
  <c r="AF157" i="1"/>
  <c r="AG156" i="1"/>
  <c r="AJ147" i="1"/>
  <c r="AS144" i="1" s="1"/>
  <c r="AF146" i="1"/>
  <c r="AG145" i="1"/>
  <c r="AK142" i="1"/>
  <c r="AT141" i="1" s="1"/>
  <c r="AF142" i="1"/>
  <c r="AF139" i="1"/>
  <c r="AG138" i="1"/>
  <c r="AF135" i="1"/>
  <c r="AG134" i="1"/>
  <c r="AF131" i="1"/>
  <c r="AG130" i="1"/>
  <c r="AF127" i="1"/>
  <c r="AG126" i="1"/>
  <c r="BH125" i="1"/>
  <c r="AX125" i="1"/>
  <c r="Z124" i="1"/>
  <c r="AH123" i="1"/>
  <c r="AW122" i="1"/>
  <c r="AJ122" i="1"/>
  <c r="AJ121" i="1"/>
  <c r="H121" i="1"/>
  <c r="AB119" i="1"/>
  <c r="AC118" i="1"/>
  <c r="Z116" i="1"/>
  <c r="AH116" i="1"/>
  <c r="AK116" i="1"/>
  <c r="AL116" i="1"/>
  <c r="AK115" i="1"/>
  <c r="I120" i="1"/>
  <c r="AC117" i="1"/>
  <c r="AG117" i="1"/>
  <c r="AC116" i="1"/>
  <c r="AG116" i="1"/>
  <c r="AV112" i="1"/>
  <c r="BC112" i="1"/>
  <c r="AC88" i="1"/>
  <c r="AG88" i="1"/>
  <c r="AE88" i="1"/>
  <c r="AC81" i="1"/>
  <c r="AG81" i="1"/>
  <c r="AE81" i="1"/>
  <c r="AD116" i="1"/>
  <c r="H115" i="1"/>
  <c r="AB113" i="1"/>
  <c r="AC112" i="1"/>
  <c r="H111" i="1"/>
  <c r="H107" i="1" s="1"/>
  <c r="AW111" i="1"/>
  <c r="AJ108" i="1"/>
  <c r="J107" i="1"/>
  <c r="AK108" i="1"/>
  <c r="AV106" i="1"/>
  <c r="I103" i="1"/>
  <c r="AX103" i="1"/>
  <c r="Z103" i="1"/>
  <c r="BH101" i="1"/>
  <c r="AW101" i="1"/>
  <c r="AJ101" i="1"/>
  <c r="AK101" i="1"/>
  <c r="AX100" i="1"/>
  <c r="AK100" i="1"/>
  <c r="AL100" i="1"/>
  <c r="AH95" i="1"/>
  <c r="Z95" i="1"/>
  <c r="BC94" i="1"/>
  <c r="AV94" i="1"/>
  <c r="H93" i="1"/>
  <c r="AW93" i="1"/>
  <c r="AH91" i="1"/>
  <c r="Z91" i="1"/>
  <c r="BC86" i="1"/>
  <c r="AV86" i="1"/>
  <c r="BC79" i="1"/>
  <c r="AV79" i="1"/>
  <c r="H78" i="1"/>
  <c r="AW78" i="1"/>
  <c r="BI77" i="1"/>
  <c r="AB71" i="1"/>
  <c r="AF71" i="1"/>
  <c r="AD71" i="1"/>
  <c r="AK71" i="1"/>
  <c r="AL71" i="1"/>
  <c r="AJ71" i="1"/>
  <c r="AH69" i="1"/>
  <c r="Z69" i="1"/>
  <c r="AH115" i="1"/>
  <c r="I114" i="1"/>
  <c r="AF113" i="1"/>
  <c r="AG112" i="1"/>
  <c r="AH106" i="1"/>
  <c r="Z106" i="1"/>
  <c r="H104" i="1"/>
  <c r="AW104" i="1"/>
  <c r="AC103" i="1"/>
  <c r="AG103" i="1"/>
  <c r="I99" i="1"/>
  <c r="AX99" i="1"/>
  <c r="Z99" i="1"/>
  <c r="J98" i="1"/>
  <c r="AB96" i="1"/>
  <c r="AF96" i="1"/>
  <c r="AD96" i="1"/>
  <c r="I96" i="1"/>
  <c r="AX96" i="1"/>
  <c r="AJ93" i="1"/>
  <c r="AK93" i="1"/>
  <c r="AL93" i="1"/>
  <c r="I92" i="1"/>
  <c r="AX92" i="1"/>
  <c r="BC90" i="1"/>
  <c r="AV90" i="1"/>
  <c r="H89" i="1"/>
  <c r="AW89" i="1"/>
  <c r="AH87" i="1"/>
  <c r="Z87" i="1"/>
  <c r="BC83" i="1"/>
  <c r="AV83" i="1"/>
  <c r="H82" i="1"/>
  <c r="AW82" i="1"/>
  <c r="AH80" i="1"/>
  <c r="Z80" i="1"/>
  <c r="AJ78" i="1"/>
  <c r="AK78" i="1"/>
  <c r="AL78" i="1"/>
  <c r="AC74" i="1"/>
  <c r="AG74" i="1"/>
  <c r="AE74" i="1"/>
  <c r="AJ72" i="1"/>
  <c r="AK72" i="1"/>
  <c r="AL72" i="1"/>
  <c r="BI115" i="1"/>
  <c r="BI114" i="1"/>
  <c r="AV113" i="1"/>
  <c r="AB112" i="1"/>
  <c r="AF112" i="1"/>
  <c r="AB111" i="1"/>
  <c r="AF111" i="1"/>
  <c r="AK111" i="1"/>
  <c r="AL111" i="1"/>
  <c r="AU107" i="1" s="1"/>
  <c r="AH109" i="1"/>
  <c r="Z109" i="1"/>
  <c r="AB105" i="1"/>
  <c r="AF105" i="1"/>
  <c r="BC105" i="1"/>
  <c r="AV105" i="1"/>
  <c r="AC104" i="1"/>
  <c r="AG104" i="1"/>
  <c r="AE103" i="1"/>
  <c r="AV102" i="1"/>
  <c r="H100" i="1"/>
  <c r="H98" i="1" s="1"/>
  <c r="AW100" i="1"/>
  <c r="AC99" i="1"/>
  <c r="AG99" i="1"/>
  <c r="AJ89" i="1"/>
  <c r="AS85" i="1" s="1"/>
  <c r="AK89" i="1"/>
  <c r="AL89" i="1"/>
  <c r="I88" i="1"/>
  <c r="AX88" i="1"/>
  <c r="AH84" i="1"/>
  <c r="Z84" i="1"/>
  <c r="AJ82" i="1"/>
  <c r="AK82" i="1"/>
  <c r="AL82" i="1"/>
  <c r="I81" i="1"/>
  <c r="AX81" i="1"/>
  <c r="BC73" i="1"/>
  <c r="AV73" i="1"/>
  <c r="AJ68" i="1"/>
  <c r="J67" i="1"/>
  <c r="AK68" i="1"/>
  <c r="AL68" i="1"/>
  <c r="I110" i="1"/>
  <c r="AX110" i="1"/>
  <c r="AB108" i="1"/>
  <c r="AF108" i="1"/>
  <c r="BC108" i="1"/>
  <c r="AV108" i="1"/>
  <c r="AJ105" i="1"/>
  <c r="AK105" i="1"/>
  <c r="AB104" i="1"/>
  <c r="AF104" i="1"/>
  <c r="AK104" i="1"/>
  <c r="AL104" i="1"/>
  <c r="AH102" i="1"/>
  <c r="Z102" i="1"/>
  <c r="AC100" i="1"/>
  <c r="AG100" i="1"/>
  <c r="AB93" i="1"/>
  <c r="AF93" i="1"/>
  <c r="AD93" i="1"/>
  <c r="AB78" i="1"/>
  <c r="AF78" i="1"/>
  <c r="AD78" i="1"/>
  <c r="AE95" i="1"/>
  <c r="AD92" i="1"/>
  <c r="AE91" i="1"/>
  <c r="AD88" i="1"/>
  <c r="AE87" i="1"/>
  <c r="J85" i="1"/>
  <c r="AE84" i="1"/>
  <c r="AD81" i="1"/>
  <c r="AE80" i="1"/>
  <c r="AB77" i="1"/>
  <c r="AF77" i="1"/>
  <c r="AH76" i="1"/>
  <c r="I70" i="1"/>
  <c r="AX70" i="1"/>
  <c r="Z70" i="1"/>
  <c r="AB68" i="1"/>
  <c r="AF68" i="1"/>
  <c r="AD68" i="1"/>
  <c r="H62" i="1"/>
  <c r="AW62" i="1"/>
  <c r="AJ58" i="1"/>
  <c r="AK58" i="1"/>
  <c r="AL58" i="1"/>
  <c r="I57" i="1"/>
  <c r="AX57" i="1"/>
  <c r="I51" i="1"/>
  <c r="AX51" i="1"/>
  <c r="BI51" i="1"/>
  <c r="AJ49" i="1"/>
  <c r="AK49" i="1"/>
  <c r="AL49" i="1"/>
  <c r="BC39" i="1"/>
  <c r="AV39" i="1"/>
  <c r="AK37" i="1"/>
  <c r="AL37" i="1"/>
  <c r="AU33" i="1" s="1"/>
  <c r="AJ37" i="1"/>
  <c r="AC15" i="1"/>
  <c r="AG15" i="1"/>
  <c r="AE15" i="1"/>
  <c r="AW96" i="1"/>
  <c r="AL96" i="1"/>
  <c r="AX95" i="1"/>
  <c r="AV95" i="1" s="1"/>
  <c r="Z94" i="1"/>
  <c r="AW92" i="1"/>
  <c r="AL92" i="1"/>
  <c r="AX91" i="1"/>
  <c r="Z90" i="1"/>
  <c r="AW88" i="1"/>
  <c r="AL88" i="1"/>
  <c r="AU85" i="1" s="1"/>
  <c r="AX87" i="1"/>
  <c r="AV87" i="1" s="1"/>
  <c r="Z86" i="1"/>
  <c r="AX84" i="1"/>
  <c r="AV84" i="1" s="1"/>
  <c r="Z83" i="1"/>
  <c r="AW81" i="1"/>
  <c r="AL81" i="1"/>
  <c r="AX80" i="1"/>
  <c r="AV80" i="1" s="1"/>
  <c r="Z79" i="1"/>
  <c r="AW77" i="1"/>
  <c r="BI76" i="1"/>
  <c r="H76" i="1"/>
  <c r="AW76" i="1"/>
  <c r="AH73" i="1"/>
  <c r="Z73" i="1"/>
  <c r="H71" i="1"/>
  <c r="AW71" i="1"/>
  <c r="BI70" i="1"/>
  <c r="H68" i="1"/>
  <c r="H67" i="1" s="1"/>
  <c r="AW68" i="1"/>
  <c r="BC66" i="1"/>
  <c r="AV66" i="1"/>
  <c r="BC63" i="1"/>
  <c r="AV63" i="1"/>
  <c r="AC61" i="1"/>
  <c r="AG61" i="1"/>
  <c r="AH60" i="1"/>
  <c r="Z60" i="1"/>
  <c r="AB58" i="1"/>
  <c r="AF58" i="1"/>
  <c r="AD58" i="1"/>
  <c r="BC55" i="1"/>
  <c r="AV55" i="1"/>
  <c r="I52" i="1"/>
  <c r="AX52" i="1"/>
  <c r="BI52" i="1"/>
  <c r="H45" i="1"/>
  <c r="AW45" i="1"/>
  <c r="BH45" i="1"/>
  <c r="AC41" i="1"/>
  <c r="AG41" i="1"/>
  <c r="AE41" i="1"/>
  <c r="AG95" i="1"/>
  <c r="AF92" i="1"/>
  <c r="AG91" i="1"/>
  <c r="AF88" i="1"/>
  <c r="AG87" i="1"/>
  <c r="AG84" i="1"/>
  <c r="AF81" i="1"/>
  <c r="AG80" i="1"/>
  <c r="BH76" i="1"/>
  <c r="AX76" i="1"/>
  <c r="AK76" i="1"/>
  <c r="I74" i="1"/>
  <c r="I67" i="1" s="1"/>
  <c r="AX74" i="1"/>
  <c r="Z74" i="1"/>
  <c r="BH72" i="1"/>
  <c r="AW72" i="1"/>
  <c r="BI71" i="1"/>
  <c r="AV69" i="1"/>
  <c r="AJ62" i="1"/>
  <c r="AK62" i="1"/>
  <c r="AL62" i="1"/>
  <c r="I61" i="1"/>
  <c r="AX61" i="1"/>
  <c r="AE61" i="1"/>
  <c r="H58" i="1"/>
  <c r="AW58" i="1"/>
  <c r="AB49" i="1"/>
  <c r="AF49" i="1"/>
  <c r="AD49" i="1"/>
  <c r="BC49" i="1"/>
  <c r="AV49" i="1"/>
  <c r="H44" i="1"/>
  <c r="AW44" i="1"/>
  <c r="BH44" i="1"/>
  <c r="I37" i="1"/>
  <c r="AX37" i="1"/>
  <c r="BI37" i="1"/>
  <c r="AH64" i="1"/>
  <c r="Z64" i="1"/>
  <c r="AB62" i="1"/>
  <c r="AF62" i="1"/>
  <c r="AD62" i="1"/>
  <c r="BC59" i="1"/>
  <c r="AV59" i="1"/>
  <c r="AC57" i="1"/>
  <c r="AG57" i="1"/>
  <c r="AH56" i="1"/>
  <c r="Z56" i="1"/>
  <c r="Z51" i="1"/>
  <c r="BC50" i="1"/>
  <c r="AV50" i="1"/>
  <c r="AB48" i="1"/>
  <c r="AF48" i="1"/>
  <c r="AD48" i="1"/>
  <c r="AK48" i="1"/>
  <c r="AL48" i="1"/>
  <c r="AJ48" i="1"/>
  <c r="AH46" i="1"/>
  <c r="Z46" i="1"/>
  <c r="AB38" i="1"/>
  <c r="AF38" i="1"/>
  <c r="BC38" i="1"/>
  <c r="AV38" i="1"/>
  <c r="AD38" i="1"/>
  <c r="Z37" i="1"/>
  <c r="AH37" i="1"/>
  <c r="AE64" i="1"/>
  <c r="AD61" i="1"/>
  <c r="AE60" i="1"/>
  <c r="AD57" i="1"/>
  <c r="AE56" i="1"/>
  <c r="H52" i="1"/>
  <c r="AW52" i="1"/>
  <c r="I47" i="1"/>
  <c r="I43" i="1" s="1"/>
  <c r="AX47" i="1"/>
  <c r="Z47" i="1"/>
  <c r="AC44" i="1"/>
  <c r="AG44" i="1"/>
  <c r="AB42" i="1"/>
  <c r="AF42" i="1"/>
  <c r="BC42" i="1"/>
  <c r="AV42" i="1"/>
  <c r="AJ42" i="1"/>
  <c r="AK42" i="1"/>
  <c r="AB41" i="1"/>
  <c r="AF41" i="1"/>
  <c r="AK41" i="1"/>
  <c r="AL41" i="1"/>
  <c r="I40" i="1"/>
  <c r="AX40" i="1"/>
  <c r="AH35" i="1"/>
  <c r="Z35" i="1"/>
  <c r="AB34" i="1"/>
  <c r="AF34" i="1"/>
  <c r="AD34" i="1"/>
  <c r="BC34" i="1"/>
  <c r="AV34" i="1"/>
  <c r="AB31" i="1"/>
  <c r="AF31" i="1"/>
  <c r="AD31" i="1"/>
  <c r="BC31" i="1"/>
  <c r="AV31" i="1"/>
  <c r="Z66" i="1"/>
  <c r="AX64" i="1"/>
  <c r="Z63" i="1"/>
  <c r="AW61" i="1"/>
  <c r="AL61" i="1"/>
  <c r="AX60" i="1"/>
  <c r="Z59" i="1"/>
  <c r="AW57" i="1"/>
  <c r="AL57" i="1"/>
  <c r="AX56" i="1"/>
  <c r="AC55" i="1"/>
  <c r="AG55" i="1"/>
  <c r="AB55" i="1"/>
  <c r="AH54" i="1"/>
  <c r="Z54" i="1"/>
  <c r="H48" i="1"/>
  <c r="AW48" i="1"/>
  <c r="BI47" i="1"/>
  <c r="AJ45" i="1"/>
  <c r="AK45" i="1"/>
  <c r="AX44" i="1"/>
  <c r="J43" i="1"/>
  <c r="AK44" i="1"/>
  <c r="AL44" i="1"/>
  <c r="Z36" i="1"/>
  <c r="AG64" i="1"/>
  <c r="AF61" i="1"/>
  <c r="AG60" i="1"/>
  <c r="AF57" i="1"/>
  <c r="AG56" i="1"/>
  <c r="AH55" i="1"/>
  <c r="BC54" i="1"/>
  <c r="BH53" i="1"/>
  <c r="AW53" i="1"/>
  <c r="AJ53" i="1"/>
  <c r="AK53" i="1"/>
  <c r="BH52" i="1"/>
  <c r="AK52" i="1"/>
  <c r="AL52" i="1"/>
  <c r="AH50" i="1"/>
  <c r="Z50" i="1"/>
  <c r="BI48" i="1"/>
  <c r="AE44" i="1"/>
  <c r="AD42" i="1"/>
  <c r="H41" i="1"/>
  <c r="AW41" i="1"/>
  <c r="AD41" i="1"/>
  <c r="BI40" i="1"/>
  <c r="AH39" i="1"/>
  <c r="Z39" i="1"/>
  <c r="I36" i="1"/>
  <c r="I33" i="1" s="1"/>
  <c r="AX36" i="1"/>
  <c r="BI36" i="1"/>
  <c r="BC32" i="1"/>
  <c r="AV32" i="1"/>
  <c r="AC30" i="1"/>
  <c r="AG30" i="1"/>
  <c r="AE30" i="1"/>
  <c r="AS29" i="1"/>
  <c r="AJ31" i="1"/>
  <c r="AK31" i="1"/>
  <c r="AB30" i="1"/>
  <c r="AF30" i="1"/>
  <c r="J29" i="1"/>
  <c r="AK30" i="1"/>
  <c r="AT29" i="1" s="1"/>
  <c r="AL30" i="1"/>
  <c r="AC26" i="1"/>
  <c r="AG26" i="1"/>
  <c r="AE26" i="1"/>
  <c r="I18" i="1"/>
  <c r="I17" i="1" s="1"/>
  <c r="AX18" i="1"/>
  <c r="AB16" i="1"/>
  <c r="AF16" i="1"/>
  <c r="AT14" i="1"/>
  <c r="H37" i="1"/>
  <c r="H33" i="1" s="1"/>
  <c r="AW37" i="1"/>
  <c r="AJ34" i="1"/>
  <c r="AS33" i="1" s="1"/>
  <c r="J33" i="1"/>
  <c r="AK34" i="1"/>
  <c r="I29" i="1"/>
  <c r="BC28" i="1"/>
  <c r="AV28" i="1"/>
  <c r="AB27" i="1"/>
  <c r="AF27" i="1"/>
  <c r="AH25" i="1"/>
  <c r="Z25" i="1"/>
  <c r="AH21" i="1"/>
  <c r="Z21" i="1"/>
  <c r="H16" i="1"/>
  <c r="H14" i="1" s="1"/>
  <c r="AW16" i="1"/>
  <c r="AJ16" i="1"/>
  <c r="AS14" i="1" s="1"/>
  <c r="AK16" i="1"/>
  <c r="AL16" i="1"/>
  <c r="AU14" i="1" s="1"/>
  <c r="I15" i="1"/>
  <c r="I14" i="1" s="1"/>
  <c r="AX15" i="1"/>
  <c r="AB13" i="1"/>
  <c r="AF13" i="1"/>
  <c r="AJ13" i="1"/>
  <c r="J12" i="1"/>
  <c r="AK13" i="1"/>
  <c r="AL13" i="1"/>
  <c r="AU12" i="1" s="1"/>
  <c r="BH37" i="1"/>
  <c r="AV35" i="1"/>
  <c r="AH32" i="1"/>
  <c r="Z32" i="1"/>
  <c r="AL31" i="1"/>
  <c r="H30" i="1"/>
  <c r="H29" i="1" s="1"/>
  <c r="AW30" i="1"/>
  <c r="AD30" i="1"/>
  <c r="H27" i="1"/>
  <c r="H23" i="1" s="1"/>
  <c r="AW27" i="1"/>
  <c r="AJ27" i="1"/>
  <c r="AS23" i="1" s="1"/>
  <c r="AK27" i="1"/>
  <c r="AL27" i="1"/>
  <c r="AU23" i="1" s="1"/>
  <c r="I26" i="1"/>
  <c r="I23" i="1" s="1"/>
  <c r="AX26" i="1"/>
  <c r="BC24" i="1"/>
  <c r="AV24" i="1"/>
  <c r="BI18" i="1"/>
  <c r="H13" i="1"/>
  <c r="H12" i="1" s="1"/>
  <c r="AW13" i="1"/>
  <c r="AK28" i="1"/>
  <c r="AF28" i="1"/>
  <c r="AB28" i="1"/>
  <c r="AG27" i="1"/>
  <c r="AC27" i="1"/>
  <c r="AK24" i="1"/>
  <c r="AF24" i="1"/>
  <c r="AB24" i="1"/>
  <c r="J23" i="1"/>
  <c r="AG16" i="1"/>
  <c r="AC16" i="1"/>
  <c r="AD15" i="1"/>
  <c r="AG13" i="1"/>
  <c r="AF15" i="1"/>
  <c r="AC13" i="1" l="1"/>
  <c r="AE171" i="1"/>
  <c r="AC171" i="1"/>
  <c r="AD159" i="1"/>
  <c r="AB159" i="1"/>
  <c r="AD242" i="1"/>
  <c r="AF242" i="1"/>
  <c r="AS43" i="1"/>
  <c r="I85" i="1"/>
  <c r="AS98" i="1"/>
  <c r="AU144" i="1"/>
  <c r="I212" i="1"/>
  <c r="AD246" i="1"/>
  <c r="AF246" i="1"/>
  <c r="AD231" i="1"/>
  <c r="AF231" i="1"/>
  <c r="AE238" i="1"/>
  <c r="AC238" i="1"/>
  <c r="AE225" i="1"/>
  <c r="AG225" i="1"/>
  <c r="AE233" i="1"/>
  <c r="AG233" i="1"/>
  <c r="AD223" i="1"/>
  <c r="AF223" i="1"/>
  <c r="AV195" i="1"/>
  <c r="AV251" i="1"/>
  <c r="I107" i="1"/>
  <c r="AT98" i="1"/>
  <c r="AS107" i="1"/>
  <c r="H153" i="1"/>
  <c r="AU212" i="1"/>
  <c r="H212" i="1"/>
  <c r="BC25" i="1"/>
  <c r="AV25" i="1"/>
  <c r="AE21" i="1"/>
  <c r="AC21" i="1"/>
  <c r="AE155" i="1"/>
  <c r="AC155" i="1"/>
  <c r="BC230" i="1"/>
  <c r="AV230" i="1"/>
  <c r="BC117" i="1"/>
  <c r="AE214" i="1"/>
  <c r="AG214" i="1"/>
  <c r="AE230" i="1"/>
  <c r="AG230" i="1"/>
  <c r="AD250" i="1"/>
  <c r="AF250" i="1"/>
  <c r="H194" i="1"/>
  <c r="AE248" i="1"/>
  <c r="AG248" i="1"/>
  <c r="AD214" i="1"/>
  <c r="AF214" i="1"/>
  <c r="AD239" i="1"/>
  <c r="AF239" i="1"/>
  <c r="AT85" i="1"/>
  <c r="H85" i="1"/>
  <c r="I98" i="1"/>
  <c r="AS243" i="1"/>
  <c r="AU243" i="1"/>
  <c r="AD18" i="1"/>
  <c r="AB18" i="1"/>
  <c r="AE159" i="1"/>
  <c r="AC159" i="1"/>
  <c r="AD163" i="1"/>
  <c r="AB163" i="1"/>
  <c r="AD230" i="1"/>
  <c r="AF230" i="1"/>
  <c r="BC133" i="1"/>
  <c r="AD167" i="1"/>
  <c r="AB167" i="1"/>
  <c r="AV177" i="1"/>
  <c r="AE241" i="1"/>
  <c r="AG241" i="1"/>
  <c r="H179" i="1"/>
  <c r="AE222" i="1"/>
  <c r="AG222" i="1"/>
  <c r="AE210" i="1"/>
  <c r="AG210" i="1"/>
  <c r="BC214" i="1"/>
  <c r="AU43" i="1"/>
  <c r="AV57" i="1"/>
  <c r="BC57" i="1"/>
  <c r="AV61" i="1"/>
  <c r="BC61" i="1"/>
  <c r="AC37" i="1"/>
  <c r="AG37" i="1"/>
  <c r="AE37" i="1"/>
  <c r="AV44" i="1"/>
  <c r="BC44" i="1"/>
  <c r="AC71" i="1"/>
  <c r="AG71" i="1"/>
  <c r="AE71" i="1"/>
  <c r="AV74" i="1"/>
  <c r="BC74" i="1"/>
  <c r="AB76" i="1"/>
  <c r="AF76" i="1"/>
  <c r="AD76" i="1"/>
  <c r="AB45" i="1"/>
  <c r="AF45" i="1"/>
  <c r="AD45" i="1"/>
  <c r="AC76" i="1"/>
  <c r="AG76" i="1"/>
  <c r="AE76" i="1"/>
  <c r="AV51" i="1"/>
  <c r="BC51" i="1"/>
  <c r="BC95" i="1"/>
  <c r="AV110" i="1"/>
  <c r="BC110" i="1"/>
  <c r="AE77" i="1"/>
  <c r="AG77" i="1"/>
  <c r="AC77" i="1"/>
  <c r="AU98" i="1"/>
  <c r="AV103" i="1"/>
  <c r="BC103" i="1"/>
  <c r="AB122" i="1"/>
  <c r="AF122" i="1"/>
  <c r="AD122" i="1"/>
  <c r="BC127" i="1"/>
  <c r="AV127" i="1"/>
  <c r="AV157" i="1"/>
  <c r="BC157" i="1"/>
  <c r="AV161" i="1"/>
  <c r="BC161" i="1"/>
  <c r="AC122" i="1"/>
  <c r="AE122" i="1"/>
  <c r="AG122" i="1"/>
  <c r="BC136" i="1"/>
  <c r="AV136" i="1"/>
  <c r="AV121" i="1"/>
  <c r="BC158" i="1"/>
  <c r="AV158" i="1"/>
  <c r="BC134" i="1"/>
  <c r="AC165" i="1"/>
  <c r="AG165" i="1"/>
  <c r="AE165" i="1"/>
  <c r="AS153" i="1"/>
  <c r="BC202" i="1"/>
  <c r="AV202" i="1"/>
  <c r="AV206" i="1"/>
  <c r="BC206" i="1"/>
  <c r="AV215" i="1"/>
  <c r="BC215" i="1"/>
  <c r="AE217" i="1"/>
  <c r="AG217" i="1"/>
  <c r="AC217" i="1"/>
  <c r="BC213" i="1"/>
  <c r="AV213" i="1"/>
  <c r="AV216" i="1"/>
  <c r="BC216" i="1"/>
  <c r="AB244" i="1"/>
  <c r="AF244" i="1"/>
  <c r="AD244" i="1"/>
  <c r="AE253" i="1"/>
  <c r="AG253" i="1"/>
  <c r="AC253" i="1"/>
  <c r="BC250" i="1"/>
  <c r="AC18" i="1"/>
  <c r="AG18" i="1"/>
  <c r="AE18" i="1"/>
  <c r="BC27" i="1"/>
  <c r="AV27" i="1"/>
  <c r="AT12" i="1"/>
  <c r="C28" i="3"/>
  <c r="F28" i="3" s="1"/>
  <c r="J255" i="1"/>
  <c r="C21" i="3"/>
  <c r="AU29" i="1"/>
  <c r="AV41" i="1"/>
  <c r="BC41" i="1"/>
  <c r="AC48" i="1"/>
  <c r="AG48" i="1"/>
  <c r="AE48" i="1"/>
  <c r="BC53" i="1"/>
  <c r="AV53" i="1"/>
  <c r="AT43" i="1"/>
  <c r="BC40" i="1"/>
  <c r="AV40" i="1"/>
  <c r="BC47" i="1"/>
  <c r="AV47" i="1"/>
  <c r="H43" i="1"/>
  <c r="BC72" i="1"/>
  <c r="AV72" i="1"/>
  <c r="BC45" i="1"/>
  <c r="AV45" i="1"/>
  <c r="AC70" i="1"/>
  <c r="AG70" i="1"/>
  <c r="AE70" i="1"/>
  <c r="AV77" i="1"/>
  <c r="BC77" i="1"/>
  <c r="AV81" i="1"/>
  <c r="BC81" i="1"/>
  <c r="BC91" i="1"/>
  <c r="AV91" i="1"/>
  <c r="AS67" i="1"/>
  <c r="BC78" i="1"/>
  <c r="AV78" i="1"/>
  <c r="BC80" i="1"/>
  <c r="BC93" i="1"/>
  <c r="AV93" i="1"/>
  <c r="BC101" i="1"/>
  <c r="AV101" i="1"/>
  <c r="AV130" i="1"/>
  <c r="BC130" i="1"/>
  <c r="BC131" i="1"/>
  <c r="AV131" i="1"/>
  <c r="AB118" i="1"/>
  <c r="AF118" i="1"/>
  <c r="AD118" i="1"/>
  <c r="AC120" i="1"/>
  <c r="AE120" i="1"/>
  <c r="AG120" i="1"/>
  <c r="BC123" i="1"/>
  <c r="AV123" i="1"/>
  <c r="BC132" i="1"/>
  <c r="AV132" i="1"/>
  <c r="BC126" i="1"/>
  <c r="AU153" i="1"/>
  <c r="BC164" i="1"/>
  <c r="BC172" i="1"/>
  <c r="AV172" i="1"/>
  <c r="BC175" i="1"/>
  <c r="AV175" i="1"/>
  <c r="BC178" i="1"/>
  <c r="AV178" i="1"/>
  <c r="BC181" i="1"/>
  <c r="AV181" i="1"/>
  <c r="BC184" i="1"/>
  <c r="AV184" i="1"/>
  <c r="BC187" i="1"/>
  <c r="AV187" i="1"/>
  <c r="BC190" i="1"/>
  <c r="AV190" i="1"/>
  <c r="BC193" i="1"/>
  <c r="AV193" i="1"/>
  <c r="BC196" i="1"/>
  <c r="AV196" i="1"/>
  <c r="BC199" i="1"/>
  <c r="AV199" i="1"/>
  <c r="AV217" i="1"/>
  <c r="BC217" i="1"/>
  <c r="BC218" i="1"/>
  <c r="AV218" i="1"/>
  <c r="AT212" i="1"/>
  <c r="AB213" i="1"/>
  <c r="AF213" i="1"/>
  <c r="AD213" i="1"/>
  <c r="AV254" i="1"/>
  <c r="BC254" i="1"/>
  <c r="AB37" i="1"/>
  <c r="AF37" i="1"/>
  <c r="AD37" i="1"/>
  <c r="AS12" i="1"/>
  <c r="C27" i="3"/>
  <c r="AV15" i="1"/>
  <c r="BC15" i="1"/>
  <c r="C20" i="3"/>
  <c r="BC37" i="1"/>
  <c r="AV37" i="1"/>
  <c r="AC36" i="1"/>
  <c r="AG36" i="1"/>
  <c r="AE36" i="1"/>
  <c r="AB52" i="1"/>
  <c r="AF52" i="1"/>
  <c r="AD52" i="1"/>
  <c r="AB53" i="1"/>
  <c r="AF53" i="1"/>
  <c r="AD53" i="1"/>
  <c r="AC47" i="1"/>
  <c r="AG47" i="1"/>
  <c r="AE47" i="1"/>
  <c r="BC56" i="1"/>
  <c r="AV56" i="1"/>
  <c r="BC60" i="1"/>
  <c r="AV60" i="1"/>
  <c r="BC64" i="1"/>
  <c r="AV64" i="1"/>
  <c r="AB72" i="1"/>
  <c r="AF72" i="1"/>
  <c r="AD72" i="1"/>
  <c r="AV71" i="1"/>
  <c r="BC71" i="1"/>
  <c r="BC76" i="1"/>
  <c r="AV76" i="1"/>
  <c r="BC70" i="1"/>
  <c r="AV70" i="1"/>
  <c r="AU67" i="1"/>
  <c r="AV100" i="1"/>
  <c r="BC100" i="1"/>
  <c r="AG114" i="1"/>
  <c r="AC114" i="1"/>
  <c r="AE114" i="1"/>
  <c r="BC89" i="1"/>
  <c r="AV89" i="1"/>
  <c r="BC87" i="1"/>
  <c r="AB101" i="1"/>
  <c r="AF101" i="1"/>
  <c r="AD101" i="1"/>
  <c r="AV111" i="1"/>
  <c r="BC111" i="1"/>
  <c r="AV125" i="1"/>
  <c r="BC125" i="1"/>
  <c r="AV118" i="1"/>
  <c r="BC118" i="1"/>
  <c r="AB121" i="1"/>
  <c r="AD121" i="1"/>
  <c r="AF121" i="1"/>
  <c r="AE124" i="1"/>
  <c r="AG124" i="1"/>
  <c r="AC124" i="1"/>
  <c r="BC135" i="1"/>
  <c r="AV135" i="1"/>
  <c r="BC142" i="1"/>
  <c r="AV142" i="1"/>
  <c r="BC156" i="1"/>
  <c r="AV156" i="1"/>
  <c r="BC160" i="1"/>
  <c r="AV160" i="1"/>
  <c r="AV116" i="1"/>
  <c r="AB123" i="1"/>
  <c r="AD123" i="1"/>
  <c r="AF123" i="1"/>
  <c r="BC128" i="1"/>
  <c r="AV128" i="1"/>
  <c r="AT153" i="1"/>
  <c r="AV165" i="1"/>
  <c r="BC165" i="1"/>
  <c r="BC205" i="1"/>
  <c r="AV205" i="1"/>
  <c r="AV208" i="1"/>
  <c r="BC208" i="1"/>
  <c r="AV247" i="1"/>
  <c r="BC247" i="1"/>
  <c r="BC13" i="1"/>
  <c r="AV13" i="1"/>
  <c r="AT23" i="1"/>
  <c r="AV26" i="1"/>
  <c r="BC26" i="1"/>
  <c r="AV30" i="1"/>
  <c r="BC30" i="1"/>
  <c r="BC16" i="1"/>
  <c r="AV16" i="1"/>
  <c r="AT33" i="1"/>
  <c r="AV18" i="1"/>
  <c r="BC18" i="1"/>
  <c r="BC36" i="1"/>
  <c r="AV36" i="1"/>
  <c r="AC40" i="1"/>
  <c r="AG40" i="1"/>
  <c r="AE40" i="1"/>
  <c r="AV48" i="1"/>
  <c r="BC48" i="1"/>
  <c r="AV52" i="1"/>
  <c r="BC52" i="1"/>
  <c r="AB44" i="1"/>
  <c r="AF44" i="1"/>
  <c r="C18" i="3" s="1"/>
  <c r="AD44" i="1"/>
  <c r="C16" i="3" s="1"/>
  <c r="BC58" i="1"/>
  <c r="AV58" i="1"/>
  <c r="AC52" i="1"/>
  <c r="AG52" i="1"/>
  <c r="AE52" i="1"/>
  <c r="BC68" i="1"/>
  <c r="AV68" i="1"/>
  <c r="AV88" i="1"/>
  <c r="BC88" i="1"/>
  <c r="AV92" i="1"/>
  <c r="BC92" i="1"/>
  <c r="AV96" i="1"/>
  <c r="BC96" i="1"/>
  <c r="AC51" i="1"/>
  <c r="AG51" i="1"/>
  <c r="AE51" i="1"/>
  <c r="BC62" i="1"/>
  <c r="AV62" i="1"/>
  <c r="AT67" i="1"/>
  <c r="AC115" i="1"/>
  <c r="AG115" i="1"/>
  <c r="AE115" i="1"/>
  <c r="BC82" i="1"/>
  <c r="AV82" i="1"/>
  <c r="BC84" i="1"/>
  <c r="BC99" i="1"/>
  <c r="AV99" i="1"/>
  <c r="AV104" i="1"/>
  <c r="BC104" i="1"/>
  <c r="AT107" i="1"/>
  <c r="AV122" i="1"/>
  <c r="BC122" i="1"/>
  <c r="AD125" i="1"/>
  <c r="AF125" i="1"/>
  <c r="AB125" i="1"/>
  <c r="AC111" i="1"/>
  <c r="AG111" i="1"/>
  <c r="AE111" i="1"/>
  <c r="AC125" i="1"/>
  <c r="AG125" i="1"/>
  <c r="AE125" i="1"/>
  <c r="AV138" i="1"/>
  <c r="BC138" i="1"/>
  <c r="BC139" i="1"/>
  <c r="AV139" i="1"/>
  <c r="AV145" i="1"/>
  <c r="BC145" i="1"/>
  <c r="BC146" i="1"/>
  <c r="AV146" i="1"/>
  <c r="AF117" i="1"/>
  <c r="AB117" i="1"/>
  <c r="AD117" i="1"/>
  <c r="AC121" i="1"/>
  <c r="AG121" i="1"/>
  <c r="AE121" i="1"/>
  <c r="BC140" i="1"/>
  <c r="AV140" i="1"/>
  <c r="BC147" i="1"/>
  <c r="AV147" i="1"/>
  <c r="BC154" i="1"/>
  <c r="AV154" i="1"/>
  <c r="BC150" i="1"/>
  <c r="AV150" i="1"/>
  <c r="BC169" i="1"/>
  <c r="AV169" i="1"/>
  <c r="AV209" i="1"/>
  <c r="BC209" i="1"/>
  <c r="AS212" i="1"/>
  <c r="AV244" i="1"/>
  <c r="BC244" i="1"/>
  <c r="BC246" i="1"/>
  <c r="AV246" i="1"/>
  <c r="F29" i="4"/>
  <c r="C29" i="3"/>
  <c r="F29" i="3" s="1"/>
  <c r="C14" i="3" l="1"/>
  <c r="C17" i="3"/>
  <c r="C15" i="3"/>
  <c r="C19" i="3"/>
  <c r="I28" i="3"/>
  <c r="I29" i="3" s="1"/>
  <c r="C22" i="3" l="1"/>
</calcChain>
</file>

<file path=xl/sharedStrings.xml><?xml version="1.0" encoding="utf-8"?>
<sst xmlns="http://schemas.openxmlformats.org/spreadsheetml/2006/main" count="3442" uniqueCount="827">
  <si>
    <t>2 x proplach + napuštění systému s odvzdušněním, nadávkování inhibitoru</t>
  </si>
  <si>
    <t>92</t>
  </si>
  <si>
    <t>165</t>
  </si>
  <si>
    <t>Doba výstavby:</t>
  </si>
  <si>
    <t>198</t>
  </si>
  <si>
    <t>Umístění:</t>
  </si>
  <si>
    <t>10028VD</t>
  </si>
  <si>
    <t>Projektant</t>
  </si>
  <si>
    <t>733121225R00</t>
  </si>
  <si>
    <t>67</t>
  </si>
  <si>
    <t>Příplatek zvětš. přesun, rozvody potrubí do 500 m</t>
  </si>
  <si>
    <t>Základ 15%</t>
  </si>
  <si>
    <t>Malby</t>
  </si>
  <si>
    <t>183</t>
  </si>
  <si>
    <t>Šroubení přímé DN 20</t>
  </si>
  <si>
    <t>103</t>
  </si>
  <si>
    <t>Montáž - potrubí ocelové D 159 x 4,5 mm</t>
  </si>
  <si>
    <t>72310VD</t>
  </si>
  <si>
    <t>Dod. a montáž nádoby expanzní tlakové 150 l / 6 bar, 1"</t>
  </si>
  <si>
    <t>998721101R00</t>
  </si>
  <si>
    <t>723 01VD</t>
  </si>
  <si>
    <t>166</t>
  </si>
  <si>
    <t>733163102R00</t>
  </si>
  <si>
    <t>998734101R00</t>
  </si>
  <si>
    <t>H77VD</t>
  </si>
  <si>
    <t>Potrubí ocel. závitové černé DN 20</t>
  </si>
  <si>
    <t>722172962R00</t>
  </si>
  <si>
    <t>0604VD</t>
  </si>
  <si>
    <t>91</t>
  </si>
  <si>
    <t>734209127R00</t>
  </si>
  <si>
    <t>87</t>
  </si>
  <si>
    <t>Demontáž armatur se 2závity do G 6/4</t>
  </si>
  <si>
    <t>Základ 21%</t>
  </si>
  <si>
    <t>20</t>
  </si>
  <si>
    <t>Příplatek zvětšený přesun, izolace tepelné do 100 m</t>
  </si>
  <si>
    <t>Dodávka</t>
  </si>
  <si>
    <t>NUS celkem z obj.</t>
  </si>
  <si>
    <t>3_</t>
  </si>
  <si>
    <t>167</t>
  </si>
  <si>
    <t>Filtr,velikost oka 0,4mm,vnitřní závity DN 50</t>
  </si>
  <si>
    <t>Kohout kulový, vnitř.-vnitř.z. DN 20</t>
  </si>
  <si>
    <t>723150317R00</t>
  </si>
  <si>
    <t>Tlakový spínač, tlak v rozmezí 0,5 - 0,9 bar</t>
  </si>
  <si>
    <t>72_</t>
  </si>
  <si>
    <t>733124115R00</t>
  </si>
  <si>
    <t>Potrubí hladké bezešvé v kotelnách D 48,3 x 2,6 mm</t>
  </si>
  <si>
    <t>171</t>
  </si>
  <si>
    <t>147</t>
  </si>
  <si>
    <t>Název stavby:</t>
  </si>
  <si>
    <t>Ostatní materiál</t>
  </si>
  <si>
    <t>10006VD</t>
  </si>
  <si>
    <t>48</t>
  </si>
  <si>
    <t>29</t>
  </si>
  <si>
    <t>11VD_</t>
  </si>
  <si>
    <t>Č</t>
  </si>
  <si>
    <t>Poznámka:</t>
  </si>
  <si>
    <t>79</t>
  </si>
  <si>
    <t>71</t>
  </si>
  <si>
    <t>734237141R00</t>
  </si>
  <si>
    <t>16</t>
  </si>
  <si>
    <t>PSV</t>
  </si>
  <si>
    <t>GSM modul + ext. anténa + SIM karta</t>
  </si>
  <si>
    <t>189</t>
  </si>
  <si>
    <t>24</t>
  </si>
  <si>
    <t>Bez pevné podl.</t>
  </si>
  <si>
    <t>722173912R00</t>
  </si>
  <si>
    <t>733_</t>
  </si>
  <si>
    <t>Celkem</t>
  </si>
  <si>
    <t>Zařízení staveniště</t>
  </si>
  <si>
    <t>H734</t>
  </si>
  <si>
    <t>Přesun hmot pro vnitřní kanalizaci, výšky do 6 m</t>
  </si>
  <si>
    <t>08001VD</t>
  </si>
  <si>
    <t>Odpadové hospodářství</t>
  </si>
  <si>
    <t>M06VD_</t>
  </si>
  <si>
    <t>1_</t>
  </si>
  <si>
    <t>4</t>
  </si>
  <si>
    <t>97</t>
  </si>
  <si>
    <t>121</t>
  </si>
  <si>
    <t>94</t>
  </si>
  <si>
    <t>998723192R00</t>
  </si>
  <si>
    <t>145</t>
  </si>
  <si>
    <t>Přesun hmot pro vnitřní plynovod, výšky do 6 m</t>
  </si>
  <si>
    <t>Jistič B16A na DIN lištu</t>
  </si>
  <si>
    <t>60</t>
  </si>
  <si>
    <t>Základní rozpočtové náklady</t>
  </si>
  <si>
    <t>26</t>
  </si>
  <si>
    <t>Zazdívka otvorů pl. 0,25 m2 cihlami, tl. zdi 30 cm</t>
  </si>
  <si>
    <t>Vystrojení rozvaděče základními prvky (mimo osazení a zapojení jističů, vypínače)</t>
  </si>
  <si>
    <t>6_</t>
  </si>
  <si>
    <t>105</t>
  </si>
  <si>
    <t>Montáž odtahů spalin DN200, dod. ALMEVA</t>
  </si>
  <si>
    <t>135</t>
  </si>
  <si>
    <t>Detektor výskytu CO typ Honeywell SF340F</t>
  </si>
  <si>
    <t>11001VD</t>
  </si>
  <si>
    <t>H713</t>
  </si>
  <si>
    <t>722264112R00</t>
  </si>
  <si>
    <t>721176102R00</t>
  </si>
  <si>
    <t>Šroubení topenářské, přímé, G 1</t>
  </si>
  <si>
    <t>Celkem bez DPH</t>
  </si>
  <si>
    <t>122</t>
  </si>
  <si>
    <t>Detektor úniku plynu typ ADDAT GS120 /230V</t>
  </si>
  <si>
    <t>Vedlejší a ostatní rozpočtové náklady</t>
  </si>
  <si>
    <t>138</t>
  </si>
  <si>
    <t>M21</t>
  </si>
  <si>
    <t>10003VD</t>
  </si>
  <si>
    <t>721_</t>
  </si>
  <si>
    <t>10002VD</t>
  </si>
  <si>
    <t>172</t>
  </si>
  <si>
    <t>Demontáž směšovací armatury do G 6/4</t>
  </si>
  <si>
    <t>Hmotnost (t)</t>
  </si>
  <si>
    <t>11008VD</t>
  </si>
  <si>
    <t>734209128R00</t>
  </si>
  <si>
    <t>Odvod kondenzátu - hadice plastová s výpletem DN20 vč.uchycení, propojení a zapáskování</t>
  </si>
  <si>
    <t>Seřízení regulace, zkoušky  systému vč.simulace poruch.stavů, protokol</t>
  </si>
  <si>
    <t>Kohout kulový,2xvnitřní závit DN 40</t>
  </si>
  <si>
    <t>Vodoměr bytový SV DN 15x110 mm,Qn 1,5 vč. šroubení</t>
  </si>
  <si>
    <t>222111003R00</t>
  </si>
  <si>
    <t>Dod. + mont. mřížky cca 15x15 pro odvětrání komímu</t>
  </si>
  <si>
    <t>6</t>
  </si>
  <si>
    <t>Rozpočtové náklady v Kč</t>
  </si>
  <si>
    <t>Potrubí hladké bezešvé v kotelnách D 60,3 x 2,9 mm</t>
  </si>
  <si>
    <t>ZŠ Starý Bohumín - rekonstrukce plynové kotelny</t>
  </si>
  <si>
    <t>68</t>
  </si>
  <si>
    <t>734209115R00</t>
  </si>
  <si>
    <t>81</t>
  </si>
  <si>
    <t>B</t>
  </si>
  <si>
    <t>Odpojení nádrží od rozvodů potrubí, do 400 l, demontáž</t>
  </si>
  <si>
    <t>119</t>
  </si>
  <si>
    <t>160</t>
  </si>
  <si>
    <t>Stykač 230 V 10-25 A na DIN lištu</t>
  </si>
  <si>
    <t>Náklady na umístění stavby (NUS)</t>
  </si>
  <si>
    <t>998732193R00</t>
  </si>
  <si>
    <t>Přesun hmot pro budovy zděné výšky do 6 m</t>
  </si>
  <si>
    <t>42</t>
  </si>
  <si>
    <t>734264313R00</t>
  </si>
  <si>
    <t>734421150R00</t>
  </si>
  <si>
    <t>82</t>
  </si>
  <si>
    <t>Montáž</t>
  </si>
  <si>
    <t>734_</t>
  </si>
  <si>
    <t>Dod + montáž teploměru dvoukovového příložného 90 (120)°C</t>
  </si>
  <si>
    <t>Datum, razítko a podpis</t>
  </si>
  <si>
    <t>Instalace neutralizačního zařízení</t>
  </si>
  <si>
    <t>ZRN celkem</t>
  </si>
  <si>
    <t>Demontáž potrubí ocelového do DN 50</t>
  </si>
  <si>
    <t>210810041RT1</t>
  </si>
  <si>
    <t>H764</t>
  </si>
  <si>
    <t>Šrotové hospodářství</t>
  </si>
  <si>
    <t>979082212R00</t>
  </si>
  <si>
    <t>723 02VD</t>
  </si>
  <si>
    <t>426101VD</t>
  </si>
  <si>
    <t>Demontáž teploměrů dvojkovových</t>
  </si>
  <si>
    <t>998731101R00</t>
  </si>
  <si>
    <t>Demontáž potrubí svařovaného závitového DN 25-50</t>
  </si>
  <si>
    <t>69</t>
  </si>
  <si>
    <t>141</t>
  </si>
  <si>
    <t>Otopný systém</t>
  </si>
  <si>
    <t>H77VD_</t>
  </si>
  <si>
    <t>33</t>
  </si>
  <si>
    <t>DPH 15%</t>
  </si>
  <si>
    <t>78</t>
  </si>
  <si>
    <t>Oprava-potrubí závitové,vsazení armatury DN 15</t>
  </si>
  <si>
    <t>72303VD</t>
  </si>
  <si>
    <t>Krycí list slepého rozpočtu</t>
  </si>
  <si>
    <t>120</t>
  </si>
  <si>
    <t>63</t>
  </si>
  <si>
    <t>783_</t>
  </si>
  <si>
    <t>Dávkovač inhibitoru DN100, výška 300mm, ocel 108x4</t>
  </si>
  <si>
    <t>998011015R00</t>
  </si>
  <si>
    <t>H764_</t>
  </si>
  <si>
    <t>154</t>
  </si>
  <si>
    <t>192</t>
  </si>
  <si>
    <t>Přesun hmot elektro + MaR, výšky do 6 m</t>
  </si>
  <si>
    <t>137</t>
  </si>
  <si>
    <t>178</t>
  </si>
  <si>
    <t>10005VD</t>
  </si>
  <si>
    <t>Šroubení topenářské, přímé, G2"</t>
  </si>
  <si>
    <t>Ventil odvzdušňovací automat. (počet cca)</t>
  </si>
  <si>
    <t>Základna</t>
  </si>
  <si>
    <t>25</t>
  </si>
  <si>
    <t>195</t>
  </si>
  <si>
    <t>kus</t>
  </si>
  <si>
    <t>721194103R00</t>
  </si>
  <si>
    <t>Dodávky</t>
  </si>
  <si>
    <t>17 dní</t>
  </si>
  <si>
    <t>Izolace minerální pouzdro 0,038 W/m*K, D potrubí 89, tl.iz. 20</t>
  </si>
  <si>
    <t>Kohout kulový,2xvnitřní závit DN 15</t>
  </si>
  <si>
    <t>22.12.2023</t>
  </si>
  <si>
    <t>M72VD_</t>
  </si>
  <si>
    <t>Potrubí z PPR, D 20x2,8 mm, PN 16</t>
  </si>
  <si>
    <t>77001VD</t>
  </si>
  <si>
    <t>Vodič H07V-U (CY) 6 mm2 žlutozelený, uložený pevně</t>
  </si>
  <si>
    <t>Ostatní mat.</t>
  </si>
  <si>
    <t>Kalibrace detektorů CH4,  CO a vystavení protokolu</t>
  </si>
  <si>
    <t>731100808R00</t>
  </si>
  <si>
    <t>998011001R00</t>
  </si>
  <si>
    <t>21103VD</t>
  </si>
  <si>
    <t>130</t>
  </si>
  <si>
    <t>Elektro + MaR</t>
  </si>
  <si>
    <t>Filtr,velikost oka 0,4mm,vnitřní závity DN 40</t>
  </si>
  <si>
    <t>133</t>
  </si>
  <si>
    <t>731_</t>
  </si>
  <si>
    <t>175</t>
  </si>
  <si>
    <t>170</t>
  </si>
  <si>
    <t>HSV prac</t>
  </si>
  <si>
    <t>728211120R00</t>
  </si>
  <si>
    <t>210111021RT1</t>
  </si>
  <si>
    <t>Revize elektro zařízení</t>
  </si>
  <si>
    <t>Vodorovná doprava suti po suchu do 50 m</t>
  </si>
  <si>
    <t>139</t>
  </si>
  <si>
    <t>129</t>
  </si>
  <si>
    <t>151</t>
  </si>
  <si>
    <t>13</t>
  </si>
  <si>
    <t>21003VD</t>
  </si>
  <si>
    <t>"M"</t>
  </si>
  <si>
    <t>723150805R00</t>
  </si>
  <si>
    <t>Vedlejší náklady</t>
  </si>
  <si>
    <t>VORN celkem z obj.</t>
  </si>
  <si>
    <t>222111002R00</t>
  </si>
  <si>
    <t>Komínová nerezová hlavice flex komplet DN200</t>
  </si>
  <si>
    <t>140</t>
  </si>
  <si>
    <t>97_</t>
  </si>
  <si>
    <t>Vybourání otv. zeď cihel. pl.0,09 m2, tl.30cm, MVC (větrací mřížka komín)</t>
  </si>
  <si>
    <t>Kontejner 3tuny, suť aj. bez nebezp.odpadu, odvoz a likvidace</t>
  </si>
  <si>
    <t>734237115R00</t>
  </si>
  <si>
    <t>650711621R00</t>
  </si>
  <si>
    <t>180</t>
  </si>
  <si>
    <t>Cena/MJ</t>
  </si>
  <si>
    <t>Přesun hmot, budovy zděné, příplatek do 1 km</t>
  </si>
  <si>
    <t>Certifikát posouzení sestavy tlakového zařízení notifik. osobou</t>
  </si>
  <si>
    <t>210950101RT1</t>
  </si>
  <si>
    <t>Konec výstavby:</t>
  </si>
  <si>
    <t>Topná zkouška 72 hod</t>
  </si>
  <si>
    <t>Uzavírací armatura SIEMENS I/VBZ2</t>
  </si>
  <si>
    <t>127</t>
  </si>
  <si>
    <t>Pojistná skupina kotle 3 bar / 1" /100 kW - dod. výrobce kotle</t>
  </si>
  <si>
    <t>Kód</t>
  </si>
  <si>
    <t>S</t>
  </si>
  <si>
    <t>Jednot.</t>
  </si>
  <si>
    <t>43</t>
  </si>
  <si>
    <t>200</t>
  </si>
  <si>
    <t>10008VD</t>
  </si>
  <si>
    <t>1,2*0,2</t>
  </si>
  <si>
    <t>Kohout kulový výtokový  DN 15 (počet cca)</t>
  </si>
  <si>
    <t>722181235RY3</t>
  </si>
  <si>
    <t>Přímá specifikace, jedná se o bezpečnostní prvek</t>
  </si>
  <si>
    <t>10011VD</t>
  </si>
  <si>
    <t>Revize a zkoušky</t>
  </si>
  <si>
    <t>(4,27+5,06)*2*5,3+106</t>
  </si>
  <si>
    <t>sestava poj.vent.100 kW, manometr, odvzd. automat, izolace</t>
  </si>
  <si>
    <t>Demontáž armatur se 2závity do G 2</t>
  </si>
  <si>
    <t>soubor</t>
  </si>
  <si>
    <t>MJ</t>
  </si>
  <si>
    <t>733121219R00</t>
  </si>
  <si>
    <t>45</t>
  </si>
  <si>
    <t>Montáž kondenzačního stacionárního kotle do 100 kW,</t>
  </si>
  <si>
    <t>998713101R00</t>
  </si>
  <si>
    <t>40</t>
  </si>
  <si>
    <t>Snímač zaplavení podlahy LD-12 (Jablotron / Addat)</t>
  </si>
  <si>
    <t>9_</t>
  </si>
  <si>
    <t>Celkem ORN</t>
  </si>
  <si>
    <t>734265317R00</t>
  </si>
  <si>
    <t>731249322R00</t>
  </si>
  <si>
    <t>Doplňkové náklady</t>
  </si>
  <si>
    <t>Dod. a montáž nádoby expanzní tlakové 8 l / 6 bar, 3/4"</t>
  </si>
  <si>
    <t>734237145R00</t>
  </si>
  <si>
    <t>132</t>
  </si>
  <si>
    <t>Tlakoměr deformační 0- 600 kPa  D 63 + red na připojení 1/2"</t>
  </si>
  <si>
    <t>PSV prac</t>
  </si>
  <si>
    <t>Potrubí ocel. závitové černé DN 50</t>
  </si>
  <si>
    <t>HSV</t>
  </si>
  <si>
    <t>77002VD</t>
  </si>
  <si>
    <t>Vedlejší rozpočtové náklady VRN</t>
  </si>
  <si>
    <t>H721_</t>
  </si>
  <si>
    <t>M06VD</t>
  </si>
  <si>
    <t>9</t>
  </si>
  <si>
    <t>731</t>
  </si>
  <si>
    <t>722181235RY7</t>
  </si>
  <si>
    <t>Přesun hmot elektro + MaR. konstr. do 100 m</t>
  </si>
  <si>
    <t>Město Bohumín, Masarykova158, 735 81 Bohumín</t>
  </si>
  <si>
    <t>143</t>
  </si>
  <si>
    <t>104</t>
  </si>
  <si>
    <t>Světlo nouzového osvětlení, samonabíjecí, záloha 60 minut</t>
  </si>
  <si>
    <t>15</t>
  </si>
  <si>
    <t>Uvádění zařízení do provozu, seřízení</t>
  </si>
  <si>
    <t>95</t>
  </si>
  <si>
    <t>Příplatek za zvětšený přesun, vnitřní vodovod do 100 m</t>
  </si>
  <si>
    <t>210810046RT3</t>
  </si>
  <si>
    <t>ISWORK</t>
  </si>
  <si>
    <t>72304VD</t>
  </si>
  <si>
    <t>Celkem včetně DPH</t>
  </si>
  <si>
    <t>727311VD</t>
  </si>
  <si>
    <t>Celkem NUS</t>
  </si>
  <si>
    <t>142</t>
  </si>
  <si>
    <t>Základ 0%</t>
  </si>
  <si>
    <t>156</t>
  </si>
  <si>
    <t>00297569/CZ00297569</t>
  </si>
  <si>
    <t>199</t>
  </si>
  <si>
    <t>150</t>
  </si>
  <si>
    <t>S_</t>
  </si>
  <si>
    <t>650711611R00</t>
  </si>
  <si>
    <t>52</t>
  </si>
  <si>
    <t>118</t>
  </si>
  <si>
    <t>51</t>
  </si>
  <si>
    <t>Příplatek zvětšený přesun, strojovny do 500 m</t>
  </si>
  <si>
    <t>Uzavíraci a vyp.ventil exp.nádoby DN 20</t>
  </si>
  <si>
    <t>734410821R00</t>
  </si>
  <si>
    <t>Mont prac</t>
  </si>
  <si>
    <t>998764192R00</t>
  </si>
  <si>
    <t>0017VD</t>
  </si>
  <si>
    <t>310237241RT1</t>
  </si>
  <si>
    <t>734200821R00</t>
  </si>
  <si>
    <t>723190907R00</t>
  </si>
  <si>
    <t>44</t>
  </si>
  <si>
    <t>21004VD</t>
  </si>
  <si>
    <t>78_</t>
  </si>
  <si>
    <t>Kotelny</t>
  </si>
  <si>
    <t>h</t>
  </si>
  <si>
    <t>Zaučení obsluhy</t>
  </si>
  <si>
    <t>Vyvedení a upevnění plynovodních výpustek DN 15, záslepka</t>
  </si>
  <si>
    <t>Kohout kulový s odv.2xvnitř.z.DN 15</t>
  </si>
  <si>
    <t>23</t>
  </si>
  <si>
    <t>10007VD</t>
  </si>
  <si>
    <t>998733193R00</t>
  </si>
  <si>
    <t>732339109R00</t>
  </si>
  <si>
    <t>128</t>
  </si>
  <si>
    <t>734295382R00</t>
  </si>
  <si>
    <t>971033341R00</t>
  </si>
  <si>
    <t>59</t>
  </si>
  <si>
    <t>21102VD</t>
  </si>
  <si>
    <t>Demontáž kotle litinového Viadrus do 100 kW</t>
  </si>
  <si>
    <t>109</t>
  </si>
  <si>
    <t>t</t>
  </si>
  <si>
    <t>Odříznutí plastové trubky D 20 mm</t>
  </si>
  <si>
    <t>732_</t>
  </si>
  <si>
    <t>117</t>
  </si>
  <si>
    <t> </t>
  </si>
  <si>
    <t>53</t>
  </si>
  <si>
    <t>723_</t>
  </si>
  <si>
    <t>Modul regulace pro okruh ÚV  vč. čidla teploty okruhu   (dod. výrobce kotle)</t>
  </si>
  <si>
    <t>734237142R00</t>
  </si>
  <si>
    <t>Dopojení koncového zařízení (kotel, čerp., čidlo MaR, modul mimo rozváděč, světlo aj.)</t>
  </si>
  <si>
    <t>99</t>
  </si>
  <si>
    <t>161</t>
  </si>
  <si>
    <t>21007VD</t>
  </si>
  <si>
    <t>Trubka DN200 - 500 mm</t>
  </si>
  <si>
    <t>Kotlová redukce DN 125/110 s měřícím otvorem</t>
  </si>
  <si>
    <t>107</t>
  </si>
  <si>
    <t>Potrubí hladké bezešvé v kotelnách D 89 x 3,6 mm</t>
  </si>
  <si>
    <t>Odvoz šrotu do sběru</t>
  </si>
  <si>
    <t>Zhotov.přechodu z trub.hladkých kováním 40/25</t>
  </si>
  <si>
    <t>Zakrytí podlah, včetně odstranění</t>
  </si>
  <si>
    <t>125</t>
  </si>
  <si>
    <t>Modul automatického jištění kotelny AJK6 - ADDAT s.r.o</t>
  </si>
  <si>
    <t>Vnitřní plynovod</t>
  </si>
  <si>
    <t>734209118R00</t>
  </si>
  <si>
    <t>JKSO:</t>
  </si>
  <si>
    <t>Malba klihová 1x,1barva, pačok 2x, místnost do 5 m</t>
  </si>
  <si>
    <t>Směš. ventil třícest. DN25 Kvs=10 +pohon 230V, 3-bod, cca 120sec</t>
  </si>
  <si>
    <t>85</t>
  </si>
  <si>
    <t>21101VD</t>
  </si>
  <si>
    <t>64</t>
  </si>
  <si>
    <t>Hlavní vypínač</t>
  </si>
  <si>
    <t>Demontáž armatur s 1závitem do G 1/2</t>
  </si>
  <si>
    <t>Demontáž potrubí ocelových závitových do DN 25 mm</t>
  </si>
  <si>
    <t>Regulátor vytápění vč. venk. čidla - bílé prov. (dod.výr.kotle)</t>
  </si>
  <si>
    <t>713400821R00</t>
  </si>
  <si>
    <t>Plyn.kotel kond. ZP, 17,2-100 kW, š/h/v-670/594/1520 prov.pravé</t>
  </si>
  <si>
    <t>197</t>
  </si>
  <si>
    <t>H723</t>
  </si>
  <si>
    <t>Výtěžek z prodeje šrotu (záporná položka rozpočtu)</t>
  </si>
  <si>
    <t>Soupis stavebních prací dodávek a služeb s výkazem výměr</t>
  </si>
  <si>
    <t>Revize plynového zařízení</t>
  </si>
  <si>
    <t>Manometr pr. 160, 0-2,5 KPa</t>
  </si>
  <si>
    <t>77</t>
  </si>
  <si>
    <t>21008VD</t>
  </si>
  <si>
    <t>72306VD</t>
  </si>
  <si>
    <t>Potěr pískocementový pálený tl. 30 mm - zapravení hadice v podlaze</t>
  </si>
  <si>
    <t>DN celkem</t>
  </si>
  <si>
    <t>Bourání podkladů bet., potěr, tl, do 10 cm,</t>
  </si>
  <si>
    <t>Vyvažovací ventil IMI TA STAD 50</t>
  </si>
  <si>
    <t>21 - 00VD</t>
  </si>
  <si>
    <t>Odplynění stávajícího plynového potrubí</t>
  </si>
  <si>
    <t>Průchozí kus kaskády se ZK DN200/125 se zpětnou klapkou</t>
  </si>
  <si>
    <t>116</t>
  </si>
  <si>
    <t>GROUPCODE</t>
  </si>
  <si>
    <t>146</t>
  </si>
  <si>
    <t>734431212R00</t>
  </si>
  <si>
    <t>Trubka DN125 - 2000 mm</t>
  </si>
  <si>
    <t>182</t>
  </si>
  <si>
    <t>Provozní vlivy</t>
  </si>
  <si>
    <t>5</t>
  </si>
  <si>
    <t>723239106R00</t>
  </si>
  <si>
    <t>734419112R00</t>
  </si>
  <si>
    <t>Přesun hmot pro vnitřní vodovod, výšky do 6 m</t>
  </si>
  <si>
    <t>203</t>
  </si>
  <si>
    <t>723190909R00</t>
  </si>
  <si>
    <t>Kaskádový modul pro řazení kotlů vč. čidla (dod. výrobce kotle)</t>
  </si>
  <si>
    <t>144</t>
  </si>
  <si>
    <t>Druh stavby:</t>
  </si>
  <si>
    <t>10009VD</t>
  </si>
  <si>
    <t>732420812R00</t>
  </si>
  <si>
    <t>162</t>
  </si>
  <si>
    <t>998732101R00</t>
  </si>
  <si>
    <t>Kohout kulový,2xvnitřní závit DN 25</t>
  </si>
  <si>
    <t>784</t>
  </si>
  <si>
    <t>722131911R00</t>
  </si>
  <si>
    <t>10012VD</t>
  </si>
  <si>
    <t>96</t>
  </si>
  <si>
    <t>Zpracováno dne:</t>
  </si>
  <si>
    <t>Štítek označovací na kabel</t>
  </si>
  <si>
    <t>735_</t>
  </si>
  <si>
    <t>728</t>
  </si>
  <si>
    <t>998722192R00</t>
  </si>
  <si>
    <t>202</t>
  </si>
  <si>
    <t>723235214R00</t>
  </si>
  <si>
    <t>194</t>
  </si>
  <si>
    <t>783</t>
  </si>
  <si>
    <t>Patní koleno 87° s kotvením DN200 flex</t>
  </si>
  <si>
    <t>10</t>
  </si>
  <si>
    <t>149</t>
  </si>
  <si>
    <t>58</t>
  </si>
  <si>
    <t>36</t>
  </si>
  <si>
    <t>734173213R00</t>
  </si>
  <si>
    <t>11VD</t>
  </si>
  <si>
    <t>Vypouštění vody z kotlů samospádem do 5 m2</t>
  </si>
  <si>
    <t>08025VD</t>
  </si>
  <si>
    <t>14</t>
  </si>
  <si>
    <t>783424140R00</t>
  </si>
  <si>
    <t>31</t>
  </si>
  <si>
    <t>84</t>
  </si>
  <si>
    <t>Přírubové spoje PN 0,6/I MPa, DN 40 - příprava pro čerpadlo</t>
  </si>
  <si>
    <t>Nátěr syntetický potrubí do DN 100 mm  Z + 1x email</t>
  </si>
  <si>
    <t>Příplatek za zvětšený přesun, vnitřní plynovod do 100 m</t>
  </si>
  <si>
    <t>Montáž čerpadel oběhových spirálních, DN 25</t>
  </si>
  <si>
    <t>Izolace tepelné potrubí</t>
  </si>
  <si>
    <t>Množství</t>
  </si>
  <si>
    <t>Zkouška tlaková a zkouška těsnosti plynového potrubí</t>
  </si>
  <si>
    <t>38</t>
  </si>
  <si>
    <t>Demontáž potrubí ocelového hladkého svařovaného D 159 mm</t>
  </si>
  <si>
    <t>VORN celkem</t>
  </si>
  <si>
    <t>Dod. + montáž clony do otvoru pro přívod vzduchu - pozink plech</t>
  </si>
  <si>
    <t>174</t>
  </si>
  <si>
    <t>H732</t>
  </si>
  <si>
    <t>Budovy občanské výstavby</t>
  </si>
  <si>
    <t>783421310R00</t>
  </si>
  <si>
    <t>95_</t>
  </si>
  <si>
    <t>Kulový kohout připojení manometru s nulováním TK1020 M20x1/2"</t>
  </si>
  <si>
    <t>Elektroměr 0,025-45 A 230 V, ověřený, na DIN lištu</t>
  </si>
  <si>
    <t>Drobný materiál (instalační krabice, hmoždinky, šrouby, lišty)</t>
  </si>
  <si>
    <t>Vnitřní vodovod</t>
  </si>
  <si>
    <t>723110202R00</t>
  </si>
  <si>
    <t>Typ skupiny</t>
  </si>
  <si>
    <t>733121217R00</t>
  </si>
  <si>
    <t>73</t>
  </si>
  <si>
    <t>Kohout kulový, vnitř.-vnitř.z. DN 50</t>
  </si>
  <si>
    <t>734200811R00</t>
  </si>
  <si>
    <t>723235111R00</t>
  </si>
  <si>
    <t>784432262R00</t>
  </si>
  <si>
    <t>Spoje pro rozvod vody plast polyf. D 20 mm</t>
  </si>
  <si>
    <t>979981101R00</t>
  </si>
  <si>
    <t>42610992.A</t>
  </si>
  <si>
    <t>21002VD</t>
  </si>
  <si>
    <t>61_</t>
  </si>
  <si>
    <t>188</t>
  </si>
  <si>
    <t>Ventil pojistný, DUCO DN 15/20 x 4,0 bar / voda</t>
  </si>
  <si>
    <t>08002VD</t>
  </si>
  <si>
    <t>Značení</t>
  </si>
  <si>
    <t>56</t>
  </si>
  <si>
    <t>732320814R00</t>
  </si>
  <si>
    <t>722_</t>
  </si>
  <si>
    <t>19</t>
  </si>
  <si>
    <t>Oběh. čerp. DN25 230 V, 4-50 W, PN6/10, 2 m3/h x 45 kPa autoadapt. f-ce</t>
  </si>
  <si>
    <t>C</t>
  </si>
  <si>
    <t>Izolace minerální pouzdro 0,038 W/m*K, D potrubí 76, tl.iz. 20</t>
  </si>
  <si>
    <t>Náklady (Kč)</t>
  </si>
  <si>
    <t>721</t>
  </si>
  <si>
    <t>110</t>
  </si>
  <si>
    <t>Příplatek zvětšený přesun, armatury do 500 m</t>
  </si>
  <si>
    <t>39</t>
  </si>
  <si>
    <t>650710111R00</t>
  </si>
  <si>
    <t>30</t>
  </si>
  <si>
    <t>731391811R00</t>
  </si>
  <si>
    <t>IČO/DIČ:</t>
  </si>
  <si>
    <t>Kohout kulový,2xvnitřní závit DN 50</t>
  </si>
  <si>
    <t>H01</t>
  </si>
  <si>
    <t>hod</t>
  </si>
  <si>
    <t>734200823R00</t>
  </si>
  <si>
    <t>Ostatní</t>
  </si>
  <si>
    <t>734200824R00</t>
  </si>
  <si>
    <t>86</t>
  </si>
  <si>
    <t>Armatury</t>
  </si>
  <si>
    <t>55</t>
  </si>
  <si>
    <t>Šroubení 1" / 6/4" k čerpadlu DN25</t>
  </si>
  <si>
    <t>Zpracoval:</t>
  </si>
  <si>
    <t>732</t>
  </si>
  <si>
    <t>76</t>
  </si>
  <si>
    <t>Bezručova 90, 735 81 Bohumín - Starý Bohumín</t>
  </si>
  <si>
    <t>210810050RT1</t>
  </si>
  <si>
    <t>Demontáž - odpojení nevyužitelného zařízení stávajícího rozvaděče</t>
  </si>
  <si>
    <t>998722101R00</t>
  </si>
  <si>
    <t>723110207R00</t>
  </si>
  <si>
    <t>220263113RT3</t>
  </si>
  <si>
    <t>Zhotovitel</t>
  </si>
  <si>
    <t>Potrubí ocel. závitové černé DN 15</t>
  </si>
  <si>
    <t>0603VD</t>
  </si>
  <si>
    <t>190</t>
  </si>
  <si>
    <t>Ovládací jednotka kotle, černé provedení  (dod.výr.kotle)</t>
  </si>
  <si>
    <t>2</t>
  </si>
  <si>
    <t>Projektant:</t>
  </si>
  <si>
    <t>Trubka DN200 - 2000</t>
  </si>
  <si>
    <t/>
  </si>
  <si>
    <t>Regulátor středotlaký, bez armatur typ ALZ 6U Bd (nezapojená rezerva)</t>
  </si>
  <si>
    <t>08003VD</t>
  </si>
  <si>
    <t>Zásuvka domovní v krabici - provedení 2P+PE</t>
  </si>
  <si>
    <t>Nakladání šrotu na dopr. prostř., manipulace</t>
  </si>
  <si>
    <t>152</t>
  </si>
  <si>
    <t>17</t>
  </si>
  <si>
    <t>Nátěr syntetický potrubí do DN 50 mm  Z + 1x email</t>
  </si>
  <si>
    <t>ks</t>
  </si>
  <si>
    <t>98</t>
  </si>
  <si>
    <t>723237265R00</t>
  </si>
  <si>
    <t>112</t>
  </si>
  <si>
    <t>10004VD</t>
  </si>
  <si>
    <t>Odborná prohlídka nízkotlaké kotelny dle vyhl. 91/93 Sb</t>
  </si>
  <si>
    <t>Trubka DN125 - 500 mm</t>
  </si>
  <si>
    <t>21</t>
  </si>
  <si>
    <t>210800547RT1</t>
  </si>
  <si>
    <t>734215133R00</t>
  </si>
  <si>
    <t>Celkem/MJ</t>
  </si>
  <si>
    <t>971033441R00</t>
  </si>
  <si>
    <t>Úprava povrchů vnitřní</t>
  </si>
  <si>
    <t>Práce přesčas</t>
  </si>
  <si>
    <t>723</t>
  </si>
  <si>
    <t>Demontáž čerpadel oběhových spirálních do DN 40</t>
  </si>
  <si>
    <t>31_</t>
  </si>
  <si>
    <t>Oprava omítek stěn štukových do 10 %</t>
  </si>
  <si>
    <t>733123117R00</t>
  </si>
  <si>
    <t>61</t>
  </si>
  <si>
    <t>126</t>
  </si>
  <si>
    <t>Uzavíraci a vyp.ventil exp.nádoby DN 40</t>
  </si>
  <si>
    <t>124</t>
  </si>
  <si>
    <t>158</t>
  </si>
  <si>
    <t>12</t>
  </si>
  <si>
    <t>Řídící jednotka kotle (dodávka výrobce kotle)</t>
  </si>
  <si>
    <t>El.mag.ventil DN50 PEVEKO EVPE M1050.036.02/P</t>
  </si>
  <si>
    <t>632451331R00</t>
  </si>
  <si>
    <t>Úprava připojení havarijního ventilu ve skřínce HUK + příruby</t>
  </si>
  <si>
    <t>Kulturní památka</t>
  </si>
  <si>
    <t>168</t>
  </si>
  <si>
    <t>Bourání konstrukcí</t>
  </si>
  <si>
    <t>Vybourání otv. zeď cihel. pl.0,25 m2, tl.30cm, MVC (odtahy spalin)</t>
  </si>
  <si>
    <t>DPH 21%</t>
  </si>
  <si>
    <t>184</t>
  </si>
  <si>
    <t>H733_</t>
  </si>
  <si>
    <t>134</t>
  </si>
  <si>
    <t>10027VD</t>
  </si>
  <si>
    <t>953802115R00</t>
  </si>
  <si>
    <t>Přesun hmot pro armatury, výšky do 6 m</t>
  </si>
  <si>
    <t>Odtahy spalin</t>
  </si>
  <si>
    <t>Odstranění izolačních pásů  potrubí</t>
  </si>
  <si>
    <t>196</t>
  </si>
  <si>
    <t>Revize TNS (tlakové nádoby stabilní - expanzní nádoby)</t>
  </si>
  <si>
    <t>722182006RT1</t>
  </si>
  <si>
    <t>Uvední kotle nad 50 kW do provozu, seřízení, vystavení protokolu</t>
  </si>
  <si>
    <t>Odvzdušnění a napuštění plynového potrubí</t>
  </si>
  <si>
    <t>Elektromontáže</t>
  </si>
  <si>
    <t>El.mag.ventil DN50 PEVEKO EVPE M1050.036.02/P - nezapojená rezerva</t>
  </si>
  <si>
    <t>998713192R00</t>
  </si>
  <si>
    <t>998764101R00</t>
  </si>
  <si>
    <t>H731</t>
  </si>
  <si>
    <t>187</t>
  </si>
  <si>
    <t>_</t>
  </si>
  <si>
    <t>733121224R00</t>
  </si>
  <si>
    <t>784011222RT2</t>
  </si>
  <si>
    <t>723120805R00</t>
  </si>
  <si>
    <t>191</t>
  </si>
  <si>
    <t>49</t>
  </si>
  <si>
    <t>72</t>
  </si>
  <si>
    <t>998723101R00</t>
  </si>
  <si>
    <t>713_</t>
  </si>
  <si>
    <t>Demontáž odtahů spalin</t>
  </si>
  <si>
    <t>(4,27+5,06)*2*5,3</t>
  </si>
  <si>
    <t>Přesuny</t>
  </si>
  <si>
    <t>MAT</t>
  </si>
  <si>
    <t>723235218R00</t>
  </si>
  <si>
    <t>70</t>
  </si>
  <si>
    <t>8</t>
  </si>
  <si>
    <t>Celkem:</t>
  </si>
  <si>
    <t>734261225R00</t>
  </si>
  <si>
    <t>Mimostav. doprava</t>
  </si>
  <si>
    <t>Nátěry</t>
  </si>
  <si>
    <t>210010002RT1</t>
  </si>
  <si>
    <t>731412167R00</t>
  </si>
  <si>
    <t>18</t>
  </si>
  <si>
    <t>DN celkem z obj.</t>
  </si>
  <si>
    <t>722131912R00</t>
  </si>
  <si>
    <t>Demontáž armatur se 2závity do G 1/2</t>
  </si>
  <si>
    <t>734265124R00</t>
  </si>
  <si>
    <t>46</t>
  </si>
  <si>
    <t>728_</t>
  </si>
  <si>
    <t>713</t>
  </si>
  <si>
    <t>181</t>
  </si>
  <si>
    <t>734261223R00</t>
  </si>
  <si>
    <t>Hlídka po ukončení práce s otevř. ohněm</t>
  </si>
  <si>
    <t>Pohon 120 sec SIEMENS SMP28</t>
  </si>
  <si>
    <t>71_</t>
  </si>
  <si>
    <t>176</t>
  </si>
  <si>
    <t>Přesun hmot pro strojovny, výšky do 6 m</t>
  </si>
  <si>
    <t>Ing Stanislav Wilczek</t>
  </si>
  <si>
    <t>722172311R00</t>
  </si>
  <si>
    <t>210810045RT1</t>
  </si>
  <si>
    <t>100</t>
  </si>
  <si>
    <t>M72VD</t>
  </si>
  <si>
    <t>108</t>
  </si>
  <si>
    <t>Kabel CYKY-m 3 x 1,5 mm2 pevně uložený (mat. vč. uložení)</t>
  </si>
  <si>
    <t>50</t>
  </si>
  <si>
    <t>Tlakoměr deformační 0-400 kPa / 1,6 / D 160 + red na připojení 1/2"</t>
  </si>
  <si>
    <t>Doplňovací automat REFLEX FILLCONTROL PLUS COMPACT</t>
  </si>
  <si>
    <t>m</t>
  </si>
  <si>
    <t>Propojení plast.potrubí polyf.D 20 mm, vodovod</t>
  </si>
  <si>
    <t>H733</t>
  </si>
  <si>
    <t>Oprava-potrubí závitové,vsazení odbočky DN 20</t>
  </si>
  <si>
    <t>11</t>
  </si>
  <si>
    <t>210010002R00</t>
  </si>
  <si>
    <t>Revize spalinových cest</t>
  </si>
  <si>
    <t>32</t>
  </si>
  <si>
    <t>km</t>
  </si>
  <si>
    <t>Rozvod potrubí</t>
  </si>
  <si>
    <t>Montáž modulů regulace z dod. výr. kotle</t>
  </si>
  <si>
    <t>Inhibitor koroze Topekor 0,5 L</t>
  </si>
  <si>
    <t>Objednatel:</t>
  </si>
  <si>
    <t>734</t>
  </si>
  <si>
    <t>734255114R00</t>
  </si>
  <si>
    <t>998721192R00</t>
  </si>
  <si>
    <t>210191013R00</t>
  </si>
  <si>
    <t>734209119R00</t>
  </si>
  <si>
    <t>PSV mat</t>
  </si>
  <si>
    <t>Kabel  JYTY 2 x 1 mm2 pevně uložený (mat.vč uložení)</t>
  </si>
  <si>
    <t>Demontáž koncového el zař. (čidla aj.)</t>
  </si>
  <si>
    <t>Izolace tepelné</t>
  </si>
  <si>
    <t>722171912R00</t>
  </si>
  <si>
    <t>Potřebné množství</t>
  </si>
  <si>
    <t>732429112R00</t>
  </si>
  <si>
    <t>3</t>
  </si>
  <si>
    <t>340*2</t>
  </si>
  <si>
    <t>340912279R00</t>
  </si>
  <si>
    <t>Přesun hmot pro rozvody potrubí, výšky do 6 m</t>
  </si>
  <si>
    <t>102</t>
  </si>
  <si>
    <t>Zhotovitel:</t>
  </si>
  <si>
    <t>734237116R00</t>
  </si>
  <si>
    <t>310236241RT1</t>
  </si>
  <si>
    <t>722130801R00</t>
  </si>
  <si>
    <t>%</t>
  </si>
  <si>
    <t>965043321RT2</t>
  </si>
  <si>
    <t>Kabel CYKY-m 4 x 1,5 mm2 pevně uložený (mat.vč. uložení)</t>
  </si>
  <si>
    <t>96_</t>
  </si>
  <si>
    <t>723150345R00</t>
  </si>
  <si>
    <t>Fitink blíže nespecifikovaný (dvojsuvky a pod.)</t>
  </si>
  <si>
    <t>783425150R00</t>
  </si>
  <si>
    <t>784_</t>
  </si>
  <si>
    <t>10001VD</t>
  </si>
  <si>
    <t>35</t>
  </si>
  <si>
    <t>Příplatek zvětšený přesun, kotelny do 500 m</t>
  </si>
  <si>
    <t>734271134R00</t>
  </si>
  <si>
    <t>Začátek výstavby:</t>
  </si>
  <si>
    <t>Sifon Zeus 40 mm pro přetlak</t>
  </si>
  <si>
    <t>Rozvaděč na omítku 2X12P/SMD</t>
  </si>
  <si>
    <t>Příplatek za zvětšený přesun, vnitřní kanalizace do 100 m</t>
  </si>
  <si>
    <t>732419112R00</t>
  </si>
  <si>
    <t>734237113R00</t>
  </si>
  <si>
    <t>A</t>
  </si>
  <si>
    <t>H713_</t>
  </si>
  <si>
    <t>Kohout kulový,vnitřní-vnitřní z. DN 15</t>
  </si>
  <si>
    <t>Mont mat</t>
  </si>
  <si>
    <t>163</t>
  </si>
  <si>
    <t>722</t>
  </si>
  <si>
    <t>998733101R00</t>
  </si>
  <si>
    <t>Slepý stavební rozpočet</t>
  </si>
  <si>
    <t>93</t>
  </si>
  <si>
    <t>73_</t>
  </si>
  <si>
    <t>173</t>
  </si>
  <si>
    <t>63_</t>
  </si>
  <si>
    <t>157</t>
  </si>
  <si>
    <t>101</t>
  </si>
  <si>
    <t>75</t>
  </si>
  <si>
    <t>54</t>
  </si>
  <si>
    <t xml:space="preserve"> </t>
  </si>
  <si>
    <t>Přesun hmot pro izolace tepelné, výšky do 6 m</t>
  </si>
  <si>
    <t>Kabel CYKY-m 750 V 3 x 2,5 mm2 pevně uložený (mat. vč. uložení)</t>
  </si>
  <si>
    <t>21005VD</t>
  </si>
  <si>
    <t>136</t>
  </si>
  <si>
    <t>153</t>
  </si>
  <si>
    <t>H734_</t>
  </si>
  <si>
    <t>123</t>
  </si>
  <si>
    <t>159</t>
  </si>
  <si>
    <t>723234221R00</t>
  </si>
  <si>
    <t>kg</t>
  </si>
  <si>
    <t>Objednatel</t>
  </si>
  <si>
    <t>57</t>
  </si>
  <si>
    <t>77003VD</t>
  </si>
  <si>
    <t>(Kč)</t>
  </si>
  <si>
    <t>H722</t>
  </si>
  <si>
    <t>Neutralizační box pro výkony do 800 kW</t>
  </si>
  <si>
    <t>783424340R00</t>
  </si>
  <si>
    <t>22</t>
  </si>
  <si>
    <t>Příplatek za malý rozsah do 20 m rozvodu</t>
  </si>
  <si>
    <t>115</t>
  </si>
  <si>
    <t>LED dvojzářivkové těleso 1,2 m vč. trubic</t>
  </si>
  <si>
    <t>Územní vlivy</t>
  </si>
  <si>
    <t>Zdi podpěrné a volné</t>
  </si>
  <si>
    <t>m3</t>
  </si>
  <si>
    <t>Datum:</t>
  </si>
  <si>
    <t>735494811R00</t>
  </si>
  <si>
    <t>27</t>
  </si>
  <si>
    <t>37</t>
  </si>
  <si>
    <t>80</t>
  </si>
  <si>
    <t>m2</t>
  </si>
  <si>
    <t>Demontáž nevyužitelných kabelových tras</t>
  </si>
  <si>
    <t>41</t>
  </si>
  <si>
    <t>732339101R00</t>
  </si>
  <si>
    <t>186</t>
  </si>
  <si>
    <t>Přesun hmot a sutí</t>
  </si>
  <si>
    <t>NUS z rozpočtu</t>
  </si>
  <si>
    <t>723190251R00</t>
  </si>
  <si>
    <t>727312VD</t>
  </si>
  <si>
    <t>1</t>
  </si>
  <si>
    <t>Jistič B13A na DIN lištu</t>
  </si>
  <si>
    <t>Odváděč kondenzátu DN 200</t>
  </si>
  <si>
    <t>Izolace návleková  tl. stěny 20 mm DN40</t>
  </si>
  <si>
    <t>Strojovny</t>
  </si>
  <si>
    <t>722181235RW4</t>
  </si>
  <si>
    <t>7</t>
  </si>
  <si>
    <t>612451231R00</t>
  </si>
  <si>
    <t>Občanská vybavenost</t>
  </si>
  <si>
    <t>Rozměry</t>
  </si>
  <si>
    <t>734237111R00</t>
  </si>
  <si>
    <t>74</t>
  </si>
  <si>
    <t>Plyn.kotel kond. ZP, 17,2-100 kW, š/h/v-670/594/1520 prov.levé</t>
  </si>
  <si>
    <t>Položek:</t>
  </si>
  <si>
    <t>Jistič B6A na DIN lištu</t>
  </si>
  <si>
    <t>NUS celkem</t>
  </si>
  <si>
    <t>Podlahy a podlahové konstrukce</t>
  </si>
  <si>
    <t>WORK</t>
  </si>
  <si>
    <t>164</t>
  </si>
  <si>
    <t>131</t>
  </si>
  <si>
    <t>H01_</t>
  </si>
  <si>
    <t>83</t>
  </si>
  <si>
    <t>06005VD</t>
  </si>
  <si>
    <t>733</t>
  </si>
  <si>
    <t>Přesun hmot pro kotelny, výšky do 6 m</t>
  </si>
  <si>
    <t>114</t>
  </si>
  <si>
    <t>Návrh provozního řádu, dokumentace, revizní kniha</t>
  </si>
  <si>
    <t>Ostatní rozpočtové náklady ORN</t>
  </si>
  <si>
    <t>H721</t>
  </si>
  <si>
    <t>47</t>
  </si>
  <si>
    <t>735</t>
  </si>
  <si>
    <t>HSV mat</t>
  </si>
  <si>
    <t>Kč</t>
  </si>
  <si>
    <t>M21_</t>
  </si>
  <si>
    <t>177</t>
  </si>
  <si>
    <t>66</t>
  </si>
  <si>
    <t>Nátěr syntet. potrubí do DN 50 mm  Z+2x +1x email</t>
  </si>
  <si>
    <t>H732_</t>
  </si>
  <si>
    <t>Potrubí z měděných trubek vytápění D 15 x 1,0 mm</t>
  </si>
  <si>
    <t>Montáž odkouření kondenzačního kotle</t>
  </si>
  <si>
    <t>Potrubí hladké bezešvé v kotelnách D 76 x 3,6 mm</t>
  </si>
  <si>
    <t>Celkem VRN</t>
  </si>
  <si>
    <t>Flexibilní trubka DN200</t>
  </si>
  <si>
    <t>Vzduchotechnika</t>
  </si>
  <si>
    <t>734294216R00</t>
  </si>
  <si>
    <t>201</t>
  </si>
  <si>
    <t>Příplatek za zhotovení přípojek / vsazení úseku DN 40-50</t>
  </si>
  <si>
    <t>734134412R00</t>
  </si>
  <si>
    <t>723234221RM5</t>
  </si>
  <si>
    <t>998734193R00</t>
  </si>
  <si>
    <t>155</t>
  </si>
  <si>
    <t>90</t>
  </si>
  <si>
    <t>Izolace návleková  tl. stěny 20 mm DN50</t>
  </si>
  <si>
    <t>89</t>
  </si>
  <si>
    <t>732419111R00</t>
  </si>
  <si>
    <t>Ostatní rozpočtové náklady (ORN)</t>
  </si>
  <si>
    <t>998731193R00</t>
  </si>
  <si>
    <t>Koncový kus kaskády se ZK DN200/125 se zpětnou klapkou</t>
  </si>
  <si>
    <t>Ing. Stanislav Wilczek</t>
  </si>
  <si>
    <t>179</t>
  </si>
  <si>
    <t>Celkem DN</t>
  </si>
  <si>
    <t>722179191R00</t>
  </si>
  <si>
    <t>185</t>
  </si>
  <si>
    <t>88</t>
  </si>
  <si>
    <t>148</t>
  </si>
  <si>
    <t>Modul uzavíracího ventilu  (dod. výrobce kotle)</t>
  </si>
  <si>
    <t>Náhradní náplň neutralizačního granulátu 10 kg</t>
  </si>
  <si>
    <t>Zkrácený popis</t>
  </si>
  <si>
    <t>28</t>
  </si>
  <si>
    <t>111</t>
  </si>
  <si>
    <t>2x proplach otopných těles + rozvodů + napušť. systému, prvotní odvzdušnění,</t>
  </si>
  <si>
    <t>H731_</t>
  </si>
  <si>
    <t>CELK</t>
  </si>
  <si>
    <t>Směš. ventil třícest. DN50 Kvs=40 +pohon 230V, 3-bod, cca 120sec</t>
  </si>
  <si>
    <t>113</t>
  </si>
  <si>
    <t>106</t>
  </si>
  <si>
    <t>Oběh. čerp. DN40 přírub, 230V, 12-178 W, PN6/10, 8 m3/h x 45 kPa autoadapt. f-ce</t>
  </si>
  <si>
    <t>723110203R00</t>
  </si>
  <si>
    <t>65</t>
  </si>
  <si>
    <t>VATTAX</t>
  </si>
  <si>
    <t>Prorážení otvorů a ostatní bourací práce</t>
  </si>
  <si>
    <t>Kabel.žlab s integr.spojkou 35x100 mm bez víka, vč. příslušenství</t>
  </si>
  <si>
    <t>169</t>
  </si>
  <si>
    <t>34</t>
  </si>
  <si>
    <t>62</t>
  </si>
  <si>
    <t>193</t>
  </si>
  <si>
    <t>Doplňkové náklady DN</t>
  </si>
  <si>
    <t>Šroubení topenářské, přímé, G 1/2</t>
  </si>
  <si>
    <t>731159316R00</t>
  </si>
  <si>
    <t>733110810R00</t>
  </si>
  <si>
    <t>Odvod kondenzátu - hadice plastová s výpletem pr. 28 vč.uchycení, propojení a zapáskování</t>
  </si>
  <si>
    <t>20002VD</t>
  </si>
  <si>
    <t>Skřínka plechová lakovaná pro HUK</t>
  </si>
  <si>
    <t>Redukce a propojky svodu kondenzátu (pro připojení hadice)</t>
  </si>
  <si>
    <t>734294215R00</t>
  </si>
  <si>
    <t>Manostat minimálního (0,9 bar) tlaku v systému</t>
  </si>
  <si>
    <t>734200833R00</t>
  </si>
  <si>
    <t>953802325R00</t>
  </si>
  <si>
    <t>H722_</t>
  </si>
  <si>
    <t>H723_</t>
  </si>
  <si>
    <t>Montáž čerpadel oběhových spirálních, DN 32-40</t>
  </si>
  <si>
    <t>Vnitřní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</si>
</sst>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7"/>
      <name val="Arial"/>
    </font>
    <font>
      <sz val="11"/>
      <name val="Calibri"/>
    </font>
    <font>
      <sz val="12"/>
      <color rgb="FF000000"/>
      <name val="Arial"/>
      <charset val="238"/>
    </font>
    <font>
      <b/>
      <sz val="12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9"/>
      <color rgb="FF000000"/>
      <name val="Arial"/>
      <charset val="238"/>
    </font>
    <font>
      <b/>
      <sz val="20"/>
      <color rgb="FF000000"/>
      <name val="Arial"/>
      <charset val="238"/>
    </font>
    <font>
      <b/>
      <sz val="18"/>
      <color rgb="FF000000"/>
      <name val="Arial"/>
      <charset val="238"/>
    </font>
    <font>
      <b/>
      <sz val="11"/>
      <color rgb="FF000000"/>
      <name val="Arial"/>
      <charset val="238"/>
    </font>
    <font>
      <i/>
      <sz val="10"/>
      <color rgb="FF000000"/>
      <name val="Arial"/>
      <charset val="238"/>
    </font>
    <font>
      <sz val="18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39">
    <xf numFmtId="0" fontId="1" fillId="0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0" fontId="4" fillId="0" borderId="11" xfId="0" applyNumberFormat="1" applyFont="1" applyFill="1" applyBorder="1" applyAlignment="1" applyProtection="1">
      <alignment horizontal="left" vertical="center"/>
    </xf>
    <xf numFmtId="4" fontId="5" fillId="2" borderId="0" xfId="0" applyNumberFormat="1" applyFont="1" applyFill="1" applyBorder="1" applyAlignment="1" applyProtection="1">
      <alignment horizontal="righ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5" fillId="2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2" fillId="0" borderId="11" xfId="0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8" fillId="2" borderId="6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right" vertical="center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horizontal="right" vertical="center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horizontal="left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24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right" vertical="center"/>
    </xf>
    <xf numFmtId="4" fontId="2" fillId="0" borderId="11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right" vertical="center"/>
    </xf>
    <xf numFmtId="0" fontId="5" fillId="0" borderId="16" xfId="0" applyNumberFormat="1" applyFont="1" applyFill="1" applyBorder="1" applyAlignment="1" applyProtection="1">
      <alignment horizontal="center" vertical="center"/>
    </xf>
    <xf numFmtId="0" fontId="5" fillId="2" borderId="22" xfId="0" applyNumberFormat="1" applyFont="1" applyFill="1" applyBorder="1" applyAlignment="1" applyProtection="1">
      <alignment horizontal="left" vertical="center"/>
    </xf>
    <xf numFmtId="0" fontId="4" fillId="2" borderId="22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5" fillId="2" borderId="22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0" fontId="5" fillId="0" borderId="26" xfId="0" applyNumberFormat="1" applyFont="1" applyFill="1" applyBorder="1" applyAlignment="1" applyProtection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2" fillId="0" borderId="4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Border="1" applyAlignment="1" applyProtection="1">
      <alignment horizontal="right" vertical="center"/>
    </xf>
    <xf numFmtId="4" fontId="4" fillId="0" borderId="8" xfId="0" applyNumberFormat="1" applyFont="1" applyFill="1" applyBorder="1" applyAlignment="1" applyProtection="1">
      <alignment horizontal="right" vertical="center"/>
    </xf>
    <xf numFmtId="0" fontId="8" fillId="2" borderId="33" xfId="0" applyNumberFormat="1" applyFont="1" applyFill="1" applyBorder="1" applyAlignment="1" applyProtection="1">
      <alignment horizontal="center" vertical="center"/>
    </xf>
    <xf numFmtId="4" fontId="3" fillId="2" borderId="11" xfId="0" applyNumberFormat="1" applyFont="1" applyFill="1" applyBorder="1" applyAlignment="1" applyProtection="1">
      <alignment horizontal="right" vertical="center"/>
    </xf>
    <xf numFmtId="4" fontId="4" fillId="0" borderId="11" xfId="0" applyNumberFormat="1" applyFont="1" applyFill="1" applyBorder="1" applyAlignment="1" applyProtection="1">
      <alignment horizontal="right" vertical="center"/>
    </xf>
    <xf numFmtId="0" fontId="4" fillId="2" borderId="22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0" fontId="1" fillId="0" borderId="7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34" xfId="0" applyNumberFormat="1" applyFont="1" applyFill="1" applyBorder="1" applyAlignment="1" applyProtection="1">
      <alignment horizontal="left" vertical="center"/>
    </xf>
    <xf numFmtId="0" fontId="5" fillId="0" borderId="23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right" vertical="center"/>
    </xf>
    <xf numFmtId="4" fontId="5" fillId="2" borderId="0" xfId="0" applyNumberFormat="1" applyFont="1" applyFill="1" applyBorder="1" applyAlignment="1" applyProtection="1">
      <alignment horizontal="right" vertical="center"/>
    </xf>
    <xf numFmtId="0" fontId="4" fillId="0" borderId="36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/>
    </xf>
    <xf numFmtId="0" fontId="5" fillId="2" borderId="7" xfId="0" applyNumberFormat="1" applyFont="1" applyFill="1" applyBorder="1" applyAlignment="1" applyProtection="1">
      <alignment horizontal="right" vertical="center"/>
    </xf>
    <xf numFmtId="4" fontId="3" fillId="2" borderId="6" xfId="0" applyNumberFormat="1" applyFont="1" applyFill="1" applyBorder="1" applyAlignment="1" applyProtection="1">
      <alignment horizontal="right" vertical="center"/>
    </xf>
    <xf numFmtId="4" fontId="2" fillId="0" borderId="7" xfId="0" applyNumberFormat="1" applyFont="1" applyFill="1" applyBorder="1" applyAlignment="1" applyProtection="1">
      <alignment horizontal="right" vertical="center"/>
    </xf>
    <xf numFmtId="0" fontId="1" fillId="0" borderId="22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 wrapText="1"/>
    </xf>
    <xf numFmtId="0" fontId="5" fillId="2" borderId="0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/>
    </xf>
    <xf numFmtId="0" fontId="5" fillId="0" borderId="15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25" xfId="0" applyNumberFormat="1" applyFont="1" applyFill="1" applyBorder="1" applyAlignment="1" applyProtection="1">
      <alignment horizontal="center" vertical="center"/>
    </xf>
    <xf numFmtId="0" fontId="5" fillId="0" borderId="29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4" fillId="0" borderId="20" xfId="0" applyNumberFormat="1" applyFont="1" applyFill="1" applyBorder="1" applyAlignment="1" applyProtection="1">
      <alignment horizontal="left" vertical="center" wrapText="1"/>
    </xf>
    <xf numFmtId="0" fontId="4" fillId="0" borderId="20" xfId="0" applyNumberFormat="1" applyFont="1" applyFill="1" applyBorder="1" applyAlignment="1" applyProtection="1">
      <alignment horizontal="left" vertical="center"/>
    </xf>
    <xf numFmtId="0" fontId="4" fillId="0" borderId="28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5" fillId="0" borderId="20" xfId="0" applyNumberFormat="1" applyFont="1" applyFill="1" applyBorder="1" applyAlignment="1" applyProtection="1">
      <alignment horizontal="left" vertical="center" wrapText="1"/>
    </xf>
    <xf numFmtId="0" fontId="5" fillId="0" borderId="20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4" fillId="0" borderId="22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30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3" fillId="2" borderId="27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 vertical="center"/>
    </xf>
    <xf numFmtId="0" fontId="3" fillId="2" borderId="17" xfId="0" applyNumberFormat="1" applyFont="1" applyFill="1" applyBorder="1" applyAlignment="1" applyProtection="1">
      <alignment horizontal="lef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7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10" fillId="0" borderId="10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left" vertical="center"/>
    </xf>
    <xf numFmtId="1" fontId="4" fillId="0" borderId="7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5" fillId="0" borderId="31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25" xfId="0" applyNumberFormat="1" applyFont="1" applyFill="1" applyBorder="1" applyAlignment="1" applyProtection="1">
      <alignment horizontal="left" vertical="center"/>
    </xf>
    <xf numFmtId="0" fontId="5" fillId="0" borderId="29" xfId="0" applyNumberFormat="1" applyFont="1" applyFill="1" applyBorder="1" applyAlignment="1" applyProtection="1">
      <alignment horizontal="left" vertical="center"/>
    </xf>
    <xf numFmtId="0" fontId="5" fillId="0" borderId="12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449580</xdr:colOff>
      <xdr:row>0</xdr:row>
      <xdr:rowOff>662940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746760</xdr:colOff>
      <xdr:row>0</xdr:row>
      <xdr:rowOff>662940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60960</xdr:colOff>
      <xdr:row>0</xdr:row>
      <xdr:rowOff>662940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60960</xdr:colOff>
      <xdr:row>0</xdr:row>
      <xdr:rowOff>662940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4676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W257"/>
  <sheetViews>
    <sheetView tabSelected="1" showOutlineSymbols="0" workbookViewId="0">
      <pane ySplit="11" topLeftCell="A12" activePane="bottomLeft" state="frozenSplit"/>
      <selection activeCell="A257" sqref="A257:L257"/>
      <selection pane="bottomLeft" sqref="A1:L1"/>
    </sheetView>
  </sheetViews>
  <sheetFormatPr defaultColWidth="17" defaultRowHeight="15" customHeight="1" x14ac:dyDescent="0.25"/>
  <cols>
    <col min="1" max="1" width="5.59765625"/>
    <col min="2" max="2" width="25"/>
    <col min="3" max="3" width="60"/>
    <col min="4" max="4" width="50"/>
    <col min="5" max="5" width="11.19921875"/>
    <col min="6" max="6" width="18"/>
    <col min="7" max="7" width="16.796875"/>
    <col min="8" max="10" width="22"/>
    <col min="11" max="12" width="16.3984375"/>
    <col min="25" max="75" width="17" hidden="1"/>
  </cols>
  <sheetData>
    <row r="1" spans="1:75" ht="54.75" customHeight="1" x14ac:dyDescent="0.25">
      <c r="A1" s="88" t="s">
        <v>677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AS1" s="5">
        <f>SUM(AJ1:AJ2)</f>
        <v>0</v>
      </c>
      <c r="AT1" s="5">
        <f>SUM(AK1:AK2)</f>
        <v>0</v>
      </c>
      <c r="AU1" s="5">
        <f>SUM(AL1:AL2)</f>
        <v>0</v>
      </c>
    </row>
    <row r="2" spans="1:75" ht="15" customHeight="1" x14ac:dyDescent="0.25">
      <c r="A2" s="89" t="s">
        <v>48</v>
      </c>
      <c r="B2" s="81"/>
      <c r="C2" s="86" t="s">
        <v>121</v>
      </c>
      <c r="D2" s="87"/>
      <c r="E2" s="81" t="s">
        <v>3</v>
      </c>
      <c r="F2" s="81"/>
      <c r="G2" s="81" t="s">
        <v>183</v>
      </c>
      <c r="H2" s="80" t="s">
        <v>630</v>
      </c>
      <c r="I2" s="80" t="s">
        <v>278</v>
      </c>
      <c r="J2" s="81"/>
      <c r="K2" s="81"/>
      <c r="L2" s="82"/>
    </row>
    <row r="3" spans="1:75" ht="15" customHeight="1" x14ac:dyDescent="0.25">
      <c r="A3" s="90"/>
      <c r="B3" s="69"/>
      <c r="C3" s="67"/>
      <c r="D3" s="67"/>
      <c r="E3" s="69"/>
      <c r="F3" s="69"/>
      <c r="G3" s="69"/>
      <c r="H3" s="69"/>
      <c r="I3" s="69"/>
      <c r="J3" s="69"/>
      <c r="K3" s="69"/>
      <c r="L3" s="83"/>
    </row>
    <row r="4" spans="1:75" ht="15" customHeight="1" x14ac:dyDescent="0.25">
      <c r="A4" s="91" t="s">
        <v>398</v>
      </c>
      <c r="B4" s="69"/>
      <c r="C4" s="68" t="s">
        <v>733</v>
      </c>
      <c r="D4" s="69"/>
      <c r="E4" s="69" t="s">
        <v>664</v>
      </c>
      <c r="F4" s="69"/>
      <c r="G4" s="69" t="s">
        <v>686</v>
      </c>
      <c r="H4" s="68" t="s">
        <v>508</v>
      </c>
      <c r="I4" s="68" t="s">
        <v>608</v>
      </c>
      <c r="J4" s="69"/>
      <c r="K4" s="69"/>
      <c r="L4" s="83"/>
    </row>
    <row r="5" spans="1:75" ht="15" customHeight="1" x14ac:dyDescent="0.25">
      <c r="A5" s="90"/>
      <c r="B5" s="69"/>
      <c r="C5" s="69"/>
      <c r="D5" s="69"/>
      <c r="E5" s="69"/>
      <c r="F5" s="69"/>
      <c r="G5" s="69"/>
      <c r="H5" s="69"/>
      <c r="I5" s="69"/>
      <c r="J5" s="69"/>
      <c r="K5" s="69"/>
      <c r="L5" s="83"/>
    </row>
    <row r="6" spans="1:75" ht="15" customHeight="1" x14ac:dyDescent="0.25">
      <c r="A6" s="91" t="s">
        <v>5</v>
      </c>
      <c r="B6" s="69"/>
      <c r="C6" s="68" t="s">
        <v>496</v>
      </c>
      <c r="D6" s="69"/>
      <c r="E6" s="69" t="s">
        <v>230</v>
      </c>
      <c r="F6" s="69"/>
      <c r="G6" s="69"/>
      <c r="H6" s="68" t="s">
        <v>648</v>
      </c>
      <c r="I6" s="69" t="s">
        <v>335</v>
      </c>
      <c r="J6" s="69"/>
      <c r="K6" s="69"/>
      <c r="L6" s="83"/>
    </row>
    <row r="7" spans="1:75" ht="15" customHeight="1" x14ac:dyDescent="0.25">
      <c r="A7" s="90"/>
      <c r="B7" s="69"/>
      <c r="C7" s="69"/>
      <c r="D7" s="69"/>
      <c r="E7" s="69"/>
      <c r="F7" s="69"/>
      <c r="G7" s="69"/>
      <c r="H7" s="69"/>
      <c r="I7" s="69"/>
      <c r="J7" s="69"/>
      <c r="K7" s="69"/>
      <c r="L7" s="83"/>
    </row>
    <row r="8" spans="1:75" ht="15" customHeight="1" x14ac:dyDescent="0.25">
      <c r="A8" s="91" t="s">
        <v>355</v>
      </c>
      <c r="B8" s="69"/>
      <c r="C8" s="68" t="s">
        <v>686</v>
      </c>
      <c r="D8" s="69"/>
      <c r="E8" s="69" t="s">
        <v>408</v>
      </c>
      <c r="F8" s="69"/>
      <c r="G8" s="69" t="s">
        <v>186</v>
      </c>
      <c r="H8" s="68" t="s">
        <v>493</v>
      </c>
      <c r="I8" s="68" t="s">
        <v>783</v>
      </c>
      <c r="J8" s="69"/>
      <c r="K8" s="69"/>
      <c r="L8" s="83"/>
    </row>
    <row r="9" spans="1:75" ht="15" customHeight="1" x14ac:dyDescent="0.25">
      <c r="A9" s="90"/>
      <c r="B9" s="69"/>
      <c r="C9" s="69"/>
      <c r="D9" s="69"/>
      <c r="E9" s="69"/>
      <c r="F9" s="69"/>
      <c r="G9" s="69"/>
      <c r="H9" s="69"/>
      <c r="I9" s="69"/>
      <c r="J9" s="69"/>
      <c r="K9" s="69"/>
      <c r="L9" s="83"/>
    </row>
    <row r="10" spans="1:75" ht="15" customHeight="1" x14ac:dyDescent="0.25">
      <c r="A10" s="39" t="s">
        <v>54</v>
      </c>
      <c r="B10" s="17" t="s">
        <v>235</v>
      </c>
      <c r="C10" s="84" t="s">
        <v>792</v>
      </c>
      <c r="D10" s="85"/>
      <c r="E10" s="17" t="s">
        <v>251</v>
      </c>
      <c r="F10" s="30" t="s">
        <v>435</v>
      </c>
      <c r="G10" s="25" t="s">
        <v>226</v>
      </c>
      <c r="H10" s="76" t="s">
        <v>474</v>
      </c>
      <c r="I10" s="77"/>
      <c r="J10" s="78"/>
      <c r="K10" s="77" t="s">
        <v>109</v>
      </c>
      <c r="L10" s="79"/>
      <c r="BK10" s="57" t="s">
        <v>287</v>
      </c>
      <c r="BL10" s="8" t="s">
        <v>384</v>
      </c>
      <c r="BW10" s="8" t="s">
        <v>804</v>
      </c>
    </row>
    <row r="11" spans="1:75" ht="15" customHeight="1" x14ac:dyDescent="0.25">
      <c r="A11" s="59" t="s">
        <v>686</v>
      </c>
      <c r="B11" s="2" t="s">
        <v>686</v>
      </c>
      <c r="C11" s="74" t="s">
        <v>734</v>
      </c>
      <c r="D11" s="75"/>
      <c r="E11" s="2" t="s">
        <v>686</v>
      </c>
      <c r="F11" s="2" t="s">
        <v>686</v>
      </c>
      <c r="G11" s="15" t="s">
        <v>700</v>
      </c>
      <c r="H11" s="14" t="s">
        <v>35</v>
      </c>
      <c r="I11" s="49" t="s">
        <v>137</v>
      </c>
      <c r="J11" s="55" t="s">
        <v>67</v>
      </c>
      <c r="K11" s="49" t="s">
        <v>237</v>
      </c>
      <c r="L11" s="49" t="s">
        <v>528</v>
      </c>
      <c r="Z11" s="57" t="s">
        <v>582</v>
      </c>
      <c r="AA11" s="57" t="s">
        <v>451</v>
      </c>
      <c r="AB11" s="57" t="s">
        <v>756</v>
      </c>
      <c r="AC11" s="57" t="s">
        <v>203</v>
      </c>
      <c r="AD11" s="57" t="s">
        <v>636</v>
      </c>
      <c r="AE11" s="57" t="s">
        <v>267</v>
      </c>
      <c r="AF11" s="57" t="s">
        <v>673</v>
      </c>
      <c r="AG11" s="57" t="s">
        <v>306</v>
      </c>
      <c r="AH11" s="57" t="s">
        <v>191</v>
      </c>
      <c r="BH11" s="57" t="s">
        <v>583</v>
      </c>
      <c r="BI11" s="57" t="s">
        <v>742</v>
      </c>
      <c r="BJ11" s="57" t="s">
        <v>797</v>
      </c>
    </row>
    <row r="12" spans="1:75" ht="15" customHeight="1" x14ac:dyDescent="0.25">
      <c r="A12" s="32" t="s">
        <v>510</v>
      </c>
      <c r="B12" s="6" t="s">
        <v>423</v>
      </c>
      <c r="C12" s="70" t="s">
        <v>215</v>
      </c>
      <c r="D12" s="71"/>
      <c r="E12" s="56" t="s">
        <v>686</v>
      </c>
      <c r="F12" s="56" t="s">
        <v>686</v>
      </c>
      <c r="G12" s="56" t="s">
        <v>686</v>
      </c>
      <c r="H12" s="58">
        <f>SUM(H13:H13)</f>
        <v>0</v>
      </c>
      <c r="I12" s="58">
        <f>SUM(I13:I13)</f>
        <v>0</v>
      </c>
      <c r="J12" s="58">
        <f>SUM(J13:J13)</f>
        <v>0</v>
      </c>
      <c r="K12" s="48" t="s">
        <v>510</v>
      </c>
      <c r="L12" s="63" t="s">
        <v>510</v>
      </c>
      <c r="AI12" s="57" t="s">
        <v>510</v>
      </c>
      <c r="AS12" s="5">
        <f>SUM(AJ13:AJ13)</f>
        <v>0</v>
      </c>
      <c r="AT12" s="5">
        <f>SUM(AK13:AK13)</f>
        <v>0</v>
      </c>
      <c r="AU12" s="5">
        <f>SUM(AL13:AL13)</f>
        <v>0</v>
      </c>
    </row>
    <row r="13" spans="1:75" ht="13.5" customHeight="1" x14ac:dyDescent="0.25">
      <c r="A13" s="36" t="s">
        <v>725</v>
      </c>
      <c r="B13" s="53" t="s">
        <v>93</v>
      </c>
      <c r="C13" s="68" t="s">
        <v>603</v>
      </c>
      <c r="D13" s="69"/>
      <c r="E13" s="53" t="s">
        <v>485</v>
      </c>
      <c r="F13" s="50">
        <v>24</v>
      </c>
      <c r="G13" s="50">
        <v>0</v>
      </c>
      <c r="H13" s="50">
        <f>F13*AO13</f>
        <v>0</v>
      </c>
      <c r="I13" s="50">
        <f>F13*AP13</f>
        <v>0</v>
      </c>
      <c r="J13" s="50">
        <f>F13*G13</f>
        <v>0</v>
      </c>
      <c r="K13" s="50">
        <v>0</v>
      </c>
      <c r="L13" s="29">
        <v>0</v>
      </c>
      <c r="Z13" s="50">
        <f>IF(AQ13="5",BJ13,0)</f>
        <v>0</v>
      </c>
      <c r="AB13" s="50">
        <f>IF(AQ13="1",BH13,0)</f>
        <v>0</v>
      </c>
      <c r="AC13" s="50">
        <f>IF(AQ13="1",BI13,0)</f>
        <v>0</v>
      </c>
      <c r="AD13" s="50">
        <f>IF(AQ13="7",BH13,0)</f>
        <v>0</v>
      </c>
      <c r="AE13" s="50">
        <f>IF(AQ13="7",BI13,0)</f>
        <v>0</v>
      </c>
      <c r="AF13" s="50">
        <f>IF(AQ13="2",BH13,0)</f>
        <v>0</v>
      </c>
      <c r="AG13" s="50">
        <f>IF(AQ13="2",BI13,0)</f>
        <v>0</v>
      </c>
      <c r="AH13" s="50">
        <f>IF(AQ13="0",BJ13,0)</f>
        <v>0</v>
      </c>
      <c r="AI13" s="57" t="s">
        <v>510</v>
      </c>
      <c r="AJ13" s="50">
        <f>IF(AN13=0,J13,0)</f>
        <v>0</v>
      </c>
      <c r="AK13" s="50">
        <f>IF(AN13=15,J13,0)</f>
        <v>0</v>
      </c>
      <c r="AL13" s="50">
        <f>IF(AN13=21,J13,0)</f>
        <v>0</v>
      </c>
      <c r="AN13" s="50">
        <v>21</v>
      </c>
      <c r="AO13" s="50">
        <f>G13*0</f>
        <v>0</v>
      </c>
      <c r="AP13" s="50">
        <f>G13*(1-0)</f>
        <v>0</v>
      </c>
      <c r="AQ13" s="38" t="s">
        <v>725</v>
      </c>
      <c r="AV13" s="50">
        <f>AW13+AX13</f>
        <v>0</v>
      </c>
      <c r="AW13" s="50">
        <f>F13*AO13</f>
        <v>0</v>
      </c>
      <c r="AX13" s="50">
        <f>F13*AP13</f>
        <v>0</v>
      </c>
      <c r="AY13" s="38" t="s">
        <v>53</v>
      </c>
      <c r="AZ13" s="38" t="s">
        <v>74</v>
      </c>
      <c r="BA13" s="57" t="s">
        <v>571</v>
      </c>
      <c r="BC13" s="50">
        <f>AW13+AX13</f>
        <v>0</v>
      </c>
      <c r="BD13" s="50">
        <f>G13/(100-BE13)*100</f>
        <v>0</v>
      </c>
      <c r="BE13" s="50">
        <v>0</v>
      </c>
      <c r="BF13" s="50">
        <f>13</f>
        <v>13</v>
      </c>
      <c r="BH13" s="50">
        <f>F13*AO13</f>
        <v>0</v>
      </c>
      <c r="BI13" s="50">
        <f>F13*AP13</f>
        <v>0</v>
      </c>
      <c r="BJ13" s="50">
        <f>F13*G13</f>
        <v>0</v>
      </c>
      <c r="BK13" s="50"/>
      <c r="BL13" s="50"/>
      <c r="BW13" s="50">
        <v>21</v>
      </c>
    </row>
    <row r="14" spans="1:75" ht="15" customHeight="1" x14ac:dyDescent="0.25">
      <c r="A14" s="47" t="s">
        <v>510</v>
      </c>
      <c r="B14" s="35" t="s">
        <v>428</v>
      </c>
      <c r="C14" s="70" t="s">
        <v>709</v>
      </c>
      <c r="D14" s="71"/>
      <c r="E14" s="1" t="s">
        <v>686</v>
      </c>
      <c r="F14" s="1" t="s">
        <v>686</v>
      </c>
      <c r="G14" s="1" t="s">
        <v>686</v>
      </c>
      <c r="H14" s="5">
        <f>SUM(H15:H16)</f>
        <v>0</v>
      </c>
      <c r="I14" s="5">
        <f>SUM(I15:I16)</f>
        <v>0</v>
      </c>
      <c r="J14" s="5">
        <f>SUM(J15:J16)</f>
        <v>0</v>
      </c>
      <c r="K14" s="57" t="s">
        <v>510</v>
      </c>
      <c r="L14" s="7" t="s">
        <v>510</v>
      </c>
      <c r="AI14" s="57" t="s">
        <v>510</v>
      </c>
      <c r="AS14" s="5">
        <f>SUM(AJ15:AJ16)</f>
        <v>0</v>
      </c>
      <c r="AT14" s="5">
        <f>SUM(AK15:AK16)</f>
        <v>0</v>
      </c>
      <c r="AU14" s="5">
        <f>SUM(AL15:AL16)</f>
        <v>0</v>
      </c>
    </row>
    <row r="15" spans="1:75" ht="13.5" customHeight="1" x14ac:dyDescent="0.25">
      <c r="A15" s="36" t="s">
        <v>507</v>
      </c>
      <c r="B15" s="53" t="s">
        <v>309</v>
      </c>
      <c r="C15" s="68" t="s">
        <v>86</v>
      </c>
      <c r="D15" s="69"/>
      <c r="E15" s="53" t="s">
        <v>180</v>
      </c>
      <c r="F15" s="50">
        <v>1</v>
      </c>
      <c r="G15" s="50">
        <v>0</v>
      </c>
      <c r="H15" s="50">
        <f>F15*AO15</f>
        <v>0</v>
      </c>
      <c r="I15" s="50">
        <f>F15*AP15</f>
        <v>0</v>
      </c>
      <c r="J15" s="50">
        <f>F15*G15</f>
        <v>0</v>
      </c>
      <c r="K15" s="50">
        <v>0.11122</v>
      </c>
      <c r="L15" s="29">
        <v>0.11122</v>
      </c>
      <c r="Z15" s="50">
        <f>IF(AQ15="5",BJ15,0)</f>
        <v>0</v>
      </c>
      <c r="AB15" s="50">
        <f>IF(AQ15="1",BH15,0)</f>
        <v>0</v>
      </c>
      <c r="AC15" s="50">
        <f>IF(AQ15="1",BI15,0)</f>
        <v>0</v>
      </c>
      <c r="AD15" s="50">
        <f>IF(AQ15="7",BH15,0)</f>
        <v>0</v>
      </c>
      <c r="AE15" s="50">
        <f>IF(AQ15="7",BI15,0)</f>
        <v>0</v>
      </c>
      <c r="AF15" s="50">
        <f>IF(AQ15="2",BH15,0)</f>
        <v>0</v>
      </c>
      <c r="AG15" s="50">
        <f>IF(AQ15="2",BI15,0)</f>
        <v>0</v>
      </c>
      <c r="AH15" s="50">
        <f>IF(AQ15="0",BJ15,0)</f>
        <v>0</v>
      </c>
      <c r="AI15" s="57" t="s">
        <v>510</v>
      </c>
      <c r="AJ15" s="50">
        <f>IF(AN15=0,J15,0)</f>
        <v>0</v>
      </c>
      <c r="AK15" s="50">
        <f>IF(AN15=15,J15,0)</f>
        <v>0</v>
      </c>
      <c r="AL15" s="50">
        <f>IF(AN15=21,J15,0)</f>
        <v>0</v>
      </c>
      <c r="AN15" s="50">
        <v>21</v>
      </c>
      <c r="AO15" s="50">
        <f>G15*0.620550964187328</f>
        <v>0</v>
      </c>
      <c r="AP15" s="50">
        <f>G15*(1-0.620550964187328)</f>
        <v>0</v>
      </c>
      <c r="AQ15" s="38" t="s">
        <v>725</v>
      </c>
      <c r="AV15" s="50">
        <f>AW15+AX15</f>
        <v>0</v>
      </c>
      <c r="AW15" s="50">
        <f>F15*AO15</f>
        <v>0</v>
      </c>
      <c r="AX15" s="50">
        <f>F15*AP15</f>
        <v>0</v>
      </c>
      <c r="AY15" s="38" t="s">
        <v>534</v>
      </c>
      <c r="AZ15" s="38" t="s">
        <v>37</v>
      </c>
      <c r="BA15" s="57" t="s">
        <v>571</v>
      </c>
      <c r="BC15" s="50">
        <f>AW15+AX15</f>
        <v>0</v>
      </c>
      <c r="BD15" s="50">
        <f>G15/(100-BE15)*100</f>
        <v>0</v>
      </c>
      <c r="BE15" s="50">
        <v>0</v>
      </c>
      <c r="BF15" s="50">
        <f>15</f>
        <v>15</v>
      </c>
      <c r="BH15" s="50">
        <f>F15*AO15</f>
        <v>0</v>
      </c>
      <c r="BI15" s="50">
        <f>F15*AP15</f>
        <v>0</v>
      </c>
      <c r="BJ15" s="50">
        <f>F15*G15</f>
        <v>0</v>
      </c>
      <c r="BK15" s="50"/>
      <c r="BL15" s="50">
        <v>31</v>
      </c>
      <c r="BW15" s="50">
        <v>21</v>
      </c>
    </row>
    <row r="16" spans="1:75" ht="13.5" customHeight="1" x14ac:dyDescent="0.25">
      <c r="A16" s="36" t="s">
        <v>643</v>
      </c>
      <c r="B16" s="53" t="s">
        <v>650</v>
      </c>
      <c r="C16" s="68" t="s">
        <v>117</v>
      </c>
      <c r="D16" s="69"/>
      <c r="E16" s="53" t="s">
        <v>180</v>
      </c>
      <c r="F16" s="50">
        <v>1</v>
      </c>
      <c r="G16" s="50">
        <v>0</v>
      </c>
      <c r="H16" s="50">
        <f>F16*AO16</f>
        <v>0</v>
      </c>
      <c r="I16" s="50">
        <f>F16*AP16</f>
        <v>0</v>
      </c>
      <c r="J16" s="50">
        <f>F16*G16</f>
        <v>0</v>
      </c>
      <c r="K16" s="50">
        <v>4.5420000000000002E-2</v>
      </c>
      <c r="L16" s="29">
        <v>4.5420000000000002E-2</v>
      </c>
      <c r="Z16" s="50">
        <f>IF(AQ16="5",BJ16,0)</f>
        <v>0</v>
      </c>
      <c r="AB16" s="50">
        <f>IF(AQ16="1",BH16,0)</f>
        <v>0</v>
      </c>
      <c r="AC16" s="50">
        <f>IF(AQ16="1",BI16,0)</f>
        <v>0</v>
      </c>
      <c r="AD16" s="50">
        <f>IF(AQ16="7",BH16,0)</f>
        <v>0</v>
      </c>
      <c r="AE16" s="50">
        <f>IF(AQ16="7",BI16,0)</f>
        <v>0</v>
      </c>
      <c r="AF16" s="50">
        <f>IF(AQ16="2",BH16,0)</f>
        <v>0</v>
      </c>
      <c r="AG16" s="50">
        <f>IF(AQ16="2",BI16,0)</f>
        <v>0</v>
      </c>
      <c r="AH16" s="50">
        <f>IF(AQ16="0",BJ16,0)</f>
        <v>0</v>
      </c>
      <c r="AI16" s="57" t="s">
        <v>510</v>
      </c>
      <c r="AJ16" s="50">
        <f>IF(AN16=0,J16,0)</f>
        <v>0</v>
      </c>
      <c r="AK16" s="50">
        <f>IF(AN16=15,J16,0)</f>
        <v>0</v>
      </c>
      <c r="AL16" s="50">
        <f>IF(AN16=21,J16,0)</f>
        <v>0</v>
      </c>
      <c r="AN16" s="50">
        <v>21</v>
      </c>
      <c r="AO16" s="50">
        <f>G16*0.732558139534884</f>
        <v>0</v>
      </c>
      <c r="AP16" s="50">
        <f>G16*(1-0.732558139534884)</f>
        <v>0</v>
      </c>
      <c r="AQ16" s="38" t="s">
        <v>725</v>
      </c>
      <c r="AV16" s="50">
        <f>AW16+AX16</f>
        <v>0</v>
      </c>
      <c r="AW16" s="50">
        <f>F16*AO16</f>
        <v>0</v>
      </c>
      <c r="AX16" s="50">
        <f>F16*AP16</f>
        <v>0</v>
      </c>
      <c r="AY16" s="38" t="s">
        <v>534</v>
      </c>
      <c r="AZ16" s="38" t="s">
        <v>37</v>
      </c>
      <c r="BA16" s="57" t="s">
        <v>571</v>
      </c>
      <c r="BC16" s="50">
        <f>AW16+AX16</f>
        <v>0</v>
      </c>
      <c r="BD16" s="50">
        <f>G16/(100-BE16)*100</f>
        <v>0</v>
      </c>
      <c r="BE16" s="50">
        <v>0</v>
      </c>
      <c r="BF16" s="50">
        <f>16</f>
        <v>16</v>
      </c>
      <c r="BH16" s="50">
        <f>F16*AO16</f>
        <v>0</v>
      </c>
      <c r="BI16" s="50">
        <f>F16*AP16</f>
        <v>0</v>
      </c>
      <c r="BJ16" s="50">
        <f>F16*G16</f>
        <v>0</v>
      </c>
      <c r="BK16" s="50"/>
      <c r="BL16" s="50">
        <v>31</v>
      </c>
      <c r="BW16" s="50">
        <v>21</v>
      </c>
    </row>
    <row r="17" spans="1:75" ht="15" customHeight="1" x14ac:dyDescent="0.25">
      <c r="A17" s="47" t="s">
        <v>510</v>
      </c>
      <c r="B17" s="35" t="s">
        <v>537</v>
      </c>
      <c r="C17" s="70" t="s">
        <v>530</v>
      </c>
      <c r="D17" s="71"/>
      <c r="E17" s="1" t="s">
        <v>686</v>
      </c>
      <c r="F17" s="1" t="s">
        <v>686</v>
      </c>
      <c r="G17" s="1" t="s">
        <v>686</v>
      </c>
      <c r="H17" s="5">
        <f>SUM(H18:H18)</f>
        <v>0</v>
      </c>
      <c r="I17" s="5">
        <f>SUM(I18:I18)</f>
        <v>0</v>
      </c>
      <c r="J17" s="5">
        <f>SUM(J18:J18)</f>
        <v>0</v>
      </c>
      <c r="K17" s="57" t="s">
        <v>510</v>
      </c>
      <c r="L17" s="7" t="s">
        <v>510</v>
      </c>
      <c r="AI17" s="57" t="s">
        <v>510</v>
      </c>
      <c r="AS17" s="5">
        <f>SUM(AJ18:AJ18)</f>
        <v>0</v>
      </c>
      <c r="AT17" s="5">
        <f>SUM(AK18:AK18)</f>
        <v>0</v>
      </c>
      <c r="AU17" s="5">
        <f>SUM(AL18:AL18)</f>
        <v>0</v>
      </c>
    </row>
    <row r="18" spans="1:75" ht="13.5" customHeight="1" x14ac:dyDescent="0.25">
      <c r="A18" s="36" t="s">
        <v>75</v>
      </c>
      <c r="B18" s="53" t="s">
        <v>732</v>
      </c>
      <c r="C18" s="68" t="s">
        <v>535</v>
      </c>
      <c r="D18" s="69"/>
      <c r="E18" s="53" t="s">
        <v>716</v>
      </c>
      <c r="F18" s="50">
        <v>98.9</v>
      </c>
      <c r="G18" s="50">
        <v>0</v>
      </c>
      <c r="H18" s="50">
        <f>F18*AO18</f>
        <v>0</v>
      </c>
      <c r="I18" s="50">
        <f>F18*AP18</f>
        <v>0</v>
      </c>
      <c r="J18" s="50">
        <f>F18*G18</f>
        <v>0</v>
      </c>
      <c r="K18" s="50">
        <v>5.3899999999999998E-3</v>
      </c>
      <c r="L18" s="29">
        <v>5.3899999999999998E-3</v>
      </c>
      <c r="Z18" s="50">
        <f>IF(AQ18="5",BJ18,0)</f>
        <v>0</v>
      </c>
      <c r="AB18" s="50">
        <f>IF(AQ18="1",BH18,0)</f>
        <v>0</v>
      </c>
      <c r="AC18" s="50">
        <f>IF(AQ18="1",BI18,0)</f>
        <v>0</v>
      </c>
      <c r="AD18" s="50">
        <f>IF(AQ18="7",BH18,0)</f>
        <v>0</v>
      </c>
      <c r="AE18" s="50">
        <f>IF(AQ18="7",BI18,0)</f>
        <v>0</v>
      </c>
      <c r="AF18" s="50">
        <f>IF(AQ18="2",BH18,0)</f>
        <v>0</v>
      </c>
      <c r="AG18" s="50">
        <f>IF(AQ18="2",BI18,0)</f>
        <v>0</v>
      </c>
      <c r="AH18" s="50">
        <f>IF(AQ18="0",BJ18,0)</f>
        <v>0</v>
      </c>
      <c r="AI18" s="57" t="s">
        <v>510</v>
      </c>
      <c r="AJ18" s="50">
        <f>IF(AN18=0,J18,0)</f>
        <v>0</v>
      </c>
      <c r="AK18" s="50">
        <f>IF(AN18=15,J18,0)</f>
        <v>0</v>
      </c>
      <c r="AL18" s="50">
        <f>IF(AN18=21,J18,0)</f>
        <v>0</v>
      </c>
      <c r="AN18" s="50">
        <v>21</v>
      </c>
      <c r="AO18" s="50">
        <f>G18*0.0418992704466914</f>
        <v>0</v>
      </c>
      <c r="AP18" s="50">
        <f>G18*(1-0.0418992704466914)</f>
        <v>0</v>
      </c>
      <c r="AQ18" s="38" t="s">
        <v>725</v>
      </c>
      <c r="AV18" s="50">
        <f>AW18+AX18</f>
        <v>0</v>
      </c>
      <c r="AW18" s="50">
        <f>F18*AO18</f>
        <v>0</v>
      </c>
      <c r="AX18" s="50">
        <f>F18*AP18</f>
        <v>0</v>
      </c>
      <c r="AY18" s="38" t="s">
        <v>462</v>
      </c>
      <c r="AZ18" s="38" t="s">
        <v>88</v>
      </c>
      <c r="BA18" s="57" t="s">
        <v>571</v>
      </c>
      <c r="BC18" s="50">
        <f>AW18+AX18</f>
        <v>0</v>
      </c>
      <c r="BD18" s="50">
        <f>G18/(100-BE18)*100</f>
        <v>0</v>
      </c>
      <c r="BE18" s="50">
        <v>0</v>
      </c>
      <c r="BF18" s="50">
        <f>18</f>
        <v>18</v>
      </c>
      <c r="BH18" s="50">
        <f>F18*AO18</f>
        <v>0</v>
      </c>
      <c r="BI18" s="50">
        <f>F18*AP18</f>
        <v>0</v>
      </c>
      <c r="BJ18" s="50">
        <f>F18*G18</f>
        <v>0</v>
      </c>
      <c r="BK18" s="50"/>
      <c r="BL18" s="50">
        <v>61</v>
      </c>
      <c r="BW18" s="50">
        <v>21</v>
      </c>
    </row>
    <row r="19" spans="1:75" ht="15" customHeight="1" x14ac:dyDescent="0.25">
      <c r="A19" s="66"/>
      <c r="C19" s="60" t="s">
        <v>581</v>
      </c>
      <c r="D19" s="60" t="s">
        <v>510</v>
      </c>
      <c r="F19" s="42">
        <v>98.9</v>
      </c>
      <c r="L19" s="52"/>
    </row>
    <row r="20" spans="1:75" ht="15" customHeight="1" x14ac:dyDescent="0.25">
      <c r="A20" s="47" t="s">
        <v>510</v>
      </c>
      <c r="B20" s="35" t="s">
        <v>164</v>
      </c>
      <c r="C20" s="70" t="s">
        <v>741</v>
      </c>
      <c r="D20" s="71"/>
      <c r="E20" s="1" t="s">
        <v>686</v>
      </c>
      <c r="F20" s="1" t="s">
        <v>686</v>
      </c>
      <c r="G20" s="1" t="s">
        <v>686</v>
      </c>
      <c r="H20" s="5">
        <f>SUM(H21:H21)</f>
        <v>0</v>
      </c>
      <c r="I20" s="5">
        <f>SUM(I21:I21)</f>
        <v>0</v>
      </c>
      <c r="J20" s="5">
        <f>SUM(J21:J21)</f>
        <v>0</v>
      </c>
      <c r="K20" s="57" t="s">
        <v>510</v>
      </c>
      <c r="L20" s="7" t="s">
        <v>510</v>
      </c>
      <c r="AI20" s="57" t="s">
        <v>510</v>
      </c>
      <c r="AS20" s="5">
        <f>SUM(AJ21:AJ21)</f>
        <v>0</v>
      </c>
      <c r="AT20" s="5">
        <f>SUM(AK21:AK21)</f>
        <v>0</v>
      </c>
      <c r="AU20" s="5">
        <f>SUM(AL21:AL21)</f>
        <v>0</v>
      </c>
    </row>
    <row r="21" spans="1:75" ht="13.5" customHeight="1" x14ac:dyDescent="0.25">
      <c r="A21" s="36" t="s">
        <v>390</v>
      </c>
      <c r="B21" s="53" t="s">
        <v>545</v>
      </c>
      <c r="C21" s="68" t="s">
        <v>376</v>
      </c>
      <c r="D21" s="69"/>
      <c r="E21" s="53" t="s">
        <v>716</v>
      </c>
      <c r="F21" s="50">
        <v>0.24</v>
      </c>
      <c r="G21" s="50">
        <v>0</v>
      </c>
      <c r="H21" s="50">
        <f>F21*AO21</f>
        <v>0</v>
      </c>
      <c r="I21" s="50">
        <f>F21*AP21</f>
        <v>0</v>
      </c>
      <c r="J21" s="50">
        <f>F21*G21</f>
        <v>0</v>
      </c>
      <c r="K21" s="50">
        <v>7.4260000000000007E-2</v>
      </c>
      <c r="L21" s="29">
        <v>7.4260000000000007E-2</v>
      </c>
      <c r="Z21" s="50">
        <f>IF(AQ21="5",BJ21,0)</f>
        <v>0</v>
      </c>
      <c r="AB21" s="50">
        <f>IF(AQ21="1",BH21,0)</f>
        <v>0</v>
      </c>
      <c r="AC21" s="50">
        <f>IF(AQ21="1",BI21,0)</f>
        <v>0</v>
      </c>
      <c r="AD21" s="50">
        <f>IF(AQ21="7",BH21,0)</f>
        <v>0</v>
      </c>
      <c r="AE21" s="50">
        <f>IF(AQ21="7",BI21,0)</f>
        <v>0</v>
      </c>
      <c r="AF21" s="50">
        <f>IF(AQ21="2",BH21,0)</f>
        <v>0</v>
      </c>
      <c r="AG21" s="50">
        <f>IF(AQ21="2",BI21,0)</f>
        <v>0</v>
      </c>
      <c r="AH21" s="50">
        <f>IF(AQ21="0",BJ21,0)</f>
        <v>0</v>
      </c>
      <c r="AI21" s="57" t="s">
        <v>510</v>
      </c>
      <c r="AJ21" s="50">
        <f>IF(AN21=0,J21,0)</f>
        <v>0</v>
      </c>
      <c r="AK21" s="50">
        <f>IF(AN21=15,J21,0)</f>
        <v>0</v>
      </c>
      <c r="AL21" s="50">
        <f>IF(AN21=21,J21,0)</f>
        <v>0</v>
      </c>
      <c r="AN21" s="50">
        <v>21</v>
      </c>
      <c r="AO21" s="50">
        <f>G21*0.232216822429907</f>
        <v>0</v>
      </c>
      <c r="AP21" s="50">
        <f>G21*(1-0.232216822429907)</f>
        <v>0</v>
      </c>
      <c r="AQ21" s="38" t="s">
        <v>725</v>
      </c>
      <c r="AV21" s="50">
        <f>AW21+AX21</f>
        <v>0</v>
      </c>
      <c r="AW21" s="50">
        <f>F21*AO21</f>
        <v>0</v>
      </c>
      <c r="AX21" s="50">
        <f>F21*AP21</f>
        <v>0</v>
      </c>
      <c r="AY21" s="38" t="s">
        <v>681</v>
      </c>
      <c r="AZ21" s="38" t="s">
        <v>88</v>
      </c>
      <c r="BA21" s="57" t="s">
        <v>571</v>
      </c>
      <c r="BC21" s="50">
        <f>AW21+AX21</f>
        <v>0</v>
      </c>
      <c r="BD21" s="50">
        <f>G21/(100-BE21)*100</f>
        <v>0</v>
      </c>
      <c r="BE21" s="50">
        <v>0</v>
      </c>
      <c r="BF21" s="50">
        <f>21</f>
        <v>21</v>
      </c>
      <c r="BH21" s="50">
        <f>F21*AO21</f>
        <v>0</v>
      </c>
      <c r="BI21" s="50">
        <f>F21*AP21</f>
        <v>0</v>
      </c>
      <c r="BJ21" s="50">
        <f>F21*G21</f>
        <v>0</v>
      </c>
      <c r="BK21" s="50"/>
      <c r="BL21" s="50">
        <v>63</v>
      </c>
      <c r="BW21" s="50">
        <v>21</v>
      </c>
    </row>
    <row r="22" spans="1:75" ht="15" customHeight="1" x14ac:dyDescent="0.25">
      <c r="A22" s="66"/>
      <c r="C22" s="60" t="s">
        <v>241</v>
      </c>
      <c r="D22" s="60" t="s">
        <v>510</v>
      </c>
      <c r="F22" s="42">
        <v>0.24000000000000002</v>
      </c>
      <c r="L22" s="52"/>
    </row>
    <row r="23" spans="1:75" ht="15" customHeight="1" x14ac:dyDescent="0.25">
      <c r="A23" s="47" t="s">
        <v>510</v>
      </c>
      <c r="B23" s="35" t="s">
        <v>600</v>
      </c>
      <c r="C23" s="70" t="s">
        <v>434</v>
      </c>
      <c r="D23" s="71"/>
      <c r="E23" s="1" t="s">
        <v>686</v>
      </c>
      <c r="F23" s="1" t="s">
        <v>686</v>
      </c>
      <c r="G23" s="1" t="s">
        <v>686</v>
      </c>
      <c r="H23" s="5">
        <f>SUM(H24:H28)</f>
        <v>0</v>
      </c>
      <c r="I23" s="5">
        <f>SUM(I24:I28)</f>
        <v>0</v>
      </c>
      <c r="J23" s="5">
        <f>SUM(J24:J28)</f>
        <v>0</v>
      </c>
      <c r="K23" s="57" t="s">
        <v>510</v>
      </c>
      <c r="L23" s="7" t="s">
        <v>510</v>
      </c>
      <c r="AI23" s="57" t="s">
        <v>510</v>
      </c>
      <c r="AS23" s="5">
        <f>SUM(AJ24:AJ28)</f>
        <v>0</v>
      </c>
      <c r="AT23" s="5">
        <f>SUM(AK24:AK28)</f>
        <v>0</v>
      </c>
      <c r="AU23" s="5">
        <f>SUM(AL24:AL28)</f>
        <v>0</v>
      </c>
    </row>
    <row r="24" spans="1:75" ht="13.5" customHeight="1" x14ac:dyDescent="0.25">
      <c r="A24" s="36" t="s">
        <v>118</v>
      </c>
      <c r="B24" s="53" t="s">
        <v>365</v>
      </c>
      <c r="C24" s="68" t="s">
        <v>559</v>
      </c>
      <c r="D24" s="69"/>
      <c r="E24" s="53" t="s">
        <v>716</v>
      </c>
      <c r="F24" s="50">
        <v>7</v>
      </c>
      <c r="G24" s="50">
        <v>0</v>
      </c>
      <c r="H24" s="50">
        <f>F24*AO24</f>
        <v>0</v>
      </c>
      <c r="I24" s="50">
        <f>F24*AP24</f>
        <v>0</v>
      </c>
      <c r="J24" s="50">
        <f>F24*G24</f>
        <v>0</v>
      </c>
      <c r="K24" s="50">
        <v>0</v>
      </c>
      <c r="L24" s="29">
        <v>2.0999999999999999E-3</v>
      </c>
      <c r="Z24" s="50">
        <f>IF(AQ24="5",BJ24,0)</f>
        <v>0</v>
      </c>
      <c r="AB24" s="50">
        <f>IF(AQ24="1",BH24,0)</f>
        <v>0</v>
      </c>
      <c r="AC24" s="50">
        <f>IF(AQ24="1",BI24,0)</f>
        <v>0</v>
      </c>
      <c r="AD24" s="50">
        <f>IF(AQ24="7",BH24,0)</f>
        <v>0</v>
      </c>
      <c r="AE24" s="50">
        <f>IF(AQ24="7",BI24,0)</f>
        <v>0</v>
      </c>
      <c r="AF24" s="50">
        <f>IF(AQ24="2",BH24,0)</f>
        <v>0</v>
      </c>
      <c r="AG24" s="50">
        <f>IF(AQ24="2",BI24,0)</f>
        <v>0</v>
      </c>
      <c r="AH24" s="50">
        <f>IF(AQ24="0",BJ24,0)</f>
        <v>0</v>
      </c>
      <c r="AI24" s="57" t="s">
        <v>510</v>
      </c>
      <c r="AJ24" s="50">
        <f>IF(AN24=0,J24,0)</f>
        <v>0</v>
      </c>
      <c r="AK24" s="50">
        <f>IF(AN24=15,J24,0)</f>
        <v>0</v>
      </c>
      <c r="AL24" s="50">
        <f>IF(AN24=21,J24,0)</f>
        <v>0</v>
      </c>
      <c r="AN24" s="50">
        <v>21</v>
      </c>
      <c r="AO24" s="50">
        <f>G24*0</f>
        <v>0</v>
      </c>
      <c r="AP24" s="50">
        <f>G24*(1-0)</f>
        <v>0</v>
      </c>
      <c r="AQ24" s="38" t="s">
        <v>731</v>
      </c>
      <c r="AV24" s="50">
        <f>AW24+AX24</f>
        <v>0</v>
      </c>
      <c r="AW24" s="50">
        <f>F24*AO24</f>
        <v>0</v>
      </c>
      <c r="AX24" s="50">
        <f>F24*AP24</f>
        <v>0</v>
      </c>
      <c r="AY24" s="38" t="s">
        <v>579</v>
      </c>
      <c r="AZ24" s="38" t="s">
        <v>605</v>
      </c>
      <c r="BA24" s="57" t="s">
        <v>571</v>
      </c>
      <c r="BC24" s="50">
        <f>AW24+AX24</f>
        <v>0</v>
      </c>
      <c r="BD24" s="50">
        <f>G24/(100-BE24)*100</f>
        <v>0</v>
      </c>
      <c r="BE24" s="50">
        <v>0</v>
      </c>
      <c r="BF24" s="50">
        <f>24</f>
        <v>24</v>
      </c>
      <c r="BH24" s="50">
        <f>F24*AO24</f>
        <v>0</v>
      </c>
      <c r="BI24" s="50">
        <f>F24*AP24</f>
        <v>0</v>
      </c>
      <c r="BJ24" s="50">
        <f>F24*G24</f>
        <v>0</v>
      </c>
      <c r="BK24" s="50"/>
      <c r="BL24" s="50">
        <v>713</v>
      </c>
      <c r="BW24" s="50">
        <v>21</v>
      </c>
    </row>
    <row r="25" spans="1:75" ht="13.5" customHeight="1" x14ac:dyDescent="0.25">
      <c r="A25" s="36" t="s">
        <v>731</v>
      </c>
      <c r="B25" s="53" t="s">
        <v>276</v>
      </c>
      <c r="C25" s="68" t="s">
        <v>184</v>
      </c>
      <c r="D25" s="69"/>
      <c r="E25" s="53" t="s">
        <v>618</v>
      </c>
      <c r="F25" s="50">
        <v>16</v>
      </c>
      <c r="G25" s="50">
        <v>0</v>
      </c>
      <c r="H25" s="50">
        <f>F25*AO25</f>
        <v>0</v>
      </c>
      <c r="I25" s="50">
        <f>F25*AP25</f>
        <v>0</v>
      </c>
      <c r="J25" s="50">
        <f>F25*G25</f>
        <v>0</v>
      </c>
      <c r="K25" s="50">
        <v>3.4000000000000002E-4</v>
      </c>
      <c r="L25" s="29">
        <v>3.4000000000000002E-4</v>
      </c>
      <c r="Z25" s="50">
        <f>IF(AQ25="5",BJ25,0)</f>
        <v>0</v>
      </c>
      <c r="AB25" s="50">
        <f>IF(AQ25="1",BH25,0)</f>
        <v>0</v>
      </c>
      <c r="AC25" s="50">
        <f>IF(AQ25="1",BI25,0)</f>
        <v>0</v>
      </c>
      <c r="AD25" s="50">
        <f>IF(AQ25="7",BH25,0)</f>
        <v>0</v>
      </c>
      <c r="AE25" s="50">
        <f>IF(AQ25="7",BI25,0)</f>
        <v>0</v>
      </c>
      <c r="AF25" s="50">
        <f>IF(AQ25="2",BH25,0)</f>
        <v>0</v>
      </c>
      <c r="AG25" s="50">
        <f>IF(AQ25="2",BI25,0)</f>
        <v>0</v>
      </c>
      <c r="AH25" s="50">
        <f>IF(AQ25="0",BJ25,0)</f>
        <v>0</v>
      </c>
      <c r="AI25" s="57" t="s">
        <v>510</v>
      </c>
      <c r="AJ25" s="50">
        <f>IF(AN25=0,J25,0)</f>
        <v>0</v>
      </c>
      <c r="AK25" s="50">
        <f>IF(AN25=15,J25,0)</f>
        <v>0</v>
      </c>
      <c r="AL25" s="50">
        <f>IF(AN25=21,J25,0)</f>
        <v>0</v>
      </c>
      <c r="AN25" s="50">
        <v>21</v>
      </c>
      <c r="AO25" s="50">
        <f>G25*0.815718229414565</f>
        <v>0</v>
      </c>
      <c r="AP25" s="50">
        <f>G25*(1-0.815718229414565)</f>
        <v>0</v>
      </c>
      <c r="AQ25" s="38" t="s">
        <v>731</v>
      </c>
      <c r="AV25" s="50">
        <f>AW25+AX25</f>
        <v>0</v>
      </c>
      <c r="AW25" s="50">
        <f>F25*AO25</f>
        <v>0</v>
      </c>
      <c r="AX25" s="50">
        <f>F25*AP25</f>
        <v>0</v>
      </c>
      <c r="AY25" s="38" t="s">
        <v>579</v>
      </c>
      <c r="AZ25" s="38" t="s">
        <v>605</v>
      </c>
      <c r="BA25" s="57" t="s">
        <v>571</v>
      </c>
      <c r="BC25" s="50">
        <f>AW25+AX25</f>
        <v>0</v>
      </c>
      <c r="BD25" s="50">
        <f>G25/(100-BE25)*100</f>
        <v>0</v>
      </c>
      <c r="BE25" s="50">
        <v>0</v>
      </c>
      <c r="BF25" s="50">
        <f>25</f>
        <v>25</v>
      </c>
      <c r="BH25" s="50">
        <f>F25*AO25</f>
        <v>0</v>
      </c>
      <c r="BI25" s="50">
        <f>F25*AP25</f>
        <v>0</v>
      </c>
      <c r="BJ25" s="50">
        <f>F25*G25</f>
        <v>0</v>
      </c>
      <c r="BK25" s="50"/>
      <c r="BL25" s="50">
        <v>713</v>
      </c>
      <c r="BW25" s="50">
        <v>21</v>
      </c>
    </row>
    <row r="26" spans="1:75" ht="13.5" customHeight="1" x14ac:dyDescent="0.25">
      <c r="A26" s="36" t="s">
        <v>586</v>
      </c>
      <c r="B26" s="53" t="s">
        <v>562</v>
      </c>
      <c r="C26" s="68" t="s">
        <v>473</v>
      </c>
      <c r="D26" s="69"/>
      <c r="E26" s="53" t="s">
        <v>618</v>
      </c>
      <c r="F26" s="50">
        <v>6</v>
      </c>
      <c r="G26" s="50">
        <v>0</v>
      </c>
      <c r="H26" s="50">
        <f>F26*AO26</f>
        <v>0</v>
      </c>
      <c r="I26" s="50">
        <f>F26*AP26</f>
        <v>0</v>
      </c>
      <c r="J26" s="50">
        <f>F26*G26</f>
        <v>0</v>
      </c>
      <c r="K26" s="50">
        <v>2.5500000000000002E-3</v>
      </c>
      <c r="L26" s="29">
        <v>2.5500000000000002E-3</v>
      </c>
      <c r="Z26" s="50">
        <f>IF(AQ26="5",BJ26,0)</f>
        <v>0</v>
      </c>
      <c r="AB26" s="50">
        <f>IF(AQ26="1",BH26,0)</f>
        <v>0</v>
      </c>
      <c r="AC26" s="50">
        <f>IF(AQ26="1",BI26,0)</f>
        <v>0</v>
      </c>
      <c r="AD26" s="50">
        <f>IF(AQ26="7",BH26,0)</f>
        <v>0</v>
      </c>
      <c r="AE26" s="50">
        <f>IF(AQ26="7",BI26,0)</f>
        <v>0</v>
      </c>
      <c r="AF26" s="50">
        <f>IF(AQ26="2",BH26,0)</f>
        <v>0</v>
      </c>
      <c r="AG26" s="50">
        <f>IF(AQ26="2",BI26,0)</f>
        <v>0</v>
      </c>
      <c r="AH26" s="50">
        <f>IF(AQ26="0",BJ26,0)</f>
        <v>0</v>
      </c>
      <c r="AI26" s="57" t="s">
        <v>510</v>
      </c>
      <c r="AJ26" s="50">
        <f>IF(AN26=0,J26,0)</f>
        <v>0</v>
      </c>
      <c r="AK26" s="50">
        <f>IF(AN26=15,J26,0)</f>
        <v>0</v>
      </c>
      <c r="AL26" s="50">
        <f>IF(AN26=21,J26,0)</f>
        <v>0</v>
      </c>
      <c r="AN26" s="50">
        <v>21</v>
      </c>
      <c r="AO26" s="50">
        <f>G26*0.807692307692308</f>
        <v>0</v>
      </c>
      <c r="AP26" s="50">
        <f>G26*(1-0.807692307692308)</f>
        <v>0</v>
      </c>
      <c r="AQ26" s="38" t="s">
        <v>731</v>
      </c>
      <c r="AV26" s="50">
        <f>AW26+AX26</f>
        <v>0</v>
      </c>
      <c r="AW26" s="50">
        <f>F26*AO26</f>
        <v>0</v>
      </c>
      <c r="AX26" s="50">
        <f>F26*AP26</f>
        <v>0</v>
      </c>
      <c r="AY26" s="38" t="s">
        <v>579</v>
      </c>
      <c r="AZ26" s="38" t="s">
        <v>605</v>
      </c>
      <c r="BA26" s="57" t="s">
        <v>571</v>
      </c>
      <c r="BC26" s="50">
        <f>AW26+AX26</f>
        <v>0</v>
      </c>
      <c r="BD26" s="50">
        <f>G26/(100-BE26)*100</f>
        <v>0</v>
      </c>
      <c r="BE26" s="50">
        <v>0</v>
      </c>
      <c r="BF26" s="50">
        <f>26</f>
        <v>26</v>
      </c>
      <c r="BH26" s="50">
        <f>F26*AO26</f>
        <v>0</v>
      </c>
      <c r="BI26" s="50">
        <f>F26*AP26</f>
        <v>0</v>
      </c>
      <c r="BJ26" s="50">
        <f>F26*G26</f>
        <v>0</v>
      </c>
      <c r="BK26" s="50"/>
      <c r="BL26" s="50">
        <v>713</v>
      </c>
      <c r="BW26" s="50">
        <v>21</v>
      </c>
    </row>
    <row r="27" spans="1:75" ht="13.5" customHeight="1" x14ac:dyDescent="0.25">
      <c r="A27" s="36" t="s">
        <v>274</v>
      </c>
      <c r="B27" s="53" t="s">
        <v>243</v>
      </c>
      <c r="C27" s="68" t="s">
        <v>777</v>
      </c>
      <c r="D27" s="69"/>
      <c r="E27" s="53" t="s">
        <v>618</v>
      </c>
      <c r="F27" s="50">
        <v>6</v>
      </c>
      <c r="G27" s="50">
        <v>0</v>
      </c>
      <c r="H27" s="50">
        <f>F27*AO27</f>
        <v>0</v>
      </c>
      <c r="I27" s="50">
        <f>F27*AP27</f>
        <v>0</v>
      </c>
      <c r="J27" s="50">
        <f>F27*G27</f>
        <v>0</v>
      </c>
      <c r="K27" s="50">
        <v>2.3000000000000001E-4</v>
      </c>
      <c r="L27" s="29">
        <v>2.3000000000000001E-4</v>
      </c>
      <c r="Z27" s="50">
        <f>IF(AQ27="5",BJ27,0)</f>
        <v>0</v>
      </c>
      <c r="AB27" s="50">
        <f>IF(AQ27="1",BH27,0)</f>
        <v>0</v>
      </c>
      <c r="AC27" s="50">
        <f>IF(AQ27="1",BI27,0)</f>
        <v>0</v>
      </c>
      <c r="AD27" s="50">
        <f>IF(AQ27="7",BH27,0)</f>
        <v>0</v>
      </c>
      <c r="AE27" s="50">
        <f>IF(AQ27="7",BI27,0)</f>
        <v>0</v>
      </c>
      <c r="AF27" s="50">
        <f>IF(AQ27="2",BH27,0)</f>
        <v>0</v>
      </c>
      <c r="AG27" s="50">
        <f>IF(AQ27="2",BI27,0)</f>
        <v>0</v>
      </c>
      <c r="AH27" s="50">
        <f>IF(AQ27="0",BJ27,0)</f>
        <v>0</v>
      </c>
      <c r="AI27" s="57" t="s">
        <v>510</v>
      </c>
      <c r="AJ27" s="50">
        <f>IF(AN27=0,J27,0)</f>
        <v>0</v>
      </c>
      <c r="AK27" s="50">
        <f>IF(AN27=15,J27,0)</f>
        <v>0</v>
      </c>
      <c r="AL27" s="50">
        <f>IF(AN27=21,J27,0)</f>
        <v>0</v>
      </c>
      <c r="AN27" s="50">
        <v>21</v>
      </c>
      <c r="AO27" s="50">
        <f>G27*0.774705882352941</f>
        <v>0</v>
      </c>
      <c r="AP27" s="50">
        <f>G27*(1-0.774705882352941)</f>
        <v>0</v>
      </c>
      <c r="AQ27" s="38" t="s">
        <v>731</v>
      </c>
      <c r="AV27" s="50">
        <f>AW27+AX27</f>
        <v>0</v>
      </c>
      <c r="AW27" s="50">
        <f>F27*AO27</f>
        <v>0</v>
      </c>
      <c r="AX27" s="50">
        <f>F27*AP27</f>
        <v>0</v>
      </c>
      <c r="AY27" s="38" t="s">
        <v>579</v>
      </c>
      <c r="AZ27" s="38" t="s">
        <v>605</v>
      </c>
      <c r="BA27" s="57" t="s">
        <v>571</v>
      </c>
      <c r="BC27" s="50">
        <f>AW27+AX27</f>
        <v>0</v>
      </c>
      <c r="BD27" s="50">
        <f>G27/(100-BE27)*100</f>
        <v>0</v>
      </c>
      <c r="BE27" s="50">
        <v>0</v>
      </c>
      <c r="BF27" s="50">
        <f>27</f>
        <v>27</v>
      </c>
      <c r="BH27" s="50">
        <f>F27*AO27</f>
        <v>0</v>
      </c>
      <c r="BI27" s="50">
        <f>F27*AP27</f>
        <v>0</v>
      </c>
      <c r="BJ27" s="50">
        <f>F27*G27</f>
        <v>0</v>
      </c>
      <c r="BK27" s="50"/>
      <c r="BL27" s="50">
        <v>713</v>
      </c>
      <c r="BW27" s="50">
        <v>21</v>
      </c>
    </row>
    <row r="28" spans="1:75" ht="13.5" customHeight="1" x14ac:dyDescent="0.25">
      <c r="A28" s="36" t="s">
        <v>418</v>
      </c>
      <c r="B28" s="53" t="s">
        <v>730</v>
      </c>
      <c r="C28" s="68" t="s">
        <v>728</v>
      </c>
      <c r="D28" s="69"/>
      <c r="E28" s="53" t="s">
        <v>618</v>
      </c>
      <c r="F28" s="50">
        <v>6</v>
      </c>
      <c r="G28" s="50">
        <v>0</v>
      </c>
      <c r="H28" s="50">
        <f>F28*AO28</f>
        <v>0</v>
      </c>
      <c r="I28" s="50">
        <f>F28*AP28</f>
        <v>0</v>
      </c>
      <c r="J28" s="50">
        <f>F28*G28</f>
        <v>0</v>
      </c>
      <c r="K28" s="50">
        <v>1.9000000000000001E-4</v>
      </c>
      <c r="L28" s="29">
        <v>1.9000000000000001E-4</v>
      </c>
      <c r="Z28" s="50">
        <f>IF(AQ28="5",BJ28,0)</f>
        <v>0</v>
      </c>
      <c r="AB28" s="50">
        <f>IF(AQ28="1",BH28,0)</f>
        <v>0</v>
      </c>
      <c r="AC28" s="50">
        <f>IF(AQ28="1",BI28,0)</f>
        <v>0</v>
      </c>
      <c r="AD28" s="50">
        <f>IF(AQ28="7",BH28,0)</f>
        <v>0</v>
      </c>
      <c r="AE28" s="50">
        <f>IF(AQ28="7",BI28,0)</f>
        <v>0</v>
      </c>
      <c r="AF28" s="50">
        <f>IF(AQ28="2",BH28,0)</f>
        <v>0</v>
      </c>
      <c r="AG28" s="50">
        <f>IF(AQ28="2",BI28,0)</f>
        <v>0</v>
      </c>
      <c r="AH28" s="50">
        <f>IF(AQ28="0",BJ28,0)</f>
        <v>0</v>
      </c>
      <c r="AI28" s="57" t="s">
        <v>510</v>
      </c>
      <c r="AJ28" s="50">
        <f>IF(AN28=0,J28,0)</f>
        <v>0</v>
      </c>
      <c r="AK28" s="50">
        <f>IF(AN28=15,J28,0)</f>
        <v>0</v>
      </c>
      <c r="AL28" s="50">
        <f>IF(AN28=21,J28,0)</f>
        <v>0</v>
      </c>
      <c r="AN28" s="50">
        <v>21</v>
      </c>
      <c r="AO28" s="50">
        <f>G28*0.754557823129252</f>
        <v>0</v>
      </c>
      <c r="AP28" s="50">
        <f>G28*(1-0.754557823129252)</f>
        <v>0</v>
      </c>
      <c r="AQ28" s="38" t="s">
        <v>731</v>
      </c>
      <c r="AV28" s="50">
        <f>AW28+AX28</f>
        <v>0</v>
      </c>
      <c r="AW28" s="50">
        <f>F28*AO28</f>
        <v>0</v>
      </c>
      <c r="AX28" s="50">
        <f>F28*AP28</f>
        <v>0</v>
      </c>
      <c r="AY28" s="38" t="s">
        <v>579</v>
      </c>
      <c r="AZ28" s="38" t="s">
        <v>605</v>
      </c>
      <c r="BA28" s="57" t="s">
        <v>571</v>
      </c>
      <c r="BC28" s="50">
        <f>AW28+AX28</f>
        <v>0</v>
      </c>
      <c r="BD28" s="50">
        <f>G28/(100-BE28)*100</f>
        <v>0</v>
      </c>
      <c r="BE28" s="50">
        <v>0</v>
      </c>
      <c r="BF28" s="50">
        <f>28</f>
        <v>28</v>
      </c>
      <c r="BH28" s="50">
        <f>F28*AO28</f>
        <v>0</v>
      </c>
      <c r="BI28" s="50">
        <f>F28*AP28</f>
        <v>0</v>
      </c>
      <c r="BJ28" s="50">
        <f>F28*G28</f>
        <v>0</v>
      </c>
      <c r="BK28" s="50"/>
      <c r="BL28" s="50">
        <v>713</v>
      </c>
      <c r="BW28" s="50">
        <v>21</v>
      </c>
    </row>
    <row r="29" spans="1:75" ht="15" customHeight="1" x14ac:dyDescent="0.25">
      <c r="A29" s="47" t="s">
        <v>510</v>
      </c>
      <c r="B29" s="35" t="s">
        <v>475</v>
      </c>
      <c r="C29" s="70" t="s">
        <v>826</v>
      </c>
      <c r="D29" s="71"/>
      <c r="E29" s="1" t="s">
        <v>686</v>
      </c>
      <c r="F29" s="1" t="s">
        <v>686</v>
      </c>
      <c r="G29" s="1" t="s">
        <v>686</v>
      </c>
      <c r="H29" s="5">
        <f>SUM(H30:H32)</f>
        <v>0</v>
      </c>
      <c r="I29" s="5">
        <f>SUM(I30:I32)</f>
        <v>0</v>
      </c>
      <c r="J29" s="5">
        <f>SUM(J30:J32)</f>
        <v>0</v>
      </c>
      <c r="K29" s="57" t="s">
        <v>510</v>
      </c>
      <c r="L29" s="7" t="s">
        <v>510</v>
      </c>
      <c r="AI29" s="57" t="s">
        <v>510</v>
      </c>
      <c r="AS29" s="5">
        <f>SUM(AJ30:AJ32)</f>
        <v>0</v>
      </c>
      <c r="AT29" s="5">
        <f>SUM(AK30:AK32)</f>
        <v>0</v>
      </c>
      <c r="AU29" s="5">
        <f>SUM(AL30:AL32)</f>
        <v>0</v>
      </c>
    </row>
    <row r="30" spans="1:75" ht="13.5" customHeight="1" x14ac:dyDescent="0.25">
      <c r="A30" s="36" t="s">
        <v>622</v>
      </c>
      <c r="B30" s="53" t="s">
        <v>181</v>
      </c>
      <c r="C30" s="68" t="s">
        <v>818</v>
      </c>
      <c r="D30" s="69"/>
      <c r="E30" s="53" t="s">
        <v>180</v>
      </c>
      <c r="F30" s="50">
        <v>8</v>
      </c>
      <c r="G30" s="50">
        <v>0</v>
      </c>
      <c r="H30" s="50">
        <f>F30*AO30</f>
        <v>0</v>
      </c>
      <c r="I30" s="50">
        <f>F30*AP30</f>
        <v>0</v>
      </c>
      <c r="J30" s="50">
        <f>F30*G30</f>
        <v>0</v>
      </c>
      <c r="K30" s="50">
        <v>5.0000000000000001E-4</v>
      </c>
      <c r="L30" s="29">
        <v>5.0000000000000001E-4</v>
      </c>
      <c r="Z30" s="50">
        <f>IF(AQ30="5",BJ30,0)</f>
        <v>0</v>
      </c>
      <c r="AB30" s="50">
        <f>IF(AQ30="1",BH30,0)</f>
        <v>0</v>
      </c>
      <c r="AC30" s="50">
        <f>IF(AQ30="1",BI30,0)</f>
        <v>0</v>
      </c>
      <c r="AD30" s="50">
        <f>IF(AQ30="7",BH30,0)</f>
        <v>0</v>
      </c>
      <c r="AE30" s="50">
        <f>IF(AQ30="7",BI30,0)</f>
        <v>0</v>
      </c>
      <c r="AF30" s="50">
        <f>IF(AQ30="2",BH30,0)</f>
        <v>0</v>
      </c>
      <c r="AG30" s="50">
        <f>IF(AQ30="2",BI30,0)</f>
        <v>0</v>
      </c>
      <c r="AH30" s="50">
        <f>IF(AQ30="0",BJ30,0)</f>
        <v>0</v>
      </c>
      <c r="AI30" s="57" t="s">
        <v>510</v>
      </c>
      <c r="AJ30" s="50">
        <f>IF(AN30=0,J30,0)</f>
        <v>0</v>
      </c>
      <c r="AK30" s="50">
        <f>IF(AN30=15,J30,0)</f>
        <v>0</v>
      </c>
      <c r="AL30" s="50">
        <f>IF(AN30=21,J30,0)</f>
        <v>0</v>
      </c>
      <c r="AN30" s="50">
        <v>21</v>
      </c>
      <c r="AO30" s="50">
        <f>G30*0.505139500734214</f>
        <v>0</v>
      </c>
      <c r="AP30" s="50">
        <f>G30*(1-0.505139500734214)</f>
        <v>0</v>
      </c>
      <c r="AQ30" s="38" t="s">
        <v>731</v>
      </c>
      <c r="AV30" s="50">
        <f>AW30+AX30</f>
        <v>0</v>
      </c>
      <c r="AW30" s="50">
        <f>F30*AO30</f>
        <v>0</v>
      </c>
      <c r="AX30" s="50">
        <f>F30*AP30</f>
        <v>0</v>
      </c>
      <c r="AY30" s="38" t="s">
        <v>105</v>
      </c>
      <c r="AZ30" s="38" t="s">
        <v>43</v>
      </c>
      <c r="BA30" s="57" t="s">
        <v>571</v>
      </c>
      <c r="BC30" s="50">
        <f>AW30+AX30</f>
        <v>0</v>
      </c>
      <c r="BD30" s="50">
        <f>G30/(100-BE30)*100</f>
        <v>0</v>
      </c>
      <c r="BE30" s="50">
        <v>0</v>
      </c>
      <c r="BF30" s="50">
        <f>30</f>
        <v>30</v>
      </c>
      <c r="BH30" s="50">
        <f>F30*AO30</f>
        <v>0</v>
      </c>
      <c r="BI30" s="50">
        <f>F30*AP30</f>
        <v>0</v>
      </c>
      <c r="BJ30" s="50">
        <f>F30*G30</f>
        <v>0</v>
      </c>
      <c r="BK30" s="50"/>
      <c r="BL30" s="50">
        <v>721</v>
      </c>
      <c r="BW30" s="50">
        <v>21</v>
      </c>
    </row>
    <row r="31" spans="1:75" ht="27" customHeight="1" x14ac:dyDescent="0.25">
      <c r="A31" s="36" t="s">
        <v>542</v>
      </c>
      <c r="B31" s="53" t="s">
        <v>96</v>
      </c>
      <c r="C31" s="68" t="s">
        <v>112</v>
      </c>
      <c r="D31" s="69"/>
      <c r="E31" s="53" t="s">
        <v>618</v>
      </c>
      <c r="F31" s="50">
        <v>5</v>
      </c>
      <c r="G31" s="50">
        <v>0</v>
      </c>
      <c r="H31" s="50">
        <f>F31*AO31</f>
        <v>0</v>
      </c>
      <c r="I31" s="50">
        <f>F31*AP31</f>
        <v>0</v>
      </c>
      <c r="J31" s="50">
        <f>F31*G31</f>
        <v>0</v>
      </c>
      <c r="K31" s="50">
        <v>3.8000000000000002E-4</v>
      </c>
      <c r="L31" s="29">
        <v>3.8000000000000002E-4</v>
      </c>
      <c r="Z31" s="50">
        <f>IF(AQ31="5",BJ31,0)</f>
        <v>0</v>
      </c>
      <c r="AB31" s="50">
        <f>IF(AQ31="1",BH31,0)</f>
        <v>0</v>
      </c>
      <c r="AC31" s="50">
        <f>IF(AQ31="1",BI31,0)</f>
        <v>0</v>
      </c>
      <c r="AD31" s="50">
        <f>IF(AQ31="7",BH31,0)</f>
        <v>0</v>
      </c>
      <c r="AE31" s="50">
        <f>IF(AQ31="7",BI31,0)</f>
        <v>0</v>
      </c>
      <c r="AF31" s="50">
        <f>IF(AQ31="2",BH31,0)</f>
        <v>0</v>
      </c>
      <c r="AG31" s="50">
        <f>IF(AQ31="2",BI31,0)</f>
        <v>0</v>
      </c>
      <c r="AH31" s="50">
        <f>IF(AQ31="0",BJ31,0)</f>
        <v>0</v>
      </c>
      <c r="AI31" s="57" t="s">
        <v>510</v>
      </c>
      <c r="AJ31" s="50">
        <f>IF(AN31=0,J31,0)</f>
        <v>0</v>
      </c>
      <c r="AK31" s="50">
        <f>IF(AN31=15,J31,0)</f>
        <v>0</v>
      </c>
      <c r="AL31" s="50">
        <f>IF(AN31=21,J31,0)</f>
        <v>0</v>
      </c>
      <c r="AN31" s="50">
        <v>21</v>
      </c>
      <c r="AO31" s="50">
        <f>G31*0.308504176157935</f>
        <v>0</v>
      </c>
      <c r="AP31" s="50">
        <f>G31*(1-0.308504176157935)</f>
        <v>0</v>
      </c>
      <c r="AQ31" s="38" t="s">
        <v>731</v>
      </c>
      <c r="AV31" s="50">
        <f>AW31+AX31</f>
        <v>0</v>
      </c>
      <c r="AW31" s="50">
        <f>F31*AO31</f>
        <v>0</v>
      </c>
      <c r="AX31" s="50">
        <f>F31*AP31</f>
        <v>0</v>
      </c>
      <c r="AY31" s="38" t="s">
        <v>105</v>
      </c>
      <c r="AZ31" s="38" t="s">
        <v>43</v>
      </c>
      <c r="BA31" s="57" t="s">
        <v>571</v>
      </c>
      <c r="BC31" s="50">
        <f>AW31+AX31</f>
        <v>0</v>
      </c>
      <c r="BD31" s="50">
        <f>G31/(100-BE31)*100</f>
        <v>0</v>
      </c>
      <c r="BE31" s="50">
        <v>0</v>
      </c>
      <c r="BF31" s="50">
        <f>31</f>
        <v>31</v>
      </c>
      <c r="BH31" s="50">
        <f>F31*AO31</f>
        <v>0</v>
      </c>
      <c r="BI31" s="50">
        <f>F31*AP31</f>
        <v>0</v>
      </c>
      <c r="BJ31" s="50">
        <f>F31*G31</f>
        <v>0</v>
      </c>
      <c r="BK31" s="50"/>
      <c r="BL31" s="50">
        <v>721</v>
      </c>
      <c r="BW31" s="50">
        <v>21</v>
      </c>
    </row>
    <row r="32" spans="1:75" ht="27" customHeight="1" x14ac:dyDescent="0.25">
      <c r="A32" s="36" t="s">
        <v>211</v>
      </c>
      <c r="B32" s="53" t="s">
        <v>96</v>
      </c>
      <c r="C32" s="68" t="s">
        <v>815</v>
      </c>
      <c r="D32" s="69"/>
      <c r="E32" s="53" t="s">
        <v>618</v>
      </c>
      <c r="F32" s="50">
        <v>3</v>
      </c>
      <c r="G32" s="50">
        <v>0</v>
      </c>
      <c r="H32" s="50">
        <f>F32*AO32</f>
        <v>0</v>
      </c>
      <c r="I32" s="50">
        <f>F32*AP32</f>
        <v>0</v>
      </c>
      <c r="J32" s="50">
        <f>F32*G32</f>
        <v>0</v>
      </c>
      <c r="K32" s="50">
        <v>3.8000000000000002E-4</v>
      </c>
      <c r="L32" s="29">
        <v>3.8000000000000002E-4</v>
      </c>
      <c r="Z32" s="50">
        <f>IF(AQ32="5",BJ32,0)</f>
        <v>0</v>
      </c>
      <c r="AB32" s="50">
        <f>IF(AQ32="1",BH32,0)</f>
        <v>0</v>
      </c>
      <c r="AC32" s="50">
        <f>IF(AQ32="1",BI32,0)</f>
        <v>0</v>
      </c>
      <c r="AD32" s="50">
        <f>IF(AQ32="7",BH32,0)</f>
        <v>0</v>
      </c>
      <c r="AE32" s="50">
        <f>IF(AQ32="7",BI32,0)</f>
        <v>0</v>
      </c>
      <c r="AF32" s="50">
        <f>IF(AQ32="2",BH32,0)</f>
        <v>0</v>
      </c>
      <c r="AG32" s="50">
        <f>IF(AQ32="2",BI32,0)</f>
        <v>0</v>
      </c>
      <c r="AH32" s="50">
        <f>IF(AQ32="0",BJ32,0)</f>
        <v>0</v>
      </c>
      <c r="AI32" s="57" t="s">
        <v>510</v>
      </c>
      <c r="AJ32" s="50">
        <f>IF(AN32=0,J32,0)</f>
        <v>0</v>
      </c>
      <c r="AK32" s="50">
        <f>IF(AN32=15,J32,0)</f>
        <v>0</v>
      </c>
      <c r="AL32" s="50">
        <f>IF(AN32=21,J32,0)</f>
        <v>0</v>
      </c>
      <c r="AN32" s="50">
        <v>21</v>
      </c>
      <c r="AO32" s="50">
        <f>G32*0.294193548387097</f>
        <v>0</v>
      </c>
      <c r="AP32" s="50">
        <f>G32*(1-0.294193548387097)</f>
        <v>0</v>
      </c>
      <c r="AQ32" s="38" t="s">
        <v>731</v>
      </c>
      <c r="AV32" s="50">
        <f>AW32+AX32</f>
        <v>0</v>
      </c>
      <c r="AW32" s="50">
        <f>F32*AO32</f>
        <v>0</v>
      </c>
      <c r="AX32" s="50">
        <f>F32*AP32</f>
        <v>0</v>
      </c>
      <c r="AY32" s="38" t="s">
        <v>105</v>
      </c>
      <c r="AZ32" s="38" t="s">
        <v>43</v>
      </c>
      <c r="BA32" s="57" t="s">
        <v>571</v>
      </c>
      <c r="BC32" s="50">
        <f>AW32+AX32</f>
        <v>0</v>
      </c>
      <c r="BD32" s="50">
        <f>G32/(100-BE32)*100</f>
        <v>0</v>
      </c>
      <c r="BE32" s="50">
        <v>0</v>
      </c>
      <c r="BF32" s="50">
        <f>32</f>
        <v>32</v>
      </c>
      <c r="BH32" s="50">
        <f>F32*AO32</f>
        <v>0</v>
      </c>
      <c r="BI32" s="50">
        <f>F32*AP32</f>
        <v>0</v>
      </c>
      <c r="BJ32" s="50">
        <f>F32*G32</f>
        <v>0</v>
      </c>
      <c r="BK32" s="50"/>
      <c r="BL32" s="50">
        <v>721</v>
      </c>
      <c r="BW32" s="50">
        <v>21</v>
      </c>
    </row>
    <row r="33" spans="1:75" ht="15" customHeight="1" x14ac:dyDescent="0.25">
      <c r="A33" s="47" t="s">
        <v>510</v>
      </c>
      <c r="B33" s="35" t="s">
        <v>675</v>
      </c>
      <c r="C33" s="70" t="s">
        <v>449</v>
      </c>
      <c r="D33" s="71"/>
      <c r="E33" s="1" t="s">
        <v>686</v>
      </c>
      <c r="F33" s="1" t="s">
        <v>686</v>
      </c>
      <c r="G33" s="1" t="s">
        <v>686</v>
      </c>
      <c r="H33" s="5">
        <f>SUM(H34:H42)</f>
        <v>0</v>
      </c>
      <c r="I33" s="5">
        <f>SUM(I34:I42)</f>
        <v>0</v>
      </c>
      <c r="J33" s="5">
        <f>SUM(J34:J42)</f>
        <v>0</v>
      </c>
      <c r="K33" s="57" t="s">
        <v>510</v>
      </c>
      <c r="L33" s="7" t="s">
        <v>510</v>
      </c>
      <c r="AI33" s="57" t="s">
        <v>510</v>
      </c>
      <c r="AS33" s="5">
        <f>SUM(AJ34:AJ42)</f>
        <v>0</v>
      </c>
      <c r="AT33" s="5">
        <f>SUM(AK34:AK42)</f>
        <v>0</v>
      </c>
      <c r="AU33" s="5">
        <f>SUM(AL34:AL42)</f>
        <v>0</v>
      </c>
    </row>
    <row r="34" spans="1:75" ht="13.5" customHeight="1" x14ac:dyDescent="0.25">
      <c r="A34" s="36" t="s">
        <v>426</v>
      </c>
      <c r="B34" s="53" t="s">
        <v>405</v>
      </c>
      <c r="C34" s="68" t="s">
        <v>160</v>
      </c>
      <c r="D34" s="69"/>
      <c r="E34" s="53" t="s">
        <v>180</v>
      </c>
      <c r="F34" s="50">
        <v>1</v>
      </c>
      <c r="G34" s="50">
        <v>0</v>
      </c>
      <c r="H34" s="50">
        <f t="shared" ref="H34:H42" si="0">F34*AO34</f>
        <v>0</v>
      </c>
      <c r="I34" s="50">
        <f t="shared" ref="I34:I42" si="1">F34*AP34</f>
        <v>0</v>
      </c>
      <c r="J34" s="50">
        <f t="shared" ref="J34:J42" si="2">F34*G34</f>
        <v>0</v>
      </c>
      <c r="K34" s="50">
        <v>8.2400000000000008E-3</v>
      </c>
      <c r="L34" s="29">
        <v>8.2400000000000008E-3</v>
      </c>
      <c r="Z34" s="50">
        <f t="shared" ref="Z34:Z42" si="3">IF(AQ34="5",BJ34,0)</f>
        <v>0</v>
      </c>
      <c r="AB34" s="50">
        <f t="shared" ref="AB34:AB42" si="4">IF(AQ34="1",BH34,0)</f>
        <v>0</v>
      </c>
      <c r="AC34" s="50">
        <f t="shared" ref="AC34:AC42" si="5">IF(AQ34="1",BI34,0)</f>
        <v>0</v>
      </c>
      <c r="AD34" s="50">
        <f t="shared" ref="AD34:AD42" si="6">IF(AQ34="7",BH34,0)</f>
        <v>0</v>
      </c>
      <c r="AE34" s="50">
        <f t="shared" ref="AE34:AE42" si="7">IF(AQ34="7",BI34,0)</f>
        <v>0</v>
      </c>
      <c r="AF34" s="50">
        <f t="shared" ref="AF34:AF42" si="8">IF(AQ34="2",BH34,0)</f>
        <v>0</v>
      </c>
      <c r="AG34" s="50">
        <f t="shared" ref="AG34:AG42" si="9">IF(AQ34="2",BI34,0)</f>
        <v>0</v>
      </c>
      <c r="AH34" s="50">
        <f t="shared" ref="AH34:AH42" si="10">IF(AQ34="0",BJ34,0)</f>
        <v>0</v>
      </c>
      <c r="AI34" s="57" t="s">
        <v>510</v>
      </c>
      <c r="AJ34" s="50">
        <f t="shared" ref="AJ34:AJ42" si="11">IF(AN34=0,J34,0)</f>
        <v>0</v>
      </c>
      <c r="AK34" s="50">
        <f t="shared" ref="AK34:AK42" si="12">IF(AN34=15,J34,0)</f>
        <v>0</v>
      </c>
      <c r="AL34" s="50">
        <f t="shared" ref="AL34:AL42" si="13">IF(AN34=21,J34,0)</f>
        <v>0</v>
      </c>
      <c r="AN34" s="50">
        <v>21</v>
      </c>
      <c r="AO34" s="50">
        <f>G34*0.382462121212121</f>
        <v>0</v>
      </c>
      <c r="AP34" s="50">
        <f>G34*(1-0.382462121212121)</f>
        <v>0</v>
      </c>
      <c r="AQ34" s="38" t="s">
        <v>731</v>
      </c>
      <c r="AV34" s="50">
        <f t="shared" ref="AV34:AV42" si="14">AW34+AX34</f>
        <v>0</v>
      </c>
      <c r="AW34" s="50">
        <f t="shared" ref="AW34:AW42" si="15">F34*AO34</f>
        <v>0</v>
      </c>
      <c r="AX34" s="50">
        <f t="shared" ref="AX34:AX42" si="16">F34*AP34</f>
        <v>0</v>
      </c>
      <c r="AY34" s="38" t="s">
        <v>469</v>
      </c>
      <c r="AZ34" s="38" t="s">
        <v>43</v>
      </c>
      <c r="BA34" s="57" t="s">
        <v>571</v>
      </c>
      <c r="BC34" s="50">
        <f t="shared" ref="BC34:BC42" si="17">AW34+AX34</f>
        <v>0</v>
      </c>
      <c r="BD34" s="50">
        <f t="shared" ref="BD34:BD42" si="18">G34/(100-BE34)*100</f>
        <v>0</v>
      </c>
      <c r="BE34" s="50">
        <v>0</v>
      </c>
      <c r="BF34" s="50">
        <f>34</f>
        <v>34</v>
      </c>
      <c r="BH34" s="50">
        <f t="shared" ref="BH34:BH42" si="19">F34*AO34</f>
        <v>0</v>
      </c>
      <c r="BI34" s="50">
        <f t="shared" ref="BI34:BI42" si="20">F34*AP34</f>
        <v>0</v>
      </c>
      <c r="BJ34" s="50">
        <f t="shared" ref="BJ34:BJ42" si="21">F34*G34</f>
        <v>0</v>
      </c>
      <c r="BK34" s="50"/>
      <c r="BL34" s="50">
        <v>722</v>
      </c>
      <c r="BW34" s="50">
        <v>21</v>
      </c>
    </row>
    <row r="35" spans="1:75" ht="13.5" customHeight="1" x14ac:dyDescent="0.25">
      <c r="A35" s="36" t="s">
        <v>282</v>
      </c>
      <c r="B35" s="53" t="s">
        <v>595</v>
      </c>
      <c r="C35" s="68" t="s">
        <v>621</v>
      </c>
      <c r="D35" s="69"/>
      <c r="E35" s="53" t="s">
        <v>180</v>
      </c>
      <c r="F35" s="50">
        <v>1</v>
      </c>
      <c r="G35" s="50">
        <v>0</v>
      </c>
      <c r="H35" s="50">
        <f t="shared" si="0"/>
        <v>0</v>
      </c>
      <c r="I35" s="50">
        <f t="shared" si="1"/>
        <v>0</v>
      </c>
      <c r="J35" s="50">
        <f t="shared" si="2"/>
        <v>0</v>
      </c>
      <c r="K35" s="50">
        <v>9.5399999999999999E-3</v>
      </c>
      <c r="L35" s="29">
        <v>9.5399999999999999E-3</v>
      </c>
      <c r="Z35" s="50">
        <f t="shared" si="3"/>
        <v>0</v>
      </c>
      <c r="AB35" s="50">
        <f t="shared" si="4"/>
        <v>0</v>
      </c>
      <c r="AC35" s="50">
        <f t="shared" si="5"/>
        <v>0</v>
      </c>
      <c r="AD35" s="50">
        <f t="shared" si="6"/>
        <v>0</v>
      </c>
      <c r="AE35" s="50">
        <f t="shared" si="7"/>
        <v>0</v>
      </c>
      <c r="AF35" s="50">
        <f t="shared" si="8"/>
        <v>0</v>
      </c>
      <c r="AG35" s="50">
        <f t="shared" si="9"/>
        <v>0</v>
      </c>
      <c r="AH35" s="50">
        <f t="shared" si="10"/>
        <v>0</v>
      </c>
      <c r="AI35" s="57" t="s">
        <v>510</v>
      </c>
      <c r="AJ35" s="50">
        <f t="shared" si="11"/>
        <v>0</v>
      </c>
      <c r="AK35" s="50">
        <f t="shared" si="12"/>
        <v>0</v>
      </c>
      <c r="AL35" s="50">
        <f t="shared" si="13"/>
        <v>0</v>
      </c>
      <c r="AN35" s="50">
        <v>21</v>
      </c>
      <c r="AO35" s="50">
        <f>G35*0.490032188841202</f>
        <v>0</v>
      </c>
      <c r="AP35" s="50">
        <f>G35*(1-0.490032188841202)</f>
        <v>0</v>
      </c>
      <c r="AQ35" s="38" t="s">
        <v>731</v>
      </c>
      <c r="AV35" s="50">
        <f t="shared" si="14"/>
        <v>0</v>
      </c>
      <c r="AW35" s="50">
        <f t="shared" si="15"/>
        <v>0</v>
      </c>
      <c r="AX35" s="50">
        <f t="shared" si="16"/>
        <v>0</v>
      </c>
      <c r="AY35" s="38" t="s">
        <v>469</v>
      </c>
      <c r="AZ35" s="38" t="s">
        <v>43</v>
      </c>
      <c r="BA35" s="57" t="s">
        <v>571</v>
      </c>
      <c r="BC35" s="50">
        <f t="shared" si="17"/>
        <v>0</v>
      </c>
      <c r="BD35" s="50">
        <f t="shared" si="18"/>
        <v>0</v>
      </c>
      <c r="BE35" s="50">
        <v>0</v>
      </c>
      <c r="BF35" s="50">
        <f>35</f>
        <v>35</v>
      </c>
      <c r="BH35" s="50">
        <f t="shared" si="19"/>
        <v>0</v>
      </c>
      <c r="BI35" s="50">
        <f t="shared" si="20"/>
        <v>0</v>
      </c>
      <c r="BJ35" s="50">
        <f t="shared" si="21"/>
        <v>0</v>
      </c>
      <c r="BK35" s="50"/>
      <c r="BL35" s="50">
        <v>722</v>
      </c>
      <c r="BW35" s="50">
        <v>21</v>
      </c>
    </row>
    <row r="36" spans="1:75" ht="13.5" customHeight="1" x14ac:dyDescent="0.25">
      <c r="A36" s="36" t="s">
        <v>59</v>
      </c>
      <c r="B36" s="53" t="s">
        <v>640</v>
      </c>
      <c r="C36" s="68" t="s">
        <v>332</v>
      </c>
      <c r="D36" s="69"/>
      <c r="E36" s="53" t="s">
        <v>180</v>
      </c>
      <c r="F36" s="50">
        <v>2</v>
      </c>
      <c r="G36" s="50">
        <v>0</v>
      </c>
      <c r="H36" s="50">
        <f t="shared" si="0"/>
        <v>0</v>
      </c>
      <c r="I36" s="50">
        <f t="shared" si="1"/>
        <v>0</v>
      </c>
      <c r="J36" s="50">
        <f t="shared" si="2"/>
        <v>0</v>
      </c>
      <c r="K36" s="50">
        <v>0</v>
      </c>
      <c r="L36" s="29">
        <v>0</v>
      </c>
      <c r="Z36" s="50">
        <f t="shared" si="3"/>
        <v>0</v>
      </c>
      <c r="AB36" s="50">
        <f t="shared" si="4"/>
        <v>0</v>
      </c>
      <c r="AC36" s="50">
        <f t="shared" si="5"/>
        <v>0</v>
      </c>
      <c r="AD36" s="50">
        <f t="shared" si="6"/>
        <v>0</v>
      </c>
      <c r="AE36" s="50">
        <f t="shared" si="7"/>
        <v>0</v>
      </c>
      <c r="AF36" s="50">
        <f t="shared" si="8"/>
        <v>0</v>
      </c>
      <c r="AG36" s="50">
        <f t="shared" si="9"/>
        <v>0</v>
      </c>
      <c r="AH36" s="50">
        <f t="shared" si="10"/>
        <v>0</v>
      </c>
      <c r="AI36" s="57" t="s">
        <v>510</v>
      </c>
      <c r="AJ36" s="50">
        <f t="shared" si="11"/>
        <v>0</v>
      </c>
      <c r="AK36" s="50">
        <f t="shared" si="12"/>
        <v>0</v>
      </c>
      <c r="AL36" s="50">
        <f t="shared" si="13"/>
        <v>0</v>
      </c>
      <c r="AN36" s="50">
        <v>21</v>
      </c>
      <c r="AO36" s="50">
        <f>G36*0</f>
        <v>0</v>
      </c>
      <c r="AP36" s="50">
        <f>G36*(1-0)</f>
        <v>0</v>
      </c>
      <c r="AQ36" s="38" t="s">
        <v>731</v>
      </c>
      <c r="AV36" s="50">
        <f t="shared" si="14"/>
        <v>0</v>
      </c>
      <c r="AW36" s="50">
        <f t="shared" si="15"/>
        <v>0</v>
      </c>
      <c r="AX36" s="50">
        <f t="shared" si="16"/>
        <v>0</v>
      </c>
      <c r="AY36" s="38" t="s">
        <v>469</v>
      </c>
      <c r="AZ36" s="38" t="s">
        <v>43</v>
      </c>
      <c r="BA36" s="57" t="s">
        <v>571</v>
      </c>
      <c r="BC36" s="50">
        <f t="shared" si="17"/>
        <v>0</v>
      </c>
      <c r="BD36" s="50">
        <f t="shared" si="18"/>
        <v>0</v>
      </c>
      <c r="BE36" s="50">
        <v>0</v>
      </c>
      <c r="BF36" s="50">
        <f>36</f>
        <v>36</v>
      </c>
      <c r="BH36" s="50">
        <f t="shared" si="19"/>
        <v>0</v>
      </c>
      <c r="BI36" s="50">
        <f t="shared" si="20"/>
        <v>0</v>
      </c>
      <c r="BJ36" s="50">
        <f t="shared" si="21"/>
        <v>0</v>
      </c>
      <c r="BK36" s="50"/>
      <c r="BL36" s="50">
        <v>722</v>
      </c>
      <c r="BW36" s="50">
        <v>21</v>
      </c>
    </row>
    <row r="37" spans="1:75" ht="13.5" customHeight="1" x14ac:dyDescent="0.25">
      <c r="A37" s="36" t="s">
        <v>516</v>
      </c>
      <c r="B37" s="53" t="s">
        <v>26</v>
      </c>
      <c r="C37" s="68" t="s">
        <v>619</v>
      </c>
      <c r="D37" s="69"/>
      <c r="E37" s="53" t="s">
        <v>180</v>
      </c>
      <c r="F37" s="50">
        <v>1</v>
      </c>
      <c r="G37" s="50">
        <v>0</v>
      </c>
      <c r="H37" s="50">
        <f t="shared" si="0"/>
        <v>0</v>
      </c>
      <c r="I37" s="50">
        <f t="shared" si="1"/>
        <v>0</v>
      </c>
      <c r="J37" s="50">
        <f t="shared" si="2"/>
        <v>0</v>
      </c>
      <c r="K37" s="50">
        <v>2.0000000000000002E-5</v>
      </c>
      <c r="L37" s="29">
        <v>2.0000000000000002E-5</v>
      </c>
      <c r="Z37" s="50">
        <f t="shared" si="3"/>
        <v>0</v>
      </c>
      <c r="AB37" s="50">
        <f t="shared" si="4"/>
        <v>0</v>
      </c>
      <c r="AC37" s="50">
        <f t="shared" si="5"/>
        <v>0</v>
      </c>
      <c r="AD37" s="50">
        <f t="shared" si="6"/>
        <v>0</v>
      </c>
      <c r="AE37" s="50">
        <f t="shared" si="7"/>
        <v>0</v>
      </c>
      <c r="AF37" s="50">
        <f t="shared" si="8"/>
        <v>0</v>
      </c>
      <c r="AG37" s="50">
        <f t="shared" si="9"/>
        <v>0</v>
      </c>
      <c r="AH37" s="50">
        <f t="shared" si="10"/>
        <v>0</v>
      </c>
      <c r="AI37" s="57" t="s">
        <v>510</v>
      </c>
      <c r="AJ37" s="50">
        <f t="shared" si="11"/>
        <v>0</v>
      </c>
      <c r="AK37" s="50">
        <f t="shared" si="12"/>
        <v>0</v>
      </c>
      <c r="AL37" s="50">
        <f t="shared" si="13"/>
        <v>0</v>
      </c>
      <c r="AN37" s="50">
        <v>21</v>
      </c>
      <c r="AO37" s="50">
        <f>G37*0.0592727272727273</f>
        <v>0</v>
      </c>
      <c r="AP37" s="50">
        <f>G37*(1-0.0592727272727273)</f>
        <v>0</v>
      </c>
      <c r="AQ37" s="38" t="s">
        <v>731</v>
      </c>
      <c r="AV37" s="50">
        <f t="shared" si="14"/>
        <v>0</v>
      </c>
      <c r="AW37" s="50">
        <f t="shared" si="15"/>
        <v>0</v>
      </c>
      <c r="AX37" s="50">
        <f t="shared" si="16"/>
        <v>0</v>
      </c>
      <c r="AY37" s="38" t="s">
        <v>469</v>
      </c>
      <c r="AZ37" s="38" t="s">
        <v>43</v>
      </c>
      <c r="BA37" s="57" t="s">
        <v>571</v>
      </c>
      <c r="BC37" s="50">
        <f t="shared" si="17"/>
        <v>0</v>
      </c>
      <c r="BD37" s="50">
        <f t="shared" si="18"/>
        <v>0</v>
      </c>
      <c r="BE37" s="50">
        <v>0</v>
      </c>
      <c r="BF37" s="50">
        <f>37</f>
        <v>37</v>
      </c>
      <c r="BH37" s="50">
        <f t="shared" si="19"/>
        <v>0</v>
      </c>
      <c r="BI37" s="50">
        <f t="shared" si="20"/>
        <v>0</v>
      </c>
      <c r="BJ37" s="50">
        <f t="shared" si="21"/>
        <v>0</v>
      </c>
      <c r="BK37" s="50"/>
      <c r="BL37" s="50">
        <v>722</v>
      </c>
      <c r="BW37" s="50">
        <v>21</v>
      </c>
    </row>
    <row r="38" spans="1:75" ht="13.5" customHeight="1" x14ac:dyDescent="0.25">
      <c r="A38" s="36" t="s">
        <v>593</v>
      </c>
      <c r="B38" s="53" t="s">
        <v>65</v>
      </c>
      <c r="C38" s="68" t="s">
        <v>458</v>
      </c>
      <c r="D38" s="69"/>
      <c r="E38" s="53" t="s">
        <v>180</v>
      </c>
      <c r="F38" s="50">
        <v>2</v>
      </c>
      <c r="G38" s="50">
        <v>0</v>
      </c>
      <c r="H38" s="50">
        <f t="shared" si="0"/>
        <v>0</v>
      </c>
      <c r="I38" s="50">
        <f t="shared" si="1"/>
        <v>0</v>
      </c>
      <c r="J38" s="50">
        <f t="shared" si="2"/>
        <v>0</v>
      </c>
      <c r="K38" s="50">
        <v>0</v>
      </c>
      <c r="L38" s="29">
        <v>0</v>
      </c>
      <c r="Z38" s="50">
        <f t="shared" si="3"/>
        <v>0</v>
      </c>
      <c r="AB38" s="50">
        <f t="shared" si="4"/>
        <v>0</v>
      </c>
      <c r="AC38" s="50">
        <f t="shared" si="5"/>
        <v>0</v>
      </c>
      <c r="AD38" s="50">
        <f t="shared" si="6"/>
        <v>0</v>
      </c>
      <c r="AE38" s="50">
        <f t="shared" si="7"/>
        <v>0</v>
      </c>
      <c r="AF38" s="50">
        <f t="shared" si="8"/>
        <v>0</v>
      </c>
      <c r="AG38" s="50">
        <f t="shared" si="9"/>
        <v>0</v>
      </c>
      <c r="AH38" s="50">
        <f t="shared" si="10"/>
        <v>0</v>
      </c>
      <c r="AI38" s="57" t="s">
        <v>510</v>
      </c>
      <c r="AJ38" s="50">
        <f t="shared" si="11"/>
        <v>0</v>
      </c>
      <c r="AK38" s="50">
        <f t="shared" si="12"/>
        <v>0</v>
      </c>
      <c r="AL38" s="50">
        <f t="shared" si="13"/>
        <v>0</v>
      </c>
      <c r="AN38" s="50">
        <v>21</v>
      </c>
      <c r="AO38" s="50">
        <f>G38*0</f>
        <v>0</v>
      </c>
      <c r="AP38" s="50">
        <f>G38*(1-0)</f>
        <v>0</v>
      </c>
      <c r="AQ38" s="38" t="s">
        <v>731</v>
      </c>
      <c r="AV38" s="50">
        <f t="shared" si="14"/>
        <v>0</v>
      </c>
      <c r="AW38" s="50">
        <f t="shared" si="15"/>
        <v>0</v>
      </c>
      <c r="AX38" s="50">
        <f t="shared" si="16"/>
        <v>0</v>
      </c>
      <c r="AY38" s="38" t="s">
        <v>469</v>
      </c>
      <c r="AZ38" s="38" t="s">
        <v>43</v>
      </c>
      <c r="BA38" s="57" t="s">
        <v>571</v>
      </c>
      <c r="BC38" s="50">
        <f t="shared" si="17"/>
        <v>0</v>
      </c>
      <c r="BD38" s="50">
        <f t="shared" si="18"/>
        <v>0</v>
      </c>
      <c r="BE38" s="50">
        <v>0</v>
      </c>
      <c r="BF38" s="50">
        <f>38</f>
        <v>38</v>
      </c>
      <c r="BH38" s="50">
        <f t="shared" si="19"/>
        <v>0</v>
      </c>
      <c r="BI38" s="50">
        <f t="shared" si="20"/>
        <v>0</v>
      </c>
      <c r="BJ38" s="50">
        <f t="shared" si="21"/>
        <v>0</v>
      </c>
      <c r="BK38" s="50"/>
      <c r="BL38" s="50">
        <v>722</v>
      </c>
      <c r="BW38" s="50">
        <v>21</v>
      </c>
    </row>
    <row r="39" spans="1:75" ht="13.5" customHeight="1" x14ac:dyDescent="0.25">
      <c r="A39" s="36" t="s">
        <v>470</v>
      </c>
      <c r="B39" s="53" t="s">
        <v>651</v>
      </c>
      <c r="C39" s="68" t="s">
        <v>363</v>
      </c>
      <c r="D39" s="69"/>
      <c r="E39" s="53" t="s">
        <v>618</v>
      </c>
      <c r="F39" s="50">
        <v>4</v>
      </c>
      <c r="G39" s="50">
        <v>0</v>
      </c>
      <c r="H39" s="50">
        <f t="shared" si="0"/>
        <v>0</v>
      </c>
      <c r="I39" s="50">
        <f t="shared" si="1"/>
        <v>0</v>
      </c>
      <c r="J39" s="50">
        <f t="shared" si="2"/>
        <v>0</v>
      </c>
      <c r="K39" s="50">
        <v>0</v>
      </c>
      <c r="L39" s="29">
        <v>2.1299999999999999E-3</v>
      </c>
      <c r="Z39" s="50">
        <f t="shared" si="3"/>
        <v>0</v>
      </c>
      <c r="AB39" s="50">
        <f t="shared" si="4"/>
        <v>0</v>
      </c>
      <c r="AC39" s="50">
        <f t="shared" si="5"/>
        <v>0</v>
      </c>
      <c r="AD39" s="50">
        <f t="shared" si="6"/>
        <v>0</v>
      </c>
      <c r="AE39" s="50">
        <f t="shared" si="7"/>
        <v>0</v>
      </c>
      <c r="AF39" s="50">
        <f t="shared" si="8"/>
        <v>0</v>
      </c>
      <c r="AG39" s="50">
        <f t="shared" si="9"/>
        <v>0</v>
      </c>
      <c r="AH39" s="50">
        <f t="shared" si="10"/>
        <v>0</v>
      </c>
      <c r="AI39" s="57" t="s">
        <v>510</v>
      </c>
      <c r="AJ39" s="50">
        <f t="shared" si="11"/>
        <v>0</v>
      </c>
      <c r="AK39" s="50">
        <f t="shared" si="12"/>
        <v>0</v>
      </c>
      <c r="AL39" s="50">
        <f t="shared" si="13"/>
        <v>0</v>
      </c>
      <c r="AN39" s="50">
        <v>21</v>
      </c>
      <c r="AO39" s="50">
        <f>G39*0</f>
        <v>0</v>
      </c>
      <c r="AP39" s="50">
        <f>G39*(1-0)</f>
        <v>0</v>
      </c>
      <c r="AQ39" s="38" t="s">
        <v>731</v>
      </c>
      <c r="AV39" s="50">
        <f t="shared" si="14"/>
        <v>0</v>
      </c>
      <c r="AW39" s="50">
        <f t="shared" si="15"/>
        <v>0</v>
      </c>
      <c r="AX39" s="50">
        <f t="shared" si="16"/>
        <v>0</v>
      </c>
      <c r="AY39" s="38" t="s">
        <v>469</v>
      </c>
      <c r="AZ39" s="38" t="s">
        <v>43</v>
      </c>
      <c r="BA39" s="57" t="s">
        <v>571</v>
      </c>
      <c r="BC39" s="50">
        <f t="shared" si="17"/>
        <v>0</v>
      </c>
      <c r="BD39" s="50">
        <f t="shared" si="18"/>
        <v>0</v>
      </c>
      <c r="BE39" s="50">
        <v>0</v>
      </c>
      <c r="BF39" s="50">
        <f>39</f>
        <v>39</v>
      </c>
      <c r="BH39" s="50">
        <f t="shared" si="19"/>
        <v>0</v>
      </c>
      <c r="BI39" s="50">
        <f t="shared" si="20"/>
        <v>0</v>
      </c>
      <c r="BJ39" s="50">
        <f t="shared" si="21"/>
        <v>0</v>
      </c>
      <c r="BK39" s="50"/>
      <c r="BL39" s="50">
        <v>722</v>
      </c>
      <c r="BW39" s="50">
        <v>21</v>
      </c>
    </row>
    <row r="40" spans="1:75" ht="13.5" customHeight="1" x14ac:dyDescent="0.25">
      <c r="A40" s="36" t="s">
        <v>33</v>
      </c>
      <c r="B40" s="53" t="s">
        <v>609</v>
      </c>
      <c r="C40" s="68" t="s">
        <v>188</v>
      </c>
      <c r="D40" s="69"/>
      <c r="E40" s="53" t="s">
        <v>618</v>
      </c>
      <c r="F40" s="50">
        <v>2</v>
      </c>
      <c r="G40" s="50">
        <v>0</v>
      </c>
      <c r="H40" s="50">
        <f t="shared" si="0"/>
        <v>0</v>
      </c>
      <c r="I40" s="50">
        <f t="shared" si="1"/>
        <v>0</v>
      </c>
      <c r="J40" s="50">
        <f t="shared" si="2"/>
        <v>0</v>
      </c>
      <c r="K40" s="50">
        <v>3.9899999999999996E-3</v>
      </c>
      <c r="L40" s="29">
        <v>3.9899999999999996E-3</v>
      </c>
      <c r="Z40" s="50">
        <f t="shared" si="3"/>
        <v>0</v>
      </c>
      <c r="AB40" s="50">
        <f t="shared" si="4"/>
        <v>0</v>
      </c>
      <c r="AC40" s="50">
        <f t="shared" si="5"/>
        <v>0</v>
      </c>
      <c r="AD40" s="50">
        <f t="shared" si="6"/>
        <v>0</v>
      </c>
      <c r="AE40" s="50">
        <f t="shared" si="7"/>
        <v>0</v>
      </c>
      <c r="AF40" s="50">
        <f t="shared" si="8"/>
        <v>0</v>
      </c>
      <c r="AG40" s="50">
        <f t="shared" si="9"/>
        <v>0</v>
      </c>
      <c r="AH40" s="50">
        <f t="shared" si="10"/>
        <v>0</v>
      </c>
      <c r="AI40" s="57" t="s">
        <v>510</v>
      </c>
      <c r="AJ40" s="50">
        <f t="shared" si="11"/>
        <v>0</v>
      </c>
      <c r="AK40" s="50">
        <f t="shared" si="12"/>
        <v>0</v>
      </c>
      <c r="AL40" s="50">
        <f t="shared" si="13"/>
        <v>0</v>
      </c>
      <c r="AN40" s="50">
        <v>21</v>
      </c>
      <c r="AO40" s="50">
        <f>G40*0.266073697585769</f>
        <v>0</v>
      </c>
      <c r="AP40" s="50">
        <f>G40*(1-0.266073697585769)</f>
        <v>0</v>
      </c>
      <c r="AQ40" s="38" t="s">
        <v>731</v>
      </c>
      <c r="AV40" s="50">
        <f t="shared" si="14"/>
        <v>0</v>
      </c>
      <c r="AW40" s="50">
        <f t="shared" si="15"/>
        <v>0</v>
      </c>
      <c r="AX40" s="50">
        <f t="shared" si="16"/>
        <v>0</v>
      </c>
      <c r="AY40" s="38" t="s">
        <v>469</v>
      </c>
      <c r="AZ40" s="38" t="s">
        <v>43</v>
      </c>
      <c r="BA40" s="57" t="s">
        <v>571</v>
      </c>
      <c r="BC40" s="50">
        <f t="shared" si="17"/>
        <v>0</v>
      </c>
      <c r="BD40" s="50">
        <f t="shared" si="18"/>
        <v>0</v>
      </c>
      <c r="BE40" s="50">
        <v>0</v>
      </c>
      <c r="BF40" s="50">
        <f>40</f>
        <v>40</v>
      </c>
      <c r="BH40" s="50">
        <f t="shared" si="19"/>
        <v>0</v>
      </c>
      <c r="BI40" s="50">
        <f t="shared" si="20"/>
        <v>0</v>
      </c>
      <c r="BJ40" s="50">
        <f t="shared" si="21"/>
        <v>0</v>
      </c>
      <c r="BK40" s="50"/>
      <c r="BL40" s="50">
        <v>722</v>
      </c>
      <c r="BW40" s="50">
        <v>21</v>
      </c>
    </row>
    <row r="41" spans="1:75" ht="13.5" customHeight="1" x14ac:dyDescent="0.25">
      <c r="A41" s="36" t="s">
        <v>525</v>
      </c>
      <c r="B41" s="53" t="s">
        <v>786</v>
      </c>
      <c r="C41" s="68" t="s">
        <v>705</v>
      </c>
      <c r="D41" s="69"/>
      <c r="E41" s="53" t="s">
        <v>250</v>
      </c>
      <c r="F41" s="50">
        <v>1</v>
      </c>
      <c r="G41" s="50">
        <v>0</v>
      </c>
      <c r="H41" s="50">
        <f t="shared" si="0"/>
        <v>0</v>
      </c>
      <c r="I41" s="50">
        <f t="shared" si="1"/>
        <v>0</v>
      </c>
      <c r="J41" s="50">
        <f t="shared" si="2"/>
        <v>0</v>
      </c>
      <c r="K41" s="50">
        <v>0</v>
      </c>
      <c r="L41" s="29">
        <v>0</v>
      </c>
      <c r="Z41" s="50">
        <f t="shared" si="3"/>
        <v>0</v>
      </c>
      <c r="AB41" s="50">
        <f t="shared" si="4"/>
        <v>0</v>
      </c>
      <c r="AC41" s="50">
        <f t="shared" si="5"/>
        <v>0</v>
      </c>
      <c r="AD41" s="50">
        <f t="shared" si="6"/>
        <v>0</v>
      </c>
      <c r="AE41" s="50">
        <f t="shared" si="7"/>
        <v>0</v>
      </c>
      <c r="AF41" s="50">
        <f t="shared" si="8"/>
        <v>0</v>
      </c>
      <c r="AG41" s="50">
        <f t="shared" si="9"/>
        <v>0</v>
      </c>
      <c r="AH41" s="50">
        <f t="shared" si="10"/>
        <v>0</v>
      </c>
      <c r="AI41" s="57" t="s">
        <v>510</v>
      </c>
      <c r="AJ41" s="50">
        <f t="shared" si="11"/>
        <v>0</v>
      </c>
      <c r="AK41" s="50">
        <f t="shared" si="12"/>
        <v>0</v>
      </c>
      <c r="AL41" s="50">
        <f t="shared" si="13"/>
        <v>0</v>
      </c>
      <c r="AN41" s="50">
        <v>21</v>
      </c>
      <c r="AO41" s="50">
        <f>G41*0</f>
        <v>0</v>
      </c>
      <c r="AP41" s="50">
        <f>G41*(1-0)</f>
        <v>0</v>
      </c>
      <c r="AQ41" s="38" t="s">
        <v>731</v>
      </c>
      <c r="AV41" s="50">
        <f t="shared" si="14"/>
        <v>0</v>
      </c>
      <c r="AW41" s="50">
        <f t="shared" si="15"/>
        <v>0</v>
      </c>
      <c r="AX41" s="50">
        <f t="shared" si="16"/>
        <v>0</v>
      </c>
      <c r="AY41" s="38" t="s">
        <v>469</v>
      </c>
      <c r="AZ41" s="38" t="s">
        <v>43</v>
      </c>
      <c r="BA41" s="57" t="s">
        <v>571</v>
      </c>
      <c r="BC41" s="50">
        <f t="shared" si="17"/>
        <v>0</v>
      </c>
      <c r="BD41" s="50">
        <f t="shared" si="18"/>
        <v>0</v>
      </c>
      <c r="BE41" s="50">
        <v>0</v>
      </c>
      <c r="BF41" s="50">
        <f>41</f>
        <v>41</v>
      </c>
      <c r="BH41" s="50">
        <f t="shared" si="19"/>
        <v>0</v>
      </c>
      <c r="BI41" s="50">
        <f t="shared" si="20"/>
        <v>0</v>
      </c>
      <c r="BJ41" s="50">
        <f t="shared" si="21"/>
        <v>0</v>
      </c>
      <c r="BK41" s="50"/>
      <c r="BL41" s="50">
        <v>722</v>
      </c>
      <c r="BW41" s="50">
        <v>21</v>
      </c>
    </row>
    <row r="42" spans="1:75" ht="13.5" customHeight="1" x14ac:dyDescent="0.25">
      <c r="A42" s="36" t="s">
        <v>704</v>
      </c>
      <c r="B42" s="53" t="s">
        <v>95</v>
      </c>
      <c r="C42" s="68" t="s">
        <v>115</v>
      </c>
      <c r="D42" s="69"/>
      <c r="E42" s="53" t="s">
        <v>180</v>
      </c>
      <c r="F42" s="50">
        <v>1</v>
      </c>
      <c r="G42" s="50">
        <v>0</v>
      </c>
      <c r="H42" s="50">
        <f t="shared" si="0"/>
        <v>0</v>
      </c>
      <c r="I42" s="50">
        <f t="shared" si="1"/>
        <v>0</v>
      </c>
      <c r="J42" s="50">
        <f t="shared" si="2"/>
        <v>0</v>
      </c>
      <c r="K42" s="50">
        <v>2.15E-3</v>
      </c>
      <c r="L42" s="29">
        <v>2.15E-3</v>
      </c>
      <c r="Z42" s="50">
        <f t="shared" si="3"/>
        <v>0</v>
      </c>
      <c r="AB42" s="50">
        <f t="shared" si="4"/>
        <v>0</v>
      </c>
      <c r="AC42" s="50">
        <f t="shared" si="5"/>
        <v>0</v>
      </c>
      <c r="AD42" s="50">
        <f t="shared" si="6"/>
        <v>0</v>
      </c>
      <c r="AE42" s="50">
        <f t="shared" si="7"/>
        <v>0</v>
      </c>
      <c r="AF42" s="50">
        <f t="shared" si="8"/>
        <v>0</v>
      </c>
      <c r="AG42" s="50">
        <f t="shared" si="9"/>
        <v>0</v>
      </c>
      <c r="AH42" s="50">
        <f t="shared" si="10"/>
        <v>0</v>
      </c>
      <c r="AI42" s="57" t="s">
        <v>510</v>
      </c>
      <c r="AJ42" s="50">
        <f t="shared" si="11"/>
        <v>0</v>
      </c>
      <c r="AK42" s="50">
        <f t="shared" si="12"/>
        <v>0</v>
      </c>
      <c r="AL42" s="50">
        <f t="shared" si="13"/>
        <v>0</v>
      </c>
      <c r="AN42" s="50">
        <v>21</v>
      </c>
      <c r="AO42" s="50">
        <f>G42*0.781231732776618</f>
        <v>0</v>
      </c>
      <c r="AP42" s="50">
        <f>G42*(1-0.781231732776618)</f>
        <v>0</v>
      </c>
      <c r="AQ42" s="38" t="s">
        <v>731</v>
      </c>
      <c r="AV42" s="50">
        <f t="shared" si="14"/>
        <v>0</v>
      </c>
      <c r="AW42" s="50">
        <f t="shared" si="15"/>
        <v>0</v>
      </c>
      <c r="AX42" s="50">
        <f t="shared" si="16"/>
        <v>0</v>
      </c>
      <c r="AY42" s="38" t="s">
        <v>469</v>
      </c>
      <c r="AZ42" s="38" t="s">
        <v>43</v>
      </c>
      <c r="BA42" s="57" t="s">
        <v>571</v>
      </c>
      <c r="BC42" s="50">
        <f t="shared" si="17"/>
        <v>0</v>
      </c>
      <c r="BD42" s="50">
        <f t="shared" si="18"/>
        <v>0</v>
      </c>
      <c r="BE42" s="50">
        <v>0</v>
      </c>
      <c r="BF42" s="50">
        <f>42</f>
        <v>42</v>
      </c>
      <c r="BH42" s="50">
        <f t="shared" si="19"/>
        <v>0</v>
      </c>
      <c r="BI42" s="50">
        <f t="shared" si="20"/>
        <v>0</v>
      </c>
      <c r="BJ42" s="50">
        <f t="shared" si="21"/>
        <v>0</v>
      </c>
      <c r="BK42" s="50"/>
      <c r="BL42" s="50">
        <v>722</v>
      </c>
      <c r="BW42" s="50">
        <v>21</v>
      </c>
    </row>
    <row r="43" spans="1:75" ht="15" customHeight="1" x14ac:dyDescent="0.25">
      <c r="A43" s="47" t="s">
        <v>510</v>
      </c>
      <c r="B43" s="35" t="s">
        <v>532</v>
      </c>
      <c r="C43" s="70" t="s">
        <v>353</v>
      </c>
      <c r="D43" s="71"/>
      <c r="E43" s="1" t="s">
        <v>686</v>
      </c>
      <c r="F43" s="1" t="s">
        <v>686</v>
      </c>
      <c r="G43" s="1" t="s">
        <v>686</v>
      </c>
      <c r="H43" s="5">
        <f>SUM(H44:H64)</f>
        <v>0</v>
      </c>
      <c r="I43" s="5">
        <f>SUM(I44:I64)</f>
        <v>0</v>
      </c>
      <c r="J43" s="5">
        <f>SUM(J44:J64)</f>
        <v>0</v>
      </c>
      <c r="K43" s="57" t="s">
        <v>510</v>
      </c>
      <c r="L43" s="7" t="s">
        <v>510</v>
      </c>
      <c r="AI43" s="57" t="s">
        <v>510</v>
      </c>
      <c r="AS43" s="5">
        <f>SUM(AJ44:AJ64)</f>
        <v>0</v>
      </c>
      <c r="AT43" s="5">
        <f>SUM(AK44:AK64)</f>
        <v>0</v>
      </c>
      <c r="AU43" s="5">
        <f>SUM(AL44:AL64)</f>
        <v>0</v>
      </c>
    </row>
    <row r="44" spans="1:75" ht="13.5" customHeight="1" x14ac:dyDescent="0.25">
      <c r="A44" s="36" t="s">
        <v>320</v>
      </c>
      <c r="B44" s="53" t="s">
        <v>311</v>
      </c>
      <c r="C44" s="68" t="s">
        <v>381</v>
      </c>
      <c r="D44" s="69"/>
      <c r="E44" s="53" t="s">
        <v>618</v>
      </c>
      <c r="F44" s="50">
        <v>25</v>
      </c>
      <c r="G44" s="50">
        <v>0</v>
      </c>
      <c r="H44" s="50">
        <f t="shared" ref="H44:H64" si="22">F44*AO44</f>
        <v>0</v>
      </c>
      <c r="I44" s="50">
        <f t="shared" ref="I44:I64" si="23">F44*AP44</f>
        <v>0</v>
      </c>
      <c r="J44" s="50">
        <f t="shared" ref="J44:J64" si="24">F44*G44</f>
        <v>0</v>
      </c>
      <c r="K44" s="50">
        <v>0</v>
      </c>
      <c r="L44" s="29">
        <v>0</v>
      </c>
      <c r="Z44" s="50">
        <f t="shared" ref="Z44:Z64" si="25">IF(AQ44="5",BJ44,0)</f>
        <v>0</v>
      </c>
      <c r="AB44" s="50">
        <f t="shared" ref="AB44:AB64" si="26">IF(AQ44="1",BH44,0)</f>
        <v>0</v>
      </c>
      <c r="AC44" s="50">
        <f t="shared" ref="AC44:AC64" si="27">IF(AQ44="1",BI44,0)</f>
        <v>0</v>
      </c>
      <c r="AD44" s="50">
        <f t="shared" ref="AD44:AD64" si="28">IF(AQ44="7",BH44,0)</f>
        <v>0</v>
      </c>
      <c r="AE44" s="50">
        <f t="shared" ref="AE44:AE64" si="29">IF(AQ44="7",BI44,0)</f>
        <v>0</v>
      </c>
      <c r="AF44" s="50">
        <f t="shared" ref="AF44:AF64" si="30">IF(AQ44="2",BH44,0)</f>
        <v>0</v>
      </c>
      <c r="AG44" s="50">
        <f t="shared" ref="AG44:AG64" si="31">IF(AQ44="2",BI44,0)</f>
        <v>0</v>
      </c>
      <c r="AH44" s="50">
        <f t="shared" ref="AH44:AH64" si="32">IF(AQ44="0",BJ44,0)</f>
        <v>0</v>
      </c>
      <c r="AI44" s="57" t="s">
        <v>510</v>
      </c>
      <c r="AJ44" s="50">
        <f t="shared" ref="AJ44:AJ64" si="33">IF(AN44=0,J44,0)</f>
        <v>0</v>
      </c>
      <c r="AK44" s="50">
        <f t="shared" ref="AK44:AK64" si="34">IF(AN44=15,J44,0)</f>
        <v>0</v>
      </c>
      <c r="AL44" s="50">
        <f t="shared" ref="AL44:AL64" si="35">IF(AN44=21,J44,0)</f>
        <v>0</v>
      </c>
      <c r="AN44" s="50">
        <v>21</v>
      </c>
      <c r="AO44" s="50">
        <f>G44*0</f>
        <v>0</v>
      </c>
      <c r="AP44" s="50">
        <f>G44*(1-0)</f>
        <v>0</v>
      </c>
      <c r="AQ44" s="38" t="s">
        <v>731</v>
      </c>
      <c r="AV44" s="50">
        <f t="shared" ref="AV44:AV64" si="36">AW44+AX44</f>
        <v>0</v>
      </c>
      <c r="AW44" s="50">
        <f t="shared" ref="AW44:AW64" si="37">F44*AO44</f>
        <v>0</v>
      </c>
      <c r="AX44" s="50">
        <f t="shared" ref="AX44:AX64" si="38">F44*AP44</f>
        <v>0</v>
      </c>
      <c r="AY44" s="38" t="s">
        <v>337</v>
      </c>
      <c r="AZ44" s="38" t="s">
        <v>43</v>
      </c>
      <c r="BA44" s="57" t="s">
        <v>571</v>
      </c>
      <c r="BC44" s="50">
        <f t="shared" ref="BC44:BC64" si="39">AW44+AX44</f>
        <v>0</v>
      </c>
      <c r="BD44" s="50">
        <f t="shared" ref="BD44:BD64" si="40">G44/(100-BE44)*100</f>
        <v>0</v>
      </c>
      <c r="BE44" s="50">
        <v>0</v>
      </c>
      <c r="BF44" s="50">
        <f>44</f>
        <v>44</v>
      </c>
      <c r="BH44" s="50">
        <f t="shared" ref="BH44:BH64" si="41">F44*AO44</f>
        <v>0</v>
      </c>
      <c r="BI44" s="50">
        <f t="shared" ref="BI44:BI64" si="42">F44*AP44</f>
        <v>0</v>
      </c>
      <c r="BJ44" s="50">
        <f t="shared" ref="BJ44:BJ64" si="43">F44*G44</f>
        <v>0</v>
      </c>
      <c r="BK44" s="50"/>
      <c r="BL44" s="50">
        <v>723</v>
      </c>
      <c r="BW44" s="50">
        <v>21</v>
      </c>
    </row>
    <row r="45" spans="1:75" ht="13.5" customHeight="1" x14ac:dyDescent="0.25">
      <c r="A45" s="36" t="s">
        <v>63</v>
      </c>
      <c r="B45" s="53" t="s">
        <v>311</v>
      </c>
      <c r="C45" s="68" t="s">
        <v>564</v>
      </c>
      <c r="D45" s="69"/>
      <c r="E45" s="53" t="s">
        <v>618</v>
      </c>
      <c r="F45" s="50">
        <v>25</v>
      </c>
      <c r="G45" s="50">
        <v>0</v>
      </c>
      <c r="H45" s="50">
        <f t="shared" si="22"/>
        <v>0</v>
      </c>
      <c r="I45" s="50">
        <f t="shared" si="23"/>
        <v>0</v>
      </c>
      <c r="J45" s="50">
        <f t="shared" si="24"/>
        <v>0</v>
      </c>
      <c r="K45" s="50">
        <v>0</v>
      </c>
      <c r="L45" s="29">
        <v>0</v>
      </c>
      <c r="Z45" s="50">
        <f t="shared" si="25"/>
        <v>0</v>
      </c>
      <c r="AB45" s="50">
        <f t="shared" si="26"/>
        <v>0</v>
      </c>
      <c r="AC45" s="50">
        <f t="shared" si="27"/>
        <v>0</v>
      </c>
      <c r="AD45" s="50">
        <f t="shared" si="28"/>
        <v>0</v>
      </c>
      <c r="AE45" s="50">
        <f t="shared" si="29"/>
        <v>0</v>
      </c>
      <c r="AF45" s="50">
        <f t="shared" si="30"/>
        <v>0</v>
      </c>
      <c r="AG45" s="50">
        <f t="shared" si="31"/>
        <v>0</v>
      </c>
      <c r="AH45" s="50">
        <f t="shared" si="32"/>
        <v>0</v>
      </c>
      <c r="AI45" s="57" t="s">
        <v>510</v>
      </c>
      <c r="AJ45" s="50">
        <f t="shared" si="33"/>
        <v>0</v>
      </c>
      <c r="AK45" s="50">
        <f t="shared" si="34"/>
        <v>0</v>
      </c>
      <c r="AL45" s="50">
        <f t="shared" si="35"/>
        <v>0</v>
      </c>
      <c r="AN45" s="50">
        <v>21</v>
      </c>
      <c r="AO45" s="50">
        <f>G45*0</f>
        <v>0</v>
      </c>
      <c r="AP45" s="50">
        <f>G45*(1-0)</f>
        <v>0</v>
      </c>
      <c r="AQ45" s="38" t="s">
        <v>731</v>
      </c>
      <c r="AV45" s="50">
        <f t="shared" si="36"/>
        <v>0</v>
      </c>
      <c r="AW45" s="50">
        <f t="shared" si="37"/>
        <v>0</v>
      </c>
      <c r="AX45" s="50">
        <f t="shared" si="38"/>
        <v>0</v>
      </c>
      <c r="AY45" s="38" t="s">
        <v>337</v>
      </c>
      <c r="AZ45" s="38" t="s">
        <v>43</v>
      </c>
      <c r="BA45" s="57" t="s">
        <v>571</v>
      </c>
      <c r="BC45" s="50">
        <f t="shared" si="39"/>
        <v>0</v>
      </c>
      <c r="BD45" s="50">
        <f t="shared" si="40"/>
        <v>0</v>
      </c>
      <c r="BE45" s="50">
        <v>0</v>
      </c>
      <c r="BF45" s="50">
        <f>45</f>
        <v>45</v>
      </c>
      <c r="BH45" s="50">
        <f t="shared" si="41"/>
        <v>0</v>
      </c>
      <c r="BI45" s="50">
        <f t="shared" si="42"/>
        <v>0</v>
      </c>
      <c r="BJ45" s="50">
        <f t="shared" si="43"/>
        <v>0</v>
      </c>
      <c r="BK45" s="50"/>
      <c r="BL45" s="50">
        <v>723</v>
      </c>
      <c r="BW45" s="50">
        <v>21</v>
      </c>
    </row>
    <row r="46" spans="1:75" ht="13.5" customHeight="1" x14ac:dyDescent="0.25">
      <c r="A46" s="36" t="s">
        <v>178</v>
      </c>
      <c r="B46" s="53" t="s">
        <v>574</v>
      </c>
      <c r="C46" s="68" t="s">
        <v>152</v>
      </c>
      <c r="D46" s="69"/>
      <c r="E46" s="53" t="s">
        <v>618</v>
      </c>
      <c r="F46" s="50">
        <v>6</v>
      </c>
      <c r="G46" s="50">
        <v>0</v>
      </c>
      <c r="H46" s="50">
        <f t="shared" si="22"/>
        <v>0</v>
      </c>
      <c r="I46" s="50">
        <f t="shared" si="23"/>
        <v>0</v>
      </c>
      <c r="J46" s="50">
        <f t="shared" si="24"/>
        <v>0</v>
      </c>
      <c r="K46" s="50">
        <v>3.8999999999999999E-4</v>
      </c>
      <c r="L46" s="29">
        <v>3.81E-3</v>
      </c>
      <c r="Z46" s="50">
        <f t="shared" si="25"/>
        <v>0</v>
      </c>
      <c r="AB46" s="50">
        <f t="shared" si="26"/>
        <v>0</v>
      </c>
      <c r="AC46" s="50">
        <f t="shared" si="27"/>
        <v>0</v>
      </c>
      <c r="AD46" s="50">
        <f t="shared" si="28"/>
        <v>0</v>
      </c>
      <c r="AE46" s="50">
        <f t="shared" si="29"/>
        <v>0</v>
      </c>
      <c r="AF46" s="50">
        <f t="shared" si="30"/>
        <v>0</v>
      </c>
      <c r="AG46" s="50">
        <f t="shared" si="31"/>
        <v>0</v>
      </c>
      <c r="AH46" s="50">
        <f t="shared" si="32"/>
        <v>0</v>
      </c>
      <c r="AI46" s="57" t="s">
        <v>510</v>
      </c>
      <c r="AJ46" s="50">
        <f t="shared" si="33"/>
        <v>0</v>
      </c>
      <c r="AK46" s="50">
        <f t="shared" si="34"/>
        <v>0</v>
      </c>
      <c r="AL46" s="50">
        <f t="shared" si="35"/>
        <v>0</v>
      </c>
      <c r="AN46" s="50">
        <v>21</v>
      </c>
      <c r="AO46" s="50">
        <f>G46*0.839133858267716</f>
        <v>0</v>
      </c>
      <c r="AP46" s="50">
        <f>G46*(1-0.839133858267716)</f>
        <v>0</v>
      </c>
      <c r="AQ46" s="38" t="s">
        <v>731</v>
      </c>
      <c r="AV46" s="50">
        <f t="shared" si="36"/>
        <v>0</v>
      </c>
      <c r="AW46" s="50">
        <f t="shared" si="37"/>
        <v>0</v>
      </c>
      <c r="AX46" s="50">
        <f t="shared" si="38"/>
        <v>0</v>
      </c>
      <c r="AY46" s="38" t="s">
        <v>337</v>
      </c>
      <c r="AZ46" s="38" t="s">
        <v>43</v>
      </c>
      <c r="BA46" s="57" t="s">
        <v>571</v>
      </c>
      <c r="BC46" s="50">
        <f t="shared" si="39"/>
        <v>0</v>
      </c>
      <c r="BD46" s="50">
        <f t="shared" si="40"/>
        <v>0</v>
      </c>
      <c r="BE46" s="50">
        <v>0</v>
      </c>
      <c r="BF46" s="50">
        <f>46</f>
        <v>46</v>
      </c>
      <c r="BH46" s="50">
        <f t="shared" si="41"/>
        <v>0</v>
      </c>
      <c r="BI46" s="50">
        <f t="shared" si="42"/>
        <v>0</v>
      </c>
      <c r="BJ46" s="50">
        <f t="shared" si="43"/>
        <v>0</v>
      </c>
      <c r="BK46" s="50"/>
      <c r="BL46" s="50">
        <v>723</v>
      </c>
      <c r="BW46" s="50">
        <v>21</v>
      </c>
    </row>
    <row r="47" spans="1:75" ht="13.5" customHeight="1" x14ac:dyDescent="0.25">
      <c r="A47" s="36" t="s">
        <v>85</v>
      </c>
      <c r="B47" s="53" t="s">
        <v>214</v>
      </c>
      <c r="C47" s="68" t="s">
        <v>438</v>
      </c>
      <c r="D47" s="69"/>
      <c r="E47" s="53" t="s">
        <v>618</v>
      </c>
      <c r="F47" s="50">
        <v>3</v>
      </c>
      <c r="G47" s="50">
        <v>0</v>
      </c>
      <c r="H47" s="50">
        <f t="shared" si="22"/>
        <v>0</v>
      </c>
      <c r="I47" s="50">
        <f t="shared" si="23"/>
        <v>0</v>
      </c>
      <c r="J47" s="50">
        <f t="shared" si="24"/>
        <v>0</v>
      </c>
      <c r="K47" s="50">
        <v>5.5000000000000003E-4</v>
      </c>
      <c r="L47" s="29">
        <v>1.703E-2</v>
      </c>
      <c r="Z47" s="50">
        <f t="shared" si="25"/>
        <v>0</v>
      </c>
      <c r="AB47" s="50">
        <f t="shared" si="26"/>
        <v>0</v>
      </c>
      <c r="AC47" s="50">
        <f t="shared" si="27"/>
        <v>0</v>
      </c>
      <c r="AD47" s="50">
        <f t="shared" si="28"/>
        <v>0</v>
      </c>
      <c r="AE47" s="50">
        <f t="shared" si="29"/>
        <v>0</v>
      </c>
      <c r="AF47" s="50">
        <f t="shared" si="30"/>
        <v>0</v>
      </c>
      <c r="AG47" s="50">
        <f t="shared" si="31"/>
        <v>0</v>
      </c>
      <c r="AH47" s="50">
        <f t="shared" si="32"/>
        <v>0</v>
      </c>
      <c r="AI47" s="57" t="s">
        <v>510</v>
      </c>
      <c r="AJ47" s="50">
        <f t="shared" si="33"/>
        <v>0</v>
      </c>
      <c r="AK47" s="50">
        <f t="shared" si="34"/>
        <v>0</v>
      </c>
      <c r="AL47" s="50">
        <f t="shared" si="35"/>
        <v>0</v>
      </c>
      <c r="AN47" s="50">
        <v>21</v>
      </c>
      <c r="AO47" s="50">
        <f>G47*0.887962962962963</f>
        <v>0</v>
      </c>
      <c r="AP47" s="50">
        <f>G47*(1-0.887962962962963)</f>
        <v>0</v>
      </c>
      <c r="AQ47" s="38" t="s">
        <v>731</v>
      </c>
      <c r="AV47" s="50">
        <f t="shared" si="36"/>
        <v>0</v>
      </c>
      <c r="AW47" s="50">
        <f t="shared" si="37"/>
        <v>0</v>
      </c>
      <c r="AX47" s="50">
        <f t="shared" si="38"/>
        <v>0</v>
      </c>
      <c r="AY47" s="38" t="s">
        <v>337</v>
      </c>
      <c r="AZ47" s="38" t="s">
        <v>43</v>
      </c>
      <c r="BA47" s="57" t="s">
        <v>571</v>
      </c>
      <c r="BC47" s="50">
        <f t="shared" si="39"/>
        <v>0</v>
      </c>
      <c r="BD47" s="50">
        <f t="shared" si="40"/>
        <v>0</v>
      </c>
      <c r="BE47" s="50">
        <v>0</v>
      </c>
      <c r="BF47" s="50">
        <f>47</f>
        <v>47</v>
      </c>
      <c r="BH47" s="50">
        <f t="shared" si="41"/>
        <v>0</v>
      </c>
      <c r="BI47" s="50">
        <f t="shared" si="42"/>
        <v>0</v>
      </c>
      <c r="BJ47" s="50">
        <f t="shared" si="43"/>
        <v>0</v>
      </c>
      <c r="BK47" s="50"/>
      <c r="BL47" s="50">
        <v>723</v>
      </c>
      <c r="BW47" s="50">
        <v>21</v>
      </c>
    </row>
    <row r="48" spans="1:75" ht="13.5" customHeight="1" x14ac:dyDescent="0.25">
      <c r="A48" s="36" t="s">
        <v>713</v>
      </c>
      <c r="B48" s="53" t="s">
        <v>41</v>
      </c>
      <c r="C48" s="68" t="s">
        <v>16</v>
      </c>
      <c r="D48" s="69"/>
      <c r="E48" s="53" t="s">
        <v>618</v>
      </c>
      <c r="F48" s="50">
        <v>3</v>
      </c>
      <c r="G48" s="50">
        <v>0</v>
      </c>
      <c r="H48" s="50">
        <f t="shared" si="22"/>
        <v>0</v>
      </c>
      <c r="I48" s="50">
        <f t="shared" si="23"/>
        <v>0</v>
      </c>
      <c r="J48" s="50">
        <f t="shared" si="24"/>
        <v>0</v>
      </c>
      <c r="K48" s="50">
        <v>2.4910000000000002E-2</v>
      </c>
      <c r="L48" s="29">
        <v>2.4910000000000002E-2</v>
      </c>
      <c r="Z48" s="50">
        <f t="shared" si="25"/>
        <v>0</v>
      </c>
      <c r="AB48" s="50">
        <f t="shared" si="26"/>
        <v>0</v>
      </c>
      <c r="AC48" s="50">
        <f t="shared" si="27"/>
        <v>0</v>
      </c>
      <c r="AD48" s="50">
        <f t="shared" si="28"/>
        <v>0</v>
      </c>
      <c r="AE48" s="50">
        <f t="shared" si="29"/>
        <v>0</v>
      </c>
      <c r="AF48" s="50">
        <f t="shared" si="30"/>
        <v>0</v>
      </c>
      <c r="AG48" s="50">
        <f t="shared" si="31"/>
        <v>0</v>
      </c>
      <c r="AH48" s="50">
        <f t="shared" si="32"/>
        <v>0</v>
      </c>
      <c r="AI48" s="57" t="s">
        <v>510</v>
      </c>
      <c r="AJ48" s="50">
        <f t="shared" si="33"/>
        <v>0</v>
      </c>
      <c r="AK48" s="50">
        <f t="shared" si="34"/>
        <v>0</v>
      </c>
      <c r="AL48" s="50">
        <f t="shared" si="35"/>
        <v>0</v>
      </c>
      <c r="AN48" s="50">
        <v>21</v>
      </c>
      <c r="AO48" s="50">
        <f>G48*0.128491620111732</f>
        <v>0</v>
      </c>
      <c r="AP48" s="50">
        <f>G48*(1-0.128491620111732)</f>
        <v>0</v>
      </c>
      <c r="AQ48" s="38" t="s">
        <v>731</v>
      </c>
      <c r="AV48" s="50">
        <f t="shared" si="36"/>
        <v>0</v>
      </c>
      <c r="AW48" s="50">
        <f t="shared" si="37"/>
        <v>0</v>
      </c>
      <c r="AX48" s="50">
        <f t="shared" si="38"/>
        <v>0</v>
      </c>
      <c r="AY48" s="38" t="s">
        <v>337</v>
      </c>
      <c r="AZ48" s="38" t="s">
        <v>43</v>
      </c>
      <c r="BA48" s="57" t="s">
        <v>571</v>
      </c>
      <c r="BC48" s="50">
        <f t="shared" si="39"/>
        <v>0</v>
      </c>
      <c r="BD48" s="50">
        <f t="shared" si="40"/>
        <v>0</v>
      </c>
      <c r="BE48" s="50">
        <v>0</v>
      </c>
      <c r="BF48" s="50">
        <f>48</f>
        <v>48</v>
      </c>
      <c r="BH48" s="50">
        <f t="shared" si="41"/>
        <v>0</v>
      </c>
      <c r="BI48" s="50">
        <f t="shared" si="42"/>
        <v>0</v>
      </c>
      <c r="BJ48" s="50">
        <f t="shared" si="43"/>
        <v>0</v>
      </c>
      <c r="BK48" s="50"/>
      <c r="BL48" s="50">
        <v>723</v>
      </c>
      <c r="BW48" s="50">
        <v>21</v>
      </c>
    </row>
    <row r="49" spans="1:75" ht="13.5" customHeight="1" x14ac:dyDescent="0.25">
      <c r="A49" s="36" t="s">
        <v>793</v>
      </c>
      <c r="B49" s="53" t="s">
        <v>134</v>
      </c>
      <c r="C49" s="68" t="s">
        <v>14</v>
      </c>
      <c r="D49" s="69"/>
      <c r="E49" s="53" t="s">
        <v>180</v>
      </c>
      <c r="F49" s="50">
        <v>2</v>
      </c>
      <c r="G49" s="50">
        <v>0</v>
      </c>
      <c r="H49" s="50">
        <f t="shared" si="22"/>
        <v>0</v>
      </c>
      <c r="I49" s="50">
        <f t="shared" si="23"/>
        <v>0</v>
      </c>
      <c r="J49" s="50">
        <f t="shared" si="24"/>
        <v>0</v>
      </c>
      <c r="K49" s="50">
        <v>5.1000000000000004E-4</v>
      </c>
      <c r="L49" s="29">
        <v>5.1000000000000004E-4</v>
      </c>
      <c r="Z49" s="50">
        <f t="shared" si="25"/>
        <v>0</v>
      </c>
      <c r="AB49" s="50">
        <f t="shared" si="26"/>
        <v>0</v>
      </c>
      <c r="AC49" s="50">
        <f t="shared" si="27"/>
        <v>0</v>
      </c>
      <c r="AD49" s="50">
        <f t="shared" si="28"/>
        <v>0</v>
      </c>
      <c r="AE49" s="50">
        <f t="shared" si="29"/>
        <v>0</v>
      </c>
      <c r="AF49" s="50">
        <f t="shared" si="30"/>
        <v>0</v>
      </c>
      <c r="AG49" s="50">
        <f t="shared" si="31"/>
        <v>0</v>
      </c>
      <c r="AH49" s="50">
        <f t="shared" si="32"/>
        <v>0</v>
      </c>
      <c r="AI49" s="57" t="s">
        <v>510</v>
      </c>
      <c r="AJ49" s="50">
        <f t="shared" si="33"/>
        <v>0</v>
      </c>
      <c r="AK49" s="50">
        <f t="shared" si="34"/>
        <v>0</v>
      </c>
      <c r="AL49" s="50">
        <f t="shared" si="35"/>
        <v>0</v>
      </c>
      <c r="AN49" s="50">
        <v>21</v>
      </c>
      <c r="AO49" s="50">
        <f>G49*0.799734345351044</f>
        <v>0</v>
      </c>
      <c r="AP49" s="50">
        <f>G49*(1-0.799734345351044)</f>
        <v>0</v>
      </c>
      <c r="AQ49" s="38" t="s">
        <v>731</v>
      </c>
      <c r="AV49" s="50">
        <f t="shared" si="36"/>
        <v>0</v>
      </c>
      <c r="AW49" s="50">
        <f t="shared" si="37"/>
        <v>0</v>
      </c>
      <c r="AX49" s="50">
        <f t="shared" si="38"/>
        <v>0</v>
      </c>
      <c r="AY49" s="38" t="s">
        <v>337</v>
      </c>
      <c r="AZ49" s="38" t="s">
        <v>43</v>
      </c>
      <c r="BA49" s="57" t="s">
        <v>571</v>
      </c>
      <c r="BC49" s="50">
        <f t="shared" si="39"/>
        <v>0</v>
      </c>
      <c r="BD49" s="50">
        <f t="shared" si="40"/>
        <v>0</v>
      </c>
      <c r="BE49" s="50">
        <v>0</v>
      </c>
      <c r="BF49" s="50">
        <f>49</f>
        <v>49</v>
      </c>
      <c r="BH49" s="50">
        <f t="shared" si="41"/>
        <v>0</v>
      </c>
      <c r="BI49" s="50">
        <f t="shared" si="42"/>
        <v>0</v>
      </c>
      <c r="BJ49" s="50">
        <f t="shared" si="43"/>
        <v>0</v>
      </c>
      <c r="BK49" s="50"/>
      <c r="BL49" s="50">
        <v>723</v>
      </c>
      <c r="BW49" s="50">
        <v>21</v>
      </c>
    </row>
    <row r="50" spans="1:75" ht="13.5" customHeight="1" x14ac:dyDescent="0.25">
      <c r="A50" s="36" t="s">
        <v>52</v>
      </c>
      <c r="B50" s="53" t="s">
        <v>395</v>
      </c>
      <c r="C50" s="68" t="s">
        <v>436</v>
      </c>
      <c r="D50" s="69"/>
      <c r="E50" s="53" t="s">
        <v>180</v>
      </c>
      <c r="F50" s="50">
        <v>1</v>
      </c>
      <c r="G50" s="50">
        <v>0</v>
      </c>
      <c r="H50" s="50">
        <f t="shared" si="22"/>
        <v>0</v>
      </c>
      <c r="I50" s="50">
        <f t="shared" si="23"/>
        <v>0</v>
      </c>
      <c r="J50" s="50">
        <f t="shared" si="24"/>
        <v>0</v>
      </c>
      <c r="K50" s="50">
        <v>0</v>
      </c>
      <c r="L50" s="29">
        <v>0</v>
      </c>
      <c r="Z50" s="50">
        <f t="shared" si="25"/>
        <v>0</v>
      </c>
      <c r="AB50" s="50">
        <f t="shared" si="26"/>
        <v>0</v>
      </c>
      <c r="AC50" s="50">
        <f t="shared" si="27"/>
        <v>0</v>
      </c>
      <c r="AD50" s="50">
        <f t="shared" si="28"/>
        <v>0</v>
      </c>
      <c r="AE50" s="50">
        <f t="shared" si="29"/>
        <v>0</v>
      </c>
      <c r="AF50" s="50">
        <f t="shared" si="30"/>
        <v>0</v>
      </c>
      <c r="AG50" s="50">
        <f t="shared" si="31"/>
        <v>0</v>
      </c>
      <c r="AH50" s="50">
        <f t="shared" si="32"/>
        <v>0</v>
      </c>
      <c r="AI50" s="57" t="s">
        <v>510</v>
      </c>
      <c r="AJ50" s="50">
        <f t="shared" si="33"/>
        <v>0</v>
      </c>
      <c r="AK50" s="50">
        <f t="shared" si="34"/>
        <v>0</v>
      </c>
      <c r="AL50" s="50">
        <f t="shared" si="35"/>
        <v>0</v>
      </c>
      <c r="AN50" s="50">
        <v>21</v>
      </c>
      <c r="AO50" s="50">
        <f>G50*0</f>
        <v>0</v>
      </c>
      <c r="AP50" s="50">
        <f>G50*(1-0)</f>
        <v>0</v>
      </c>
      <c r="AQ50" s="38" t="s">
        <v>731</v>
      </c>
      <c r="AV50" s="50">
        <f t="shared" si="36"/>
        <v>0</v>
      </c>
      <c r="AW50" s="50">
        <f t="shared" si="37"/>
        <v>0</v>
      </c>
      <c r="AX50" s="50">
        <f t="shared" si="38"/>
        <v>0</v>
      </c>
      <c r="AY50" s="38" t="s">
        <v>337</v>
      </c>
      <c r="AZ50" s="38" t="s">
        <v>43</v>
      </c>
      <c r="BA50" s="57" t="s">
        <v>571</v>
      </c>
      <c r="BC50" s="50">
        <f t="shared" si="39"/>
        <v>0</v>
      </c>
      <c r="BD50" s="50">
        <f t="shared" si="40"/>
        <v>0</v>
      </c>
      <c r="BE50" s="50">
        <v>0</v>
      </c>
      <c r="BF50" s="50">
        <f>50</f>
        <v>50</v>
      </c>
      <c r="BH50" s="50">
        <f t="shared" si="41"/>
        <v>0</v>
      </c>
      <c r="BI50" s="50">
        <f t="shared" si="42"/>
        <v>0</v>
      </c>
      <c r="BJ50" s="50">
        <f t="shared" si="43"/>
        <v>0</v>
      </c>
      <c r="BK50" s="50"/>
      <c r="BL50" s="50">
        <v>723</v>
      </c>
      <c r="BW50" s="50">
        <v>21</v>
      </c>
    </row>
    <row r="51" spans="1:75" ht="13.5" customHeight="1" x14ac:dyDescent="0.25">
      <c r="A51" s="36" t="s">
        <v>480</v>
      </c>
      <c r="B51" s="53" t="s">
        <v>520</v>
      </c>
      <c r="C51" s="68" t="s">
        <v>446</v>
      </c>
      <c r="D51" s="69"/>
      <c r="E51" s="53" t="s">
        <v>180</v>
      </c>
      <c r="F51" s="50">
        <v>1</v>
      </c>
      <c r="G51" s="50">
        <v>0</v>
      </c>
      <c r="H51" s="50">
        <f t="shared" si="22"/>
        <v>0</v>
      </c>
      <c r="I51" s="50">
        <f t="shared" si="23"/>
        <v>0</v>
      </c>
      <c r="J51" s="50">
        <f t="shared" si="24"/>
        <v>0</v>
      </c>
      <c r="K51" s="50">
        <v>6.2E-4</v>
      </c>
      <c r="L51" s="29">
        <v>6.2E-4</v>
      </c>
      <c r="Z51" s="50">
        <f t="shared" si="25"/>
        <v>0</v>
      </c>
      <c r="AB51" s="50">
        <f t="shared" si="26"/>
        <v>0</v>
      </c>
      <c r="AC51" s="50">
        <f t="shared" si="27"/>
        <v>0</v>
      </c>
      <c r="AD51" s="50">
        <f t="shared" si="28"/>
        <v>0</v>
      </c>
      <c r="AE51" s="50">
        <f t="shared" si="29"/>
        <v>0</v>
      </c>
      <c r="AF51" s="50">
        <f t="shared" si="30"/>
        <v>0</v>
      </c>
      <c r="AG51" s="50">
        <f t="shared" si="31"/>
        <v>0</v>
      </c>
      <c r="AH51" s="50">
        <f t="shared" si="32"/>
        <v>0</v>
      </c>
      <c r="AI51" s="57" t="s">
        <v>510</v>
      </c>
      <c r="AJ51" s="50">
        <f t="shared" si="33"/>
        <v>0</v>
      </c>
      <c r="AK51" s="50">
        <f t="shared" si="34"/>
        <v>0</v>
      </c>
      <c r="AL51" s="50">
        <f t="shared" si="35"/>
        <v>0</v>
      </c>
      <c r="AN51" s="50">
        <v>21</v>
      </c>
      <c r="AO51" s="50">
        <f>G51*0.802348818897638</f>
        <v>0</v>
      </c>
      <c r="AP51" s="50">
        <f>G51*(1-0.802348818897638)</f>
        <v>0</v>
      </c>
      <c r="AQ51" s="38" t="s">
        <v>731</v>
      </c>
      <c r="AV51" s="50">
        <f t="shared" si="36"/>
        <v>0</v>
      </c>
      <c r="AW51" s="50">
        <f t="shared" si="37"/>
        <v>0</v>
      </c>
      <c r="AX51" s="50">
        <f t="shared" si="38"/>
        <v>0</v>
      </c>
      <c r="AY51" s="38" t="s">
        <v>337</v>
      </c>
      <c r="AZ51" s="38" t="s">
        <v>43</v>
      </c>
      <c r="BA51" s="57" t="s">
        <v>571</v>
      </c>
      <c r="BC51" s="50">
        <f t="shared" si="39"/>
        <v>0</v>
      </c>
      <c r="BD51" s="50">
        <f t="shared" si="40"/>
        <v>0</v>
      </c>
      <c r="BE51" s="50">
        <v>0</v>
      </c>
      <c r="BF51" s="50">
        <f>51</f>
        <v>51</v>
      </c>
      <c r="BH51" s="50">
        <f t="shared" si="41"/>
        <v>0</v>
      </c>
      <c r="BI51" s="50">
        <f t="shared" si="42"/>
        <v>0</v>
      </c>
      <c r="BJ51" s="50">
        <f t="shared" si="43"/>
        <v>0</v>
      </c>
      <c r="BK51" s="50"/>
      <c r="BL51" s="50">
        <v>723</v>
      </c>
      <c r="BW51" s="50">
        <v>21</v>
      </c>
    </row>
    <row r="52" spans="1:75" ht="13.5" customHeight="1" x14ac:dyDescent="0.25">
      <c r="A52" s="36" t="s">
        <v>428</v>
      </c>
      <c r="B52" s="53" t="s">
        <v>663</v>
      </c>
      <c r="C52" s="68" t="s">
        <v>372</v>
      </c>
      <c r="D52" s="69"/>
      <c r="E52" s="53" t="s">
        <v>180</v>
      </c>
      <c r="F52" s="50">
        <v>1</v>
      </c>
      <c r="G52" s="50">
        <v>0</v>
      </c>
      <c r="H52" s="50">
        <f t="shared" si="22"/>
        <v>0</v>
      </c>
      <c r="I52" s="50">
        <f t="shared" si="23"/>
        <v>0</v>
      </c>
      <c r="J52" s="50">
        <f t="shared" si="24"/>
        <v>0</v>
      </c>
      <c r="K52" s="50">
        <v>5.9999999999999995E-4</v>
      </c>
      <c r="L52" s="29">
        <v>5.9999999999999995E-4</v>
      </c>
      <c r="Z52" s="50">
        <f t="shared" si="25"/>
        <v>0</v>
      </c>
      <c r="AB52" s="50">
        <f t="shared" si="26"/>
        <v>0</v>
      </c>
      <c r="AC52" s="50">
        <f t="shared" si="27"/>
        <v>0</v>
      </c>
      <c r="AD52" s="50">
        <f t="shared" si="28"/>
        <v>0</v>
      </c>
      <c r="AE52" s="50">
        <f t="shared" si="29"/>
        <v>0</v>
      </c>
      <c r="AF52" s="50">
        <f t="shared" si="30"/>
        <v>0</v>
      </c>
      <c r="AG52" s="50">
        <f t="shared" si="31"/>
        <v>0</v>
      </c>
      <c r="AH52" s="50">
        <f t="shared" si="32"/>
        <v>0</v>
      </c>
      <c r="AI52" s="57" t="s">
        <v>510</v>
      </c>
      <c r="AJ52" s="50">
        <f t="shared" si="33"/>
        <v>0</v>
      </c>
      <c r="AK52" s="50">
        <f t="shared" si="34"/>
        <v>0</v>
      </c>
      <c r="AL52" s="50">
        <f t="shared" si="35"/>
        <v>0</v>
      </c>
      <c r="AN52" s="50">
        <v>21</v>
      </c>
      <c r="AO52" s="50">
        <f>G52*0.976190476190476</f>
        <v>0</v>
      </c>
      <c r="AP52" s="50">
        <f>G52*(1-0.976190476190476)</f>
        <v>0</v>
      </c>
      <c r="AQ52" s="38" t="s">
        <v>731</v>
      </c>
      <c r="AV52" s="50">
        <f t="shared" si="36"/>
        <v>0</v>
      </c>
      <c r="AW52" s="50">
        <f t="shared" si="37"/>
        <v>0</v>
      </c>
      <c r="AX52" s="50">
        <f t="shared" si="38"/>
        <v>0</v>
      </c>
      <c r="AY52" s="38" t="s">
        <v>337</v>
      </c>
      <c r="AZ52" s="38" t="s">
        <v>43</v>
      </c>
      <c r="BA52" s="57" t="s">
        <v>571</v>
      </c>
      <c r="BC52" s="50">
        <f t="shared" si="39"/>
        <v>0</v>
      </c>
      <c r="BD52" s="50">
        <f t="shared" si="40"/>
        <v>0</v>
      </c>
      <c r="BE52" s="50">
        <v>0</v>
      </c>
      <c r="BF52" s="50">
        <f>52</f>
        <v>52</v>
      </c>
      <c r="BH52" s="50">
        <f t="shared" si="41"/>
        <v>0</v>
      </c>
      <c r="BI52" s="50">
        <f t="shared" si="42"/>
        <v>0</v>
      </c>
      <c r="BJ52" s="50">
        <f t="shared" si="43"/>
        <v>0</v>
      </c>
      <c r="BK52" s="50"/>
      <c r="BL52" s="50">
        <v>723</v>
      </c>
      <c r="BW52" s="50">
        <v>21</v>
      </c>
    </row>
    <row r="53" spans="1:75" ht="13.5" customHeight="1" x14ac:dyDescent="0.25">
      <c r="A53" s="36" t="s">
        <v>625</v>
      </c>
      <c r="B53" s="53" t="s">
        <v>456</v>
      </c>
      <c r="C53" s="68" t="s">
        <v>672</v>
      </c>
      <c r="D53" s="69"/>
      <c r="E53" s="53" t="s">
        <v>180</v>
      </c>
      <c r="F53" s="50">
        <v>1</v>
      </c>
      <c r="G53" s="50">
        <v>0</v>
      </c>
      <c r="H53" s="50">
        <f t="shared" si="22"/>
        <v>0</v>
      </c>
      <c r="I53" s="50">
        <f t="shared" si="23"/>
        <v>0</v>
      </c>
      <c r="J53" s="50">
        <f t="shared" si="24"/>
        <v>0</v>
      </c>
      <c r="K53" s="50">
        <v>2.3000000000000001E-4</v>
      </c>
      <c r="L53" s="29">
        <v>2.3000000000000001E-4</v>
      </c>
      <c r="Z53" s="50">
        <f t="shared" si="25"/>
        <v>0</v>
      </c>
      <c r="AB53" s="50">
        <f t="shared" si="26"/>
        <v>0</v>
      </c>
      <c r="AC53" s="50">
        <f t="shared" si="27"/>
        <v>0</v>
      </c>
      <c r="AD53" s="50">
        <f t="shared" si="28"/>
        <v>0</v>
      </c>
      <c r="AE53" s="50">
        <f t="shared" si="29"/>
        <v>0</v>
      </c>
      <c r="AF53" s="50">
        <f t="shared" si="30"/>
        <v>0</v>
      </c>
      <c r="AG53" s="50">
        <f t="shared" si="31"/>
        <v>0</v>
      </c>
      <c r="AH53" s="50">
        <f t="shared" si="32"/>
        <v>0</v>
      </c>
      <c r="AI53" s="57" t="s">
        <v>510</v>
      </c>
      <c r="AJ53" s="50">
        <f t="shared" si="33"/>
        <v>0</v>
      </c>
      <c r="AK53" s="50">
        <f t="shared" si="34"/>
        <v>0</v>
      </c>
      <c r="AL53" s="50">
        <f t="shared" si="35"/>
        <v>0</v>
      </c>
      <c r="AN53" s="50">
        <v>21</v>
      </c>
      <c r="AO53" s="50">
        <f>G53*0.802967244701349</f>
        <v>0</v>
      </c>
      <c r="AP53" s="50">
        <f>G53*(1-0.802967244701349)</f>
        <v>0</v>
      </c>
      <c r="AQ53" s="38" t="s">
        <v>731</v>
      </c>
      <c r="AV53" s="50">
        <f t="shared" si="36"/>
        <v>0</v>
      </c>
      <c r="AW53" s="50">
        <f t="shared" si="37"/>
        <v>0</v>
      </c>
      <c r="AX53" s="50">
        <f t="shared" si="38"/>
        <v>0</v>
      </c>
      <c r="AY53" s="38" t="s">
        <v>337</v>
      </c>
      <c r="AZ53" s="38" t="s">
        <v>43</v>
      </c>
      <c r="BA53" s="57" t="s">
        <v>571</v>
      </c>
      <c r="BC53" s="50">
        <f t="shared" si="39"/>
        <v>0</v>
      </c>
      <c r="BD53" s="50">
        <f t="shared" si="40"/>
        <v>0</v>
      </c>
      <c r="BE53" s="50">
        <v>0</v>
      </c>
      <c r="BF53" s="50">
        <f>53</f>
        <v>53</v>
      </c>
      <c r="BH53" s="50">
        <f t="shared" si="41"/>
        <v>0</v>
      </c>
      <c r="BI53" s="50">
        <f t="shared" si="42"/>
        <v>0</v>
      </c>
      <c r="BJ53" s="50">
        <f t="shared" si="43"/>
        <v>0</v>
      </c>
      <c r="BK53" s="50"/>
      <c r="BL53" s="50">
        <v>723</v>
      </c>
      <c r="BW53" s="50">
        <v>21</v>
      </c>
    </row>
    <row r="54" spans="1:75" ht="13.5" customHeight="1" x14ac:dyDescent="0.25">
      <c r="A54" s="36" t="s">
        <v>157</v>
      </c>
      <c r="B54" s="53" t="s">
        <v>414</v>
      </c>
      <c r="C54" s="68" t="s">
        <v>40</v>
      </c>
      <c r="D54" s="69"/>
      <c r="E54" s="53" t="s">
        <v>180</v>
      </c>
      <c r="F54" s="50">
        <v>2</v>
      </c>
      <c r="G54" s="50">
        <v>0</v>
      </c>
      <c r="H54" s="50">
        <f t="shared" si="22"/>
        <v>0</v>
      </c>
      <c r="I54" s="50">
        <f t="shared" si="23"/>
        <v>0</v>
      </c>
      <c r="J54" s="50">
        <f t="shared" si="24"/>
        <v>0</v>
      </c>
      <c r="K54" s="50">
        <v>2.9999999999999997E-4</v>
      </c>
      <c r="L54" s="29">
        <v>2.9999999999999997E-4</v>
      </c>
      <c r="Z54" s="50">
        <f t="shared" si="25"/>
        <v>0</v>
      </c>
      <c r="AB54" s="50">
        <f t="shared" si="26"/>
        <v>0</v>
      </c>
      <c r="AC54" s="50">
        <f t="shared" si="27"/>
        <v>0</v>
      </c>
      <c r="AD54" s="50">
        <f t="shared" si="28"/>
        <v>0</v>
      </c>
      <c r="AE54" s="50">
        <f t="shared" si="29"/>
        <v>0</v>
      </c>
      <c r="AF54" s="50">
        <f t="shared" si="30"/>
        <v>0</v>
      </c>
      <c r="AG54" s="50">
        <f t="shared" si="31"/>
        <v>0</v>
      </c>
      <c r="AH54" s="50">
        <f t="shared" si="32"/>
        <v>0</v>
      </c>
      <c r="AI54" s="57" t="s">
        <v>510</v>
      </c>
      <c r="AJ54" s="50">
        <f t="shared" si="33"/>
        <v>0</v>
      </c>
      <c r="AK54" s="50">
        <f t="shared" si="34"/>
        <v>0</v>
      </c>
      <c r="AL54" s="50">
        <f t="shared" si="35"/>
        <v>0</v>
      </c>
      <c r="AN54" s="50">
        <v>21</v>
      </c>
      <c r="AO54" s="50">
        <f>G54*0.764144981412639</f>
        <v>0</v>
      </c>
      <c r="AP54" s="50">
        <f>G54*(1-0.764144981412639)</f>
        <v>0</v>
      </c>
      <c r="AQ54" s="38" t="s">
        <v>731</v>
      </c>
      <c r="AV54" s="50">
        <f t="shared" si="36"/>
        <v>0</v>
      </c>
      <c r="AW54" s="50">
        <f t="shared" si="37"/>
        <v>0</v>
      </c>
      <c r="AX54" s="50">
        <f t="shared" si="38"/>
        <v>0</v>
      </c>
      <c r="AY54" s="38" t="s">
        <v>337</v>
      </c>
      <c r="AZ54" s="38" t="s">
        <v>43</v>
      </c>
      <c r="BA54" s="57" t="s">
        <v>571</v>
      </c>
      <c r="BC54" s="50">
        <f t="shared" si="39"/>
        <v>0</v>
      </c>
      <c r="BD54" s="50">
        <f t="shared" si="40"/>
        <v>0</v>
      </c>
      <c r="BE54" s="50">
        <v>0</v>
      </c>
      <c r="BF54" s="50">
        <f>54</f>
        <v>54</v>
      </c>
      <c r="BH54" s="50">
        <f t="shared" si="41"/>
        <v>0</v>
      </c>
      <c r="BI54" s="50">
        <f t="shared" si="42"/>
        <v>0</v>
      </c>
      <c r="BJ54" s="50">
        <f t="shared" si="43"/>
        <v>0</v>
      </c>
      <c r="BK54" s="50"/>
      <c r="BL54" s="50">
        <v>723</v>
      </c>
      <c r="BW54" s="50">
        <v>21</v>
      </c>
    </row>
    <row r="55" spans="1:75" ht="13.5" customHeight="1" x14ac:dyDescent="0.25">
      <c r="A55" s="36" t="s">
        <v>808</v>
      </c>
      <c r="B55" s="53" t="s">
        <v>584</v>
      </c>
      <c r="C55" s="68" t="s">
        <v>454</v>
      </c>
      <c r="D55" s="69"/>
      <c r="E55" s="53" t="s">
        <v>180</v>
      </c>
      <c r="F55" s="50">
        <v>1</v>
      </c>
      <c r="G55" s="50">
        <v>0</v>
      </c>
      <c r="H55" s="50">
        <f t="shared" si="22"/>
        <v>0</v>
      </c>
      <c r="I55" s="50">
        <f t="shared" si="23"/>
        <v>0</v>
      </c>
      <c r="J55" s="50">
        <f t="shared" si="24"/>
        <v>0</v>
      </c>
      <c r="K55" s="50">
        <v>1.7600000000000001E-3</v>
      </c>
      <c r="L55" s="29">
        <v>1.7600000000000001E-3</v>
      </c>
      <c r="Z55" s="50">
        <f t="shared" si="25"/>
        <v>0</v>
      </c>
      <c r="AB55" s="50">
        <f t="shared" si="26"/>
        <v>0</v>
      </c>
      <c r="AC55" s="50">
        <f t="shared" si="27"/>
        <v>0</v>
      </c>
      <c r="AD55" s="50">
        <f t="shared" si="28"/>
        <v>0</v>
      </c>
      <c r="AE55" s="50">
        <f t="shared" si="29"/>
        <v>0</v>
      </c>
      <c r="AF55" s="50">
        <f t="shared" si="30"/>
        <v>0</v>
      </c>
      <c r="AG55" s="50">
        <f t="shared" si="31"/>
        <v>0</v>
      </c>
      <c r="AH55" s="50">
        <f t="shared" si="32"/>
        <v>0</v>
      </c>
      <c r="AI55" s="57" t="s">
        <v>510</v>
      </c>
      <c r="AJ55" s="50">
        <f t="shared" si="33"/>
        <v>0</v>
      </c>
      <c r="AK55" s="50">
        <f t="shared" si="34"/>
        <v>0</v>
      </c>
      <c r="AL55" s="50">
        <f t="shared" si="35"/>
        <v>0</v>
      </c>
      <c r="AN55" s="50">
        <v>21</v>
      </c>
      <c r="AO55" s="50">
        <f>G55*0.901270321361059</f>
        <v>0</v>
      </c>
      <c r="AP55" s="50">
        <f>G55*(1-0.901270321361059)</f>
        <v>0</v>
      </c>
      <c r="AQ55" s="38" t="s">
        <v>731</v>
      </c>
      <c r="AV55" s="50">
        <f t="shared" si="36"/>
        <v>0</v>
      </c>
      <c r="AW55" s="50">
        <f t="shared" si="37"/>
        <v>0</v>
      </c>
      <c r="AX55" s="50">
        <f t="shared" si="38"/>
        <v>0</v>
      </c>
      <c r="AY55" s="38" t="s">
        <v>337</v>
      </c>
      <c r="AZ55" s="38" t="s">
        <v>43</v>
      </c>
      <c r="BA55" s="57" t="s">
        <v>571</v>
      </c>
      <c r="BC55" s="50">
        <f t="shared" si="39"/>
        <v>0</v>
      </c>
      <c r="BD55" s="50">
        <f t="shared" si="40"/>
        <v>0</v>
      </c>
      <c r="BE55" s="50">
        <v>0</v>
      </c>
      <c r="BF55" s="50">
        <f>55</f>
        <v>55</v>
      </c>
      <c r="BH55" s="50">
        <f t="shared" si="41"/>
        <v>0</v>
      </c>
      <c r="BI55" s="50">
        <f t="shared" si="42"/>
        <v>0</v>
      </c>
      <c r="BJ55" s="50">
        <f t="shared" si="43"/>
        <v>0</v>
      </c>
      <c r="BK55" s="50"/>
      <c r="BL55" s="50">
        <v>723</v>
      </c>
      <c r="BW55" s="50">
        <v>21</v>
      </c>
    </row>
    <row r="56" spans="1:75" ht="13.5" customHeight="1" x14ac:dyDescent="0.25">
      <c r="A56" s="36" t="s">
        <v>661</v>
      </c>
      <c r="B56" s="53" t="s">
        <v>391</v>
      </c>
      <c r="C56" s="68" t="s">
        <v>544</v>
      </c>
      <c r="D56" s="69"/>
      <c r="E56" s="53" t="s">
        <v>180</v>
      </c>
      <c r="F56" s="50">
        <v>1</v>
      </c>
      <c r="G56" s="50">
        <v>0</v>
      </c>
      <c r="H56" s="50">
        <f t="shared" si="22"/>
        <v>0</v>
      </c>
      <c r="I56" s="50">
        <f t="shared" si="23"/>
        <v>0</v>
      </c>
      <c r="J56" s="50">
        <f t="shared" si="24"/>
        <v>0</v>
      </c>
      <c r="K56" s="50">
        <v>3.0000000000000001E-5</v>
      </c>
      <c r="L56" s="29">
        <v>3.0000000000000001E-5</v>
      </c>
      <c r="Z56" s="50">
        <f t="shared" si="25"/>
        <v>0</v>
      </c>
      <c r="AB56" s="50">
        <f t="shared" si="26"/>
        <v>0</v>
      </c>
      <c r="AC56" s="50">
        <f t="shared" si="27"/>
        <v>0</v>
      </c>
      <c r="AD56" s="50">
        <f t="shared" si="28"/>
        <v>0</v>
      </c>
      <c r="AE56" s="50">
        <f t="shared" si="29"/>
        <v>0</v>
      </c>
      <c r="AF56" s="50">
        <f t="shared" si="30"/>
        <v>0</v>
      </c>
      <c r="AG56" s="50">
        <f t="shared" si="31"/>
        <v>0</v>
      </c>
      <c r="AH56" s="50">
        <f t="shared" si="32"/>
        <v>0</v>
      </c>
      <c r="AI56" s="57" t="s">
        <v>510</v>
      </c>
      <c r="AJ56" s="50">
        <f t="shared" si="33"/>
        <v>0</v>
      </c>
      <c r="AK56" s="50">
        <f t="shared" si="34"/>
        <v>0</v>
      </c>
      <c r="AL56" s="50">
        <f t="shared" si="35"/>
        <v>0</v>
      </c>
      <c r="AN56" s="50">
        <v>21</v>
      </c>
      <c r="AO56" s="50">
        <f>G56*0.985341322490905</f>
        <v>0</v>
      </c>
      <c r="AP56" s="50">
        <f>G56*(1-0.985341322490905)</f>
        <v>0</v>
      </c>
      <c r="AQ56" s="38" t="s">
        <v>731</v>
      </c>
      <c r="AV56" s="50">
        <f t="shared" si="36"/>
        <v>0</v>
      </c>
      <c r="AW56" s="50">
        <f t="shared" si="37"/>
        <v>0</v>
      </c>
      <c r="AX56" s="50">
        <f t="shared" si="38"/>
        <v>0</v>
      </c>
      <c r="AY56" s="38" t="s">
        <v>337</v>
      </c>
      <c r="AZ56" s="38" t="s">
        <v>43</v>
      </c>
      <c r="BA56" s="57" t="s">
        <v>571</v>
      </c>
      <c r="BC56" s="50">
        <f t="shared" si="39"/>
        <v>0</v>
      </c>
      <c r="BD56" s="50">
        <f t="shared" si="40"/>
        <v>0</v>
      </c>
      <c r="BE56" s="50">
        <v>0</v>
      </c>
      <c r="BF56" s="50">
        <f>56</f>
        <v>56</v>
      </c>
      <c r="BH56" s="50">
        <f t="shared" si="41"/>
        <v>0</v>
      </c>
      <c r="BI56" s="50">
        <f t="shared" si="42"/>
        <v>0</v>
      </c>
      <c r="BJ56" s="50">
        <f t="shared" si="43"/>
        <v>0</v>
      </c>
      <c r="BK56" s="50"/>
      <c r="BL56" s="50">
        <v>723</v>
      </c>
      <c r="BW56" s="50">
        <v>21</v>
      </c>
    </row>
    <row r="57" spans="1:75" ht="13.5" customHeight="1" x14ac:dyDescent="0.25">
      <c r="A57" s="36" t="s">
        <v>421</v>
      </c>
      <c r="B57" s="53" t="s">
        <v>391</v>
      </c>
      <c r="C57" s="68" t="s">
        <v>566</v>
      </c>
      <c r="D57" s="69"/>
      <c r="E57" s="53" t="s">
        <v>180</v>
      </c>
      <c r="F57" s="50">
        <v>1</v>
      </c>
      <c r="G57" s="50">
        <v>0</v>
      </c>
      <c r="H57" s="50">
        <f t="shared" si="22"/>
        <v>0</v>
      </c>
      <c r="I57" s="50">
        <f t="shared" si="23"/>
        <v>0</v>
      </c>
      <c r="J57" s="50">
        <f t="shared" si="24"/>
        <v>0</v>
      </c>
      <c r="K57" s="50">
        <v>3.0000000000000001E-5</v>
      </c>
      <c r="L57" s="29">
        <v>3.0000000000000001E-5</v>
      </c>
      <c r="Z57" s="50">
        <f t="shared" si="25"/>
        <v>0</v>
      </c>
      <c r="AB57" s="50">
        <f t="shared" si="26"/>
        <v>0</v>
      </c>
      <c r="AC57" s="50">
        <f t="shared" si="27"/>
        <v>0</v>
      </c>
      <c r="AD57" s="50">
        <f t="shared" si="28"/>
        <v>0</v>
      </c>
      <c r="AE57" s="50">
        <f t="shared" si="29"/>
        <v>0</v>
      </c>
      <c r="AF57" s="50">
        <f t="shared" si="30"/>
        <v>0</v>
      </c>
      <c r="AG57" s="50">
        <f t="shared" si="31"/>
        <v>0</v>
      </c>
      <c r="AH57" s="50">
        <f t="shared" si="32"/>
        <v>0</v>
      </c>
      <c r="AI57" s="57" t="s">
        <v>510</v>
      </c>
      <c r="AJ57" s="50">
        <f t="shared" si="33"/>
        <v>0</v>
      </c>
      <c r="AK57" s="50">
        <f t="shared" si="34"/>
        <v>0</v>
      </c>
      <c r="AL57" s="50">
        <f t="shared" si="35"/>
        <v>0</v>
      </c>
      <c r="AN57" s="50">
        <v>21</v>
      </c>
      <c r="AO57" s="50">
        <f>G57*1</f>
        <v>0</v>
      </c>
      <c r="AP57" s="50">
        <f>G57*(1-1)</f>
        <v>0</v>
      </c>
      <c r="AQ57" s="38" t="s">
        <v>731</v>
      </c>
      <c r="AV57" s="50">
        <f t="shared" si="36"/>
        <v>0</v>
      </c>
      <c r="AW57" s="50">
        <f t="shared" si="37"/>
        <v>0</v>
      </c>
      <c r="AX57" s="50">
        <f t="shared" si="38"/>
        <v>0</v>
      </c>
      <c r="AY57" s="38" t="s">
        <v>337</v>
      </c>
      <c r="AZ57" s="38" t="s">
        <v>43</v>
      </c>
      <c r="BA57" s="57" t="s">
        <v>571</v>
      </c>
      <c r="BC57" s="50">
        <f t="shared" si="39"/>
        <v>0</v>
      </c>
      <c r="BD57" s="50">
        <f t="shared" si="40"/>
        <v>0</v>
      </c>
      <c r="BE57" s="50">
        <v>0</v>
      </c>
      <c r="BF57" s="50">
        <f>57</f>
        <v>57</v>
      </c>
      <c r="BH57" s="50">
        <f t="shared" si="41"/>
        <v>0</v>
      </c>
      <c r="BI57" s="50">
        <f t="shared" si="42"/>
        <v>0</v>
      </c>
      <c r="BJ57" s="50">
        <f t="shared" si="43"/>
        <v>0</v>
      </c>
      <c r="BK57" s="50"/>
      <c r="BL57" s="50">
        <v>723</v>
      </c>
      <c r="BW57" s="50">
        <v>21</v>
      </c>
    </row>
    <row r="58" spans="1:75" ht="13.5" customHeight="1" x14ac:dyDescent="0.25">
      <c r="A58" s="36" t="s">
        <v>714</v>
      </c>
      <c r="B58" s="53" t="s">
        <v>723</v>
      </c>
      <c r="C58" s="68" t="s">
        <v>318</v>
      </c>
      <c r="D58" s="69"/>
      <c r="E58" s="53" t="s">
        <v>180</v>
      </c>
      <c r="F58" s="50">
        <v>1</v>
      </c>
      <c r="G58" s="50">
        <v>0</v>
      </c>
      <c r="H58" s="50">
        <f t="shared" si="22"/>
        <v>0</v>
      </c>
      <c r="I58" s="50">
        <f t="shared" si="23"/>
        <v>0</v>
      </c>
      <c r="J58" s="50">
        <f t="shared" si="24"/>
        <v>0</v>
      </c>
      <c r="K58" s="50">
        <v>9.3000000000000005E-4</v>
      </c>
      <c r="L58" s="29">
        <v>9.3000000000000005E-4</v>
      </c>
      <c r="Z58" s="50">
        <f t="shared" si="25"/>
        <v>0</v>
      </c>
      <c r="AB58" s="50">
        <f t="shared" si="26"/>
        <v>0</v>
      </c>
      <c r="AC58" s="50">
        <f t="shared" si="27"/>
        <v>0</v>
      </c>
      <c r="AD58" s="50">
        <f t="shared" si="28"/>
        <v>0</v>
      </c>
      <c r="AE58" s="50">
        <f t="shared" si="29"/>
        <v>0</v>
      </c>
      <c r="AF58" s="50">
        <f t="shared" si="30"/>
        <v>0</v>
      </c>
      <c r="AG58" s="50">
        <f t="shared" si="31"/>
        <v>0</v>
      </c>
      <c r="AH58" s="50">
        <f t="shared" si="32"/>
        <v>0</v>
      </c>
      <c r="AI58" s="57" t="s">
        <v>510</v>
      </c>
      <c r="AJ58" s="50">
        <f t="shared" si="33"/>
        <v>0</v>
      </c>
      <c r="AK58" s="50">
        <f t="shared" si="34"/>
        <v>0</v>
      </c>
      <c r="AL58" s="50">
        <f t="shared" si="35"/>
        <v>0</v>
      </c>
      <c r="AN58" s="50">
        <v>21</v>
      </c>
      <c r="AO58" s="50">
        <f>G58*0.330765042979943</f>
        <v>0</v>
      </c>
      <c r="AP58" s="50">
        <f>G58*(1-0.330765042979943)</f>
        <v>0</v>
      </c>
      <c r="AQ58" s="38" t="s">
        <v>731</v>
      </c>
      <c r="AV58" s="50">
        <f t="shared" si="36"/>
        <v>0</v>
      </c>
      <c r="AW58" s="50">
        <f t="shared" si="37"/>
        <v>0</v>
      </c>
      <c r="AX58" s="50">
        <f t="shared" si="38"/>
        <v>0</v>
      </c>
      <c r="AY58" s="38" t="s">
        <v>337</v>
      </c>
      <c r="AZ58" s="38" t="s">
        <v>43</v>
      </c>
      <c r="BA58" s="57" t="s">
        <v>571</v>
      </c>
      <c r="BC58" s="50">
        <f t="shared" si="39"/>
        <v>0</v>
      </c>
      <c r="BD58" s="50">
        <f t="shared" si="40"/>
        <v>0</v>
      </c>
      <c r="BE58" s="50">
        <v>0</v>
      </c>
      <c r="BF58" s="50">
        <f>58</f>
        <v>58</v>
      </c>
      <c r="BH58" s="50">
        <f t="shared" si="41"/>
        <v>0</v>
      </c>
      <c r="BI58" s="50">
        <f t="shared" si="42"/>
        <v>0</v>
      </c>
      <c r="BJ58" s="50">
        <f t="shared" si="43"/>
        <v>0</v>
      </c>
      <c r="BK58" s="50"/>
      <c r="BL58" s="50">
        <v>723</v>
      </c>
      <c r="BW58" s="50">
        <v>21</v>
      </c>
    </row>
    <row r="59" spans="1:75" ht="13.5" customHeight="1" x14ac:dyDescent="0.25">
      <c r="A59" s="36" t="s">
        <v>437</v>
      </c>
      <c r="B59" s="53" t="s">
        <v>500</v>
      </c>
      <c r="C59" s="68" t="s">
        <v>268</v>
      </c>
      <c r="D59" s="69"/>
      <c r="E59" s="53" t="s">
        <v>618</v>
      </c>
      <c r="F59" s="50">
        <v>3</v>
      </c>
      <c r="G59" s="50">
        <v>0</v>
      </c>
      <c r="H59" s="50">
        <f t="shared" si="22"/>
        <v>0</v>
      </c>
      <c r="I59" s="50">
        <f t="shared" si="23"/>
        <v>0</v>
      </c>
      <c r="J59" s="50">
        <f t="shared" si="24"/>
        <v>0</v>
      </c>
      <c r="K59" s="50">
        <v>1.238E-2</v>
      </c>
      <c r="L59" s="29">
        <v>1.238E-2</v>
      </c>
      <c r="Z59" s="50">
        <f t="shared" si="25"/>
        <v>0</v>
      </c>
      <c r="AB59" s="50">
        <f t="shared" si="26"/>
        <v>0</v>
      </c>
      <c r="AC59" s="50">
        <f t="shared" si="27"/>
        <v>0</v>
      </c>
      <c r="AD59" s="50">
        <f t="shared" si="28"/>
        <v>0</v>
      </c>
      <c r="AE59" s="50">
        <f t="shared" si="29"/>
        <v>0</v>
      </c>
      <c r="AF59" s="50">
        <f t="shared" si="30"/>
        <v>0</v>
      </c>
      <c r="AG59" s="50">
        <f t="shared" si="31"/>
        <v>0</v>
      </c>
      <c r="AH59" s="50">
        <f t="shared" si="32"/>
        <v>0</v>
      </c>
      <c r="AI59" s="57" t="s">
        <v>510</v>
      </c>
      <c r="AJ59" s="50">
        <f t="shared" si="33"/>
        <v>0</v>
      </c>
      <c r="AK59" s="50">
        <f t="shared" si="34"/>
        <v>0</v>
      </c>
      <c r="AL59" s="50">
        <f t="shared" si="35"/>
        <v>0</v>
      </c>
      <c r="AN59" s="50">
        <v>21</v>
      </c>
      <c r="AO59" s="50">
        <f>G59*0.475018867924528</f>
        <v>0</v>
      </c>
      <c r="AP59" s="50">
        <f>G59*(1-0.475018867924528)</f>
        <v>0</v>
      </c>
      <c r="AQ59" s="38" t="s">
        <v>731</v>
      </c>
      <c r="AV59" s="50">
        <f t="shared" si="36"/>
        <v>0</v>
      </c>
      <c r="AW59" s="50">
        <f t="shared" si="37"/>
        <v>0</v>
      </c>
      <c r="AX59" s="50">
        <f t="shared" si="38"/>
        <v>0</v>
      </c>
      <c r="AY59" s="38" t="s">
        <v>337</v>
      </c>
      <c r="AZ59" s="38" t="s">
        <v>43</v>
      </c>
      <c r="BA59" s="57" t="s">
        <v>571</v>
      </c>
      <c r="BC59" s="50">
        <f t="shared" si="39"/>
        <v>0</v>
      </c>
      <c r="BD59" s="50">
        <f t="shared" si="40"/>
        <v>0</v>
      </c>
      <c r="BE59" s="50">
        <v>0</v>
      </c>
      <c r="BF59" s="50">
        <f>59</f>
        <v>59</v>
      </c>
      <c r="BH59" s="50">
        <f t="shared" si="41"/>
        <v>0</v>
      </c>
      <c r="BI59" s="50">
        <f t="shared" si="42"/>
        <v>0</v>
      </c>
      <c r="BJ59" s="50">
        <f t="shared" si="43"/>
        <v>0</v>
      </c>
      <c r="BK59" s="50"/>
      <c r="BL59" s="50">
        <v>723</v>
      </c>
      <c r="BW59" s="50">
        <v>21</v>
      </c>
    </row>
    <row r="60" spans="1:75" ht="13.5" customHeight="1" x14ac:dyDescent="0.25">
      <c r="A60" s="36" t="s">
        <v>478</v>
      </c>
      <c r="B60" s="53" t="s">
        <v>802</v>
      </c>
      <c r="C60" s="68" t="s">
        <v>25</v>
      </c>
      <c r="D60" s="69"/>
      <c r="E60" s="53" t="s">
        <v>618</v>
      </c>
      <c r="F60" s="50">
        <v>5</v>
      </c>
      <c r="G60" s="50">
        <v>0</v>
      </c>
      <c r="H60" s="50">
        <f t="shared" si="22"/>
        <v>0</v>
      </c>
      <c r="I60" s="50">
        <f t="shared" si="23"/>
        <v>0</v>
      </c>
      <c r="J60" s="50">
        <f t="shared" si="24"/>
        <v>0</v>
      </c>
      <c r="K60" s="50">
        <v>8.5800000000000008E-3</v>
      </c>
      <c r="L60" s="29">
        <v>8.5800000000000008E-3</v>
      </c>
      <c r="Z60" s="50">
        <f t="shared" si="25"/>
        <v>0</v>
      </c>
      <c r="AB60" s="50">
        <f t="shared" si="26"/>
        <v>0</v>
      </c>
      <c r="AC60" s="50">
        <f t="shared" si="27"/>
        <v>0</v>
      </c>
      <c r="AD60" s="50">
        <f t="shared" si="28"/>
        <v>0</v>
      </c>
      <c r="AE60" s="50">
        <f t="shared" si="29"/>
        <v>0</v>
      </c>
      <c r="AF60" s="50">
        <f t="shared" si="30"/>
        <v>0</v>
      </c>
      <c r="AG60" s="50">
        <f t="shared" si="31"/>
        <v>0</v>
      </c>
      <c r="AH60" s="50">
        <f t="shared" si="32"/>
        <v>0</v>
      </c>
      <c r="AI60" s="57" t="s">
        <v>510</v>
      </c>
      <c r="AJ60" s="50">
        <f t="shared" si="33"/>
        <v>0</v>
      </c>
      <c r="AK60" s="50">
        <f t="shared" si="34"/>
        <v>0</v>
      </c>
      <c r="AL60" s="50">
        <f t="shared" si="35"/>
        <v>0</v>
      </c>
      <c r="AN60" s="50">
        <v>21</v>
      </c>
      <c r="AO60" s="50">
        <f>G60*0.3128</f>
        <v>0</v>
      </c>
      <c r="AP60" s="50">
        <f>G60*(1-0.3128)</f>
        <v>0</v>
      </c>
      <c r="AQ60" s="38" t="s">
        <v>731</v>
      </c>
      <c r="AV60" s="50">
        <f t="shared" si="36"/>
        <v>0</v>
      </c>
      <c r="AW60" s="50">
        <f t="shared" si="37"/>
        <v>0</v>
      </c>
      <c r="AX60" s="50">
        <f t="shared" si="38"/>
        <v>0</v>
      </c>
      <c r="AY60" s="38" t="s">
        <v>337</v>
      </c>
      <c r="AZ60" s="38" t="s">
        <v>43</v>
      </c>
      <c r="BA60" s="57" t="s">
        <v>571</v>
      </c>
      <c r="BC60" s="50">
        <f t="shared" si="39"/>
        <v>0</v>
      </c>
      <c r="BD60" s="50">
        <f t="shared" si="40"/>
        <v>0</v>
      </c>
      <c r="BE60" s="50">
        <v>0</v>
      </c>
      <c r="BF60" s="50">
        <f>60</f>
        <v>60</v>
      </c>
      <c r="BH60" s="50">
        <f t="shared" si="41"/>
        <v>0</v>
      </c>
      <c r="BI60" s="50">
        <f t="shared" si="42"/>
        <v>0</v>
      </c>
      <c r="BJ60" s="50">
        <f t="shared" si="43"/>
        <v>0</v>
      </c>
      <c r="BK60" s="50"/>
      <c r="BL60" s="50">
        <v>723</v>
      </c>
      <c r="BW60" s="50">
        <v>21</v>
      </c>
    </row>
    <row r="61" spans="1:75" ht="13.5" customHeight="1" x14ac:dyDescent="0.25">
      <c r="A61" s="36" t="s">
        <v>256</v>
      </c>
      <c r="B61" s="53" t="s">
        <v>450</v>
      </c>
      <c r="C61" s="68" t="s">
        <v>503</v>
      </c>
      <c r="D61" s="69"/>
      <c r="E61" s="53" t="s">
        <v>618</v>
      </c>
      <c r="F61" s="50">
        <v>5</v>
      </c>
      <c r="G61" s="50">
        <v>0</v>
      </c>
      <c r="H61" s="50">
        <f t="shared" si="22"/>
        <v>0</v>
      </c>
      <c r="I61" s="50">
        <f t="shared" si="23"/>
        <v>0</v>
      </c>
      <c r="J61" s="50">
        <f t="shared" si="24"/>
        <v>0</v>
      </c>
      <c r="K61" s="50">
        <v>8.1799999999999998E-3</v>
      </c>
      <c r="L61" s="29">
        <v>8.1799999999999998E-3</v>
      </c>
      <c r="Z61" s="50">
        <f t="shared" si="25"/>
        <v>0</v>
      </c>
      <c r="AB61" s="50">
        <f t="shared" si="26"/>
        <v>0</v>
      </c>
      <c r="AC61" s="50">
        <f t="shared" si="27"/>
        <v>0</v>
      </c>
      <c r="AD61" s="50">
        <f t="shared" si="28"/>
        <v>0</v>
      </c>
      <c r="AE61" s="50">
        <f t="shared" si="29"/>
        <v>0</v>
      </c>
      <c r="AF61" s="50">
        <f t="shared" si="30"/>
        <v>0</v>
      </c>
      <c r="AG61" s="50">
        <f t="shared" si="31"/>
        <v>0</v>
      </c>
      <c r="AH61" s="50">
        <f t="shared" si="32"/>
        <v>0</v>
      </c>
      <c r="AI61" s="57" t="s">
        <v>510</v>
      </c>
      <c r="AJ61" s="50">
        <f t="shared" si="33"/>
        <v>0</v>
      </c>
      <c r="AK61" s="50">
        <f t="shared" si="34"/>
        <v>0</v>
      </c>
      <c r="AL61" s="50">
        <f t="shared" si="35"/>
        <v>0</v>
      </c>
      <c r="AN61" s="50">
        <v>21</v>
      </c>
      <c r="AO61" s="50">
        <f>G61*0.305245283018868</f>
        <v>0</v>
      </c>
      <c r="AP61" s="50">
        <f>G61*(1-0.305245283018868)</f>
        <v>0</v>
      </c>
      <c r="AQ61" s="38" t="s">
        <v>731</v>
      </c>
      <c r="AV61" s="50">
        <f t="shared" si="36"/>
        <v>0</v>
      </c>
      <c r="AW61" s="50">
        <f t="shared" si="37"/>
        <v>0</v>
      </c>
      <c r="AX61" s="50">
        <f t="shared" si="38"/>
        <v>0</v>
      </c>
      <c r="AY61" s="38" t="s">
        <v>337</v>
      </c>
      <c r="AZ61" s="38" t="s">
        <v>43</v>
      </c>
      <c r="BA61" s="57" t="s">
        <v>571</v>
      </c>
      <c r="BC61" s="50">
        <f t="shared" si="39"/>
        <v>0</v>
      </c>
      <c r="BD61" s="50">
        <f t="shared" si="40"/>
        <v>0</v>
      </c>
      <c r="BE61" s="50">
        <v>0</v>
      </c>
      <c r="BF61" s="50">
        <f>61</f>
        <v>61</v>
      </c>
      <c r="BH61" s="50">
        <f t="shared" si="41"/>
        <v>0</v>
      </c>
      <c r="BI61" s="50">
        <f t="shared" si="42"/>
        <v>0</v>
      </c>
      <c r="BJ61" s="50">
        <f t="shared" si="43"/>
        <v>0</v>
      </c>
      <c r="BK61" s="50"/>
      <c r="BL61" s="50">
        <v>723</v>
      </c>
      <c r="BW61" s="50">
        <v>21</v>
      </c>
    </row>
    <row r="62" spans="1:75" ht="13.5" customHeight="1" x14ac:dyDescent="0.25">
      <c r="A62" s="36" t="s">
        <v>718</v>
      </c>
      <c r="B62" s="53" t="s">
        <v>656</v>
      </c>
      <c r="C62" s="68" t="s">
        <v>546</v>
      </c>
      <c r="D62" s="69"/>
      <c r="E62" s="53" t="s">
        <v>180</v>
      </c>
      <c r="F62" s="50">
        <v>1</v>
      </c>
      <c r="G62" s="50">
        <v>0</v>
      </c>
      <c r="H62" s="50">
        <f t="shared" si="22"/>
        <v>0</v>
      </c>
      <c r="I62" s="50">
        <f t="shared" si="23"/>
        <v>0</v>
      </c>
      <c r="J62" s="50">
        <f t="shared" si="24"/>
        <v>0</v>
      </c>
      <c r="K62" s="50">
        <v>2.3999999999999998E-3</v>
      </c>
      <c r="L62" s="29">
        <v>2.3999999999999998E-3</v>
      </c>
      <c r="Z62" s="50">
        <f t="shared" si="25"/>
        <v>0</v>
      </c>
      <c r="AB62" s="50">
        <f t="shared" si="26"/>
        <v>0</v>
      </c>
      <c r="AC62" s="50">
        <f t="shared" si="27"/>
        <v>0</v>
      </c>
      <c r="AD62" s="50">
        <f t="shared" si="28"/>
        <v>0</v>
      </c>
      <c r="AE62" s="50">
        <f t="shared" si="29"/>
        <v>0</v>
      </c>
      <c r="AF62" s="50">
        <f t="shared" si="30"/>
        <v>0</v>
      </c>
      <c r="AG62" s="50">
        <f t="shared" si="31"/>
        <v>0</v>
      </c>
      <c r="AH62" s="50">
        <f t="shared" si="32"/>
        <v>0</v>
      </c>
      <c r="AI62" s="57" t="s">
        <v>510</v>
      </c>
      <c r="AJ62" s="50">
        <f t="shared" si="33"/>
        <v>0</v>
      </c>
      <c r="AK62" s="50">
        <f t="shared" si="34"/>
        <v>0</v>
      </c>
      <c r="AL62" s="50">
        <f t="shared" si="35"/>
        <v>0</v>
      </c>
      <c r="AN62" s="50">
        <v>21</v>
      </c>
      <c r="AO62" s="50">
        <f>G62*0.636591853699086</f>
        <v>0</v>
      </c>
      <c r="AP62" s="50">
        <f>G62*(1-0.636591853699086)</f>
        <v>0</v>
      </c>
      <c r="AQ62" s="38" t="s">
        <v>731</v>
      </c>
      <c r="AV62" s="50">
        <f t="shared" si="36"/>
        <v>0</v>
      </c>
      <c r="AW62" s="50">
        <f t="shared" si="37"/>
        <v>0</v>
      </c>
      <c r="AX62" s="50">
        <f t="shared" si="38"/>
        <v>0</v>
      </c>
      <c r="AY62" s="38" t="s">
        <v>337</v>
      </c>
      <c r="AZ62" s="38" t="s">
        <v>43</v>
      </c>
      <c r="BA62" s="57" t="s">
        <v>571</v>
      </c>
      <c r="BC62" s="50">
        <f t="shared" si="39"/>
        <v>0</v>
      </c>
      <c r="BD62" s="50">
        <f t="shared" si="40"/>
        <v>0</v>
      </c>
      <c r="BE62" s="50">
        <v>0</v>
      </c>
      <c r="BF62" s="50">
        <f>62</f>
        <v>62</v>
      </c>
      <c r="BH62" s="50">
        <f t="shared" si="41"/>
        <v>0</v>
      </c>
      <c r="BI62" s="50">
        <f t="shared" si="42"/>
        <v>0</v>
      </c>
      <c r="BJ62" s="50">
        <f t="shared" si="43"/>
        <v>0</v>
      </c>
      <c r="BK62" s="50"/>
      <c r="BL62" s="50">
        <v>723</v>
      </c>
      <c r="BW62" s="50">
        <v>21</v>
      </c>
    </row>
    <row r="63" spans="1:75" ht="13.5" customHeight="1" x14ac:dyDescent="0.25">
      <c r="A63" s="36" t="s">
        <v>133</v>
      </c>
      <c r="B63" s="53" t="s">
        <v>695</v>
      </c>
      <c r="C63" s="68" t="s">
        <v>511</v>
      </c>
      <c r="D63" s="69"/>
      <c r="E63" s="53" t="s">
        <v>180</v>
      </c>
      <c r="F63" s="50">
        <v>1</v>
      </c>
      <c r="G63" s="50">
        <v>0</v>
      </c>
      <c r="H63" s="50">
        <f t="shared" si="22"/>
        <v>0</v>
      </c>
      <c r="I63" s="50">
        <f t="shared" si="23"/>
        <v>0</v>
      </c>
      <c r="J63" s="50">
        <f t="shared" si="24"/>
        <v>0</v>
      </c>
      <c r="K63" s="50">
        <v>1.6000000000000001E-3</v>
      </c>
      <c r="L63" s="29">
        <v>1.6000000000000001E-3</v>
      </c>
      <c r="Z63" s="50">
        <f t="shared" si="25"/>
        <v>0</v>
      </c>
      <c r="AB63" s="50">
        <f t="shared" si="26"/>
        <v>0</v>
      </c>
      <c r="AC63" s="50">
        <f t="shared" si="27"/>
        <v>0</v>
      </c>
      <c r="AD63" s="50">
        <f t="shared" si="28"/>
        <v>0</v>
      </c>
      <c r="AE63" s="50">
        <f t="shared" si="29"/>
        <v>0</v>
      </c>
      <c r="AF63" s="50">
        <f t="shared" si="30"/>
        <v>0</v>
      </c>
      <c r="AG63" s="50">
        <f t="shared" si="31"/>
        <v>0</v>
      </c>
      <c r="AH63" s="50">
        <f t="shared" si="32"/>
        <v>0</v>
      </c>
      <c r="AI63" s="57" t="s">
        <v>510</v>
      </c>
      <c r="AJ63" s="50">
        <f t="shared" si="33"/>
        <v>0</v>
      </c>
      <c r="AK63" s="50">
        <f t="shared" si="34"/>
        <v>0</v>
      </c>
      <c r="AL63" s="50">
        <f t="shared" si="35"/>
        <v>0</v>
      </c>
      <c r="AN63" s="50">
        <v>21</v>
      </c>
      <c r="AO63" s="50">
        <f>G63*1</f>
        <v>0</v>
      </c>
      <c r="AP63" s="50">
        <f>G63*(1-1)</f>
        <v>0</v>
      </c>
      <c r="AQ63" s="38" t="s">
        <v>731</v>
      </c>
      <c r="AV63" s="50">
        <f t="shared" si="36"/>
        <v>0</v>
      </c>
      <c r="AW63" s="50">
        <f t="shared" si="37"/>
        <v>0</v>
      </c>
      <c r="AX63" s="50">
        <f t="shared" si="38"/>
        <v>0</v>
      </c>
      <c r="AY63" s="38" t="s">
        <v>337</v>
      </c>
      <c r="AZ63" s="38" t="s">
        <v>43</v>
      </c>
      <c r="BA63" s="57" t="s">
        <v>571</v>
      </c>
      <c r="BC63" s="50">
        <f t="shared" si="39"/>
        <v>0</v>
      </c>
      <c r="BD63" s="50">
        <f t="shared" si="40"/>
        <v>0</v>
      </c>
      <c r="BE63" s="50">
        <v>0</v>
      </c>
      <c r="BF63" s="50">
        <f>63</f>
        <v>63</v>
      </c>
      <c r="BH63" s="50">
        <f t="shared" si="41"/>
        <v>0</v>
      </c>
      <c r="BI63" s="50">
        <f t="shared" si="42"/>
        <v>0</v>
      </c>
      <c r="BJ63" s="50">
        <f t="shared" si="43"/>
        <v>0</v>
      </c>
      <c r="BK63" s="50"/>
      <c r="BL63" s="50">
        <v>723</v>
      </c>
      <c r="BW63" s="50">
        <v>21</v>
      </c>
    </row>
    <row r="64" spans="1:75" ht="13.5" customHeight="1" x14ac:dyDescent="0.25">
      <c r="A64" s="36" t="s">
        <v>238</v>
      </c>
      <c r="B64" s="53" t="s">
        <v>773</v>
      </c>
      <c r="C64" s="68" t="s">
        <v>817</v>
      </c>
      <c r="D64" s="69"/>
      <c r="E64" s="53" t="s">
        <v>180</v>
      </c>
      <c r="F64" s="50">
        <v>1</v>
      </c>
      <c r="G64" s="50">
        <v>0</v>
      </c>
      <c r="H64" s="50">
        <f t="shared" si="22"/>
        <v>0</v>
      </c>
      <c r="I64" s="50">
        <f t="shared" si="23"/>
        <v>0</v>
      </c>
      <c r="J64" s="50">
        <f t="shared" si="24"/>
        <v>0</v>
      </c>
      <c r="K64" s="50">
        <v>1.5299999999999999E-2</v>
      </c>
      <c r="L64" s="29">
        <v>1.5299999999999999E-2</v>
      </c>
      <c r="Z64" s="50">
        <f t="shared" si="25"/>
        <v>0</v>
      </c>
      <c r="AB64" s="50">
        <f t="shared" si="26"/>
        <v>0</v>
      </c>
      <c r="AC64" s="50">
        <f t="shared" si="27"/>
        <v>0</v>
      </c>
      <c r="AD64" s="50">
        <f t="shared" si="28"/>
        <v>0</v>
      </c>
      <c r="AE64" s="50">
        <f t="shared" si="29"/>
        <v>0</v>
      </c>
      <c r="AF64" s="50">
        <f t="shared" si="30"/>
        <v>0</v>
      </c>
      <c r="AG64" s="50">
        <f t="shared" si="31"/>
        <v>0</v>
      </c>
      <c r="AH64" s="50">
        <f t="shared" si="32"/>
        <v>0</v>
      </c>
      <c r="AI64" s="57" t="s">
        <v>510</v>
      </c>
      <c r="AJ64" s="50">
        <f t="shared" si="33"/>
        <v>0</v>
      </c>
      <c r="AK64" s="50">
        <f t="shared" si="34"/>
        <v>0</v>
      </c>
      <c r="AL64" s="50">
        <f t="shared" si="35"/>
        <v>0</v>
      </c>
      <c r="AN64" s="50">
        <v>21</v>
      </c>
      <c r="AO64" s="50">
        <f>G64*0.931956912028725</f>
        <v>0</v>
      </c>
      <c r="AP64" s="50">
        <f>G64*(1-0.931956912028725)</f>
        <v>0</v>
      </c>
      <c r="AQ64" s="38" t="s">
        <v>731</v>
      </c>
      <c r="AV64" s="50">
        <f t="shared" si="36"/>
        <v>0</v>
      </c>
      <c r="AW64" s="50">
        <f t="shared" si="37"/>
        <v>0</v>
      </c>
      <c r="AX64" s="50">
        <f t="shared" si="38"/>
        <v>0</v>
      </c>
      <c r="AY64" s="38" t="s">
        <v>337</v>
      </c>
      <c r="AZ64" s="38" t="s">
        <v>43</v>
      </c>
      <c r="BA64" s="57" t="s">
        <v>571</v>
      </c>
      <c r="BC64" s="50">
        <f t="shared" si="39"/>
        <v>0</v>
      </c>
      <c r="BD64" s="50">
        <f t="shared" si="40"/>
        <v>0</v>
      </c>
      <c r="BE64" s="50">
        <v>0</v>
      </c>
      <c r="BF64" s="50">
        <f>64</f>
        <v>64</v>
      </c>
      <c r="BH64" s="50">
        <f t="shared" si="41"/>
        <v>0</v>
      </c>
      <c r="BI64" s="50">
        <f t="shared" si="42"/>
        <v>0</v>
      </c>
      <c r="BJ64" s="50">
        <f t="shared" si="43"/>
        <v>0</v>
      </c>
      <c r="BK64" s="50"/>
      <c r="BL64" s="50">
        <v>723</v>
      </c>
      <c r="BW64" s="50">
        <v>21</v>
      </c>
    </row>
    <row r="65" spans="1:75" ht="15" customHeight="1" x14ac:dyDescent="0.25">
      <c r="A65" s="47" t="s">
        <v>510</v>
      </c>
      <c r="B65" s="35" t="s">
        <v>411</v>
      </c>
      <c r="C65" s="70" t="s">
        <v>768</v>
      </c>
      <c r="D65" s="71"/>
      <c r="E65" s="1" t="s">
        <v>686</v>
      </c>
      <c r="F65" s="1" t="s">
        <v>686</v>
      </c>
      <c r="G65" s="1" t="s">
        <v>686</v>
      </c>
      <c r="H65" s="5">
        <f>SUM(H66:H66)</f>
        <v>0</v>
      </c>
      <c r="I65" s="5">
        <f>SUM(I66:I66)</f>
        <v>0</v>
      </c>
      <c r="J65" s="5">
        <f>SUM(J66:J66)</f>
        <v>0</v>
      </c>
      <c r="K65" s="57" t="s">
        <v>510</v>
      </c>
      <c r="L65" s="7" t="s">
        <v>510</v>
      </c>
      <c r="AI65" s="57" t="s">
        <v>510</v>
      </c>
      <c r="AS65" s="5">
        <f>SUM(AJ66:AJ66)</f>
        <v>0</v>
      </c>
      <c r="AT65" s="5">
        <f>SUM(AK66:AK66)</f>
        <v>0</v>
      </c>
      <c r="AU65" s="5">
        <f>SUM(AL66:AL66)</f>
        <v>0</v>
      </c>
    </row>
    <row r="66" spans="1:75" ht="13.5" customHeight="1" x14ac:dyDescent="0.25">
      <c r="A66" s="36" t="s">
        <v>312</v>
      </c>
      <c r="B66" s="53" t="s">
        <v>204</v>
      </c>
      <c r="C66" s="68" t="s">
        <v>440</v>
      </c>
      <c r="D66" s="69"/>
      <c r="E66" s="53" t="s">
        <v>180</v>
      </c>
      <c r="F66" s="50">
        <v>1</v>
      </c>
      <c r="G66" s="50">
        <v>0</v>
      </c>
      <c r="H66" s="50">
        <f>F66*AO66</f>
        <v>0</v>
      </c>
      <c r="I66" s="50">
        <f>F66*AP66</f>
        <v>0</v>
      </c>
      <c r="J66" s="50">
        <f>F66*G66</f>
        <v>0</v>
      </c>
      <c r="K66" s="50">
        <v>3.0000000000000001E-3</v>
      </c>
      <c r="L66" s="29">
        <v>3.0000000000000001E-3</v>
      </c>
      <c r="Z66" s="50">
        <f>IF(AQ66="5",BJ66,0)</f>
        <v>0</v>
      </c>
      <c r="AB66" s="50">
        <f>IF(AQ66="1",BH66,0)</f>
        <v>0</v>
      </c>
      <c r="AC66" s="50">
        <f>IF(AQ66="1",BI66,0)</f>
        <v>0</v>
      </c>
      <c r="AD66" s="50">
        <f>IF(AQ66="7",BH66,0)</f>
        <v>0</v>
      </c>
      <c r="AE66" s="50">
        <f>IF(AQ66="7",BI66,0)</f>
        <v>0</v>
      </c>
      <c r="AF66" s="50">
        <f>IF(AQ66="2",BH66,0)</f>
        <v>0</v>
      </c>
      <c r="AG66" s="50">
        <f>IF(AQ66="2",BI66,0)</f>
        <v>0</v>
      </c>
      <c r="AH66" s="50">
        <f>IF(AQ66="0",BJ66,0)</f>
        <v>0</v>
      </c>
      <c r="AI66" s="57" t="s">
        <v>510</v>
      </c>
      <c r="AJ66" s="50">
        <f>IF(AN66=0,J66,0)</f>
        <v>0</v>
      </c>
      <c r="AK66" s="50">
        <f>IF(AN66=15,J66,0)</f>
        <v>0</v>
      </c>
      <c r="AL66" s="50">
        <f>IF(AN66=21,J66,0)</f>
        <v>0</v>
      </c>
      <c r="AN66" s="50">
        <v>21</v>
      </c>
      <c r="AO66" s="50">
        <f>G66*0.253465346534653</f>
        <v>0</v>
      </c>
      <c r="AP66" s="50">
        <f>G66*(1-0.253465346534653)</f>
        <v>0</v>
      </c>
      <c r="AQ66" s="38" t="s">
        <v>731</v>
      </c>
      <c r="AV66" s="50">
        <f>AW66+AX66</f>
        <v>0</v>
      </c>
      <c r="AW66" s="50">
        <f>F66*AO66</f>
        <v>0</v>
      </c>
      <c r="AX66" s="50">
        <f>F66*AP66</f>
        <v>0</v>
      </c>
      <c r="AY66" s="38" t="s">
        <v>599</v>
      </c>
      <c r="AZ66" s="38" t="s">
        <v>43</v>
      </c>
      <c r="BA66" s="57" t="s">
        <v>571</v>
      </c>
      <c r="BC66" s="50">
        <f>AW66+AX66</f>
        <v>0</v>
      </c>
      <c r="BD66" s="50">
        <f>G66/(100-BE66)*100</f>
        <v>0</v>
      </c>
      <c r="BE66" s="50">
        <v>0</v>
      </c>
      <c r="BF66" s="50">
        <f>66</f>
        <v>66</v>
      </c>
      <c r="BH66" s="50">
        <f>F66*AO66</f>
        <v>0</v>
      </c>
      <c r="BI66" s="50">
        <f>F66*AP66</f>
        <v>0</v>
      </c>
      <c r="BJ66" s="50">
        <f>F66*G66</f>
        <v>0</v>
      </c>
      <c r="BK66" s="50"/>
      <c r="BL66" s="50">
        <v>728</v>
      </c>
      <c r="BW66" s="50">
        <v>21</v>
      </c>
    </row>
    <row r="67" spans="1:75" ht="15" customHeight="1" x14ac:dyDescent="0.25">
      <c r="A67" s="47" t="s">
        <v>510</v>
      </c>
      <c r="B67" s="35" t="s">
        <v>275</v>
      </c>
      <c r="C67" s="70" t="s">
        <v>315</v>
      </c>
      <c r="D67" s="71"/>
      <c r="E67" s="1" t="s">
        <v>686</v>
      </c>
      <c r="F67" s="1" t="s">
        <v>686</v>
      </c>
      <c r="G67" s="1" t="s">
        <v>686</v>
      </c>
      <c r="H67" s="5">
        <f>SUM(H68:H84)</f>
        <v>0</v>
      </c>
      <c r="I67" s="5">
        <f>SUM(I68:I84)</f>
        <v>0</v>
      </c>
      <c r="J67" s="5">
        <f>SUM(J68:J84)</f>
        <v>0</v>
      </c>
      <c r="K67" s="57" t="s">
        <v>510</v>
      </c>
      <c r="L67" s="7" t="s">
        <v>510</v>
      </c>
      <c r="AI67" s="57" t="s">
        <v>510</v>
      </c>
      <c r="AS67" s="5">
        <f>SUM(AJ68:AJ84)</f>
        <v>0</v>
      </c>
      <c r="AT67" s="5">
        <f>SUM(AK68:AK84)</f>
        <v>0</v>
      </c>
      <c r="AU67" s="5">
        <f>SUM(AL68:AL84)</f>
        <v>0</v>
      </c>
    </row>
    <row r="68" spans="1:75" ht="13.5" customHeight="1" x14ac:dyDescent="0.25">
      <c r="A68" s="36" t="s">
        <v>253</v>
      </c>
      <c r="B68" s="53" t="s">
        <v>481</v>
      </c>
      <c r="C68" s="68" t="s">
        <v>424</v>
      </c>
      <c r="D68" s="69"/>
      <c r="E68" s="53" t="s">
        <v>180</v>
      </c>
      <c r="F68" s="50">
        <v>2</v>
      </c>
      <c r="G68" s="50">
        <v>0</v>
      </c>
      <c r="H68" s="50">
        <f t="shared" ref="H68:H74" si="44">F68*AO68</f>
        <v>0</v>
      </c>
      <c r="I68" s="50">
        <f t="shared" ref="I68:I74" si="45">F68*AP68</f>
        <v>0</v>
      </c>
      <c r="J68" s="50">
        <f t="shared" ref="J68:J74" si="46">F68*G68</f>
        <v>0</v>
      </c>
      <c r="K68" s="50">
        <v>0</v>
      </c>
      <c r="L68" s="29">
        <v>0</v>
      </c>
      <c r="Z68" s="50">
        <f t="shared" ref="Z68:Z74" si="47">IF(AQ68="5",BJ68,0)</f>
        <v>0</v>
      </c>
      <c r="AB68" s="50">
        <f t="shared" ref="AB68:AB74" si="48">IF(AQ68="1",BH68,0)</f>
        <v>0</v>
      </c>
      <c r="AC68" s="50">
        <f t="shared" ref="AC68:AC74" si="49">IF(AQ68="1",BI68,0)</f>
        <v>0</v>
      </c>
      <c r="AD68" s="50">
        <f t="shared" ref="AD68:AD74" si="50">IF(AQ68="7",BH68,0)</f>
        <v>0</v>
      </c>
      <c r="AE68" s="50">
        <f t="shared" ref="AE68:AE74" si="51">IF(AQ68="7",BI68,0)</f>
        <v>0</v>
      </c>
      <c r="AF68" s="50">
        <f t="shared" ref="AF68:AF74" si="52">IF(AQ68="2",BH68,0)</f>
        <v>0</v>
      </c>
      <c r="AG68" s="50">
        <f t="shared" ref="AG68:AG74" si="53">IF(AQ68="2",BI68,0)</f>
        <v>0</v>
      </c>
      <c r="AH68" s="50">
        <f t="shared" ref="AH68:AH74" si="54">IF(AQ68="0",BJ68,0)</f>
        <v>0</v>
      </c>
      <c r="AI68" s="57" t="s">
        <v>510</v>
      </c>
      <c r="AJ68" s="50">
        <f t="shared" ref="AJ68:AJ74" si="55">IF(AN68=0,J68,0)</f>
        <v>0</v>
      </c>
      <c r="AK68" s="50">
        <f t="shared" ref="AK68:AK74" si="56">IF(AN68=15,J68,0)</f>
        <v>0</v>
      </c>
      <c r="AL68" s="50">
        <f t="shared" ref="AL68:AL74" si="57">IF(AN68=21,J68,0)</f>
        <v>0</v>
      </c>
      <c r="AN68" s="50">
        <v>21</v>
      </c>
      <c r="AO68" s="50">
        <f>G68*0</f>
        <v>0</v>
      </c>
      <c r="AP68" s="50">
        <f>G68*(1-0)</f>
        <v>0</v>
      </c>
      <c r="AQ68" s="38" t="s">
        <v>731</v>
      </c>
      <c r="AV68" s="50">
        <f t="shared" ref="AV68:AV74" si="58">AW68+AX68</f>
        <v>0</v>
      </c>
      <c r="AW68" s="50">
        <f t="shared" ref="AW68:AW74" si="59">F68*AO68</f>
        <v>0</v>
      </c>
      <c r="AX68" s="50">
        <f t="shared" ref="AX68:AX74" si="60">F68*AP68</f>
        <v>0</v>
      </c>
      <c r="AY68" s="38" t="s">
        <v>200</v>
      </c>
      <c r="AZ68" s="38" t="s">
        <v>679</v>
      </c>
      <c r="BA68" s="57" t="s">
        <v>571</v>
      </c>
      <c r="BC68" s="50">
        <f t="shared" ref="BC68:BC74" si="61">AW68+AX68</f>
        <v>0</v>
      </c>
      <c r="BD68" s="50">
        <f t="shared" ref="BD68:BD74" si="62">G68/(100-BE68)*100</f>
        <v>0</v>
      </c>
      <c r="BE68" s="50">
        <v>0</v>
      </c>
      <c r="BF68" s="50">
        <f>68</f>
        <v>68</v>
      </c>
      <c r="BH68" s="50">
        <f t="shared" ref="BH68:BH74" si="63">F68*AO68</f>
        <v>0</v>
      </c>
      <c r="BI68" s="50">
        <f t="shared" ref="BI68:BI74" si="64">F68*AP68</f>
        <v>0</v>
      </c>
      <c r="BJ68" s="50">
        <f t="shared" ref="BJ68:BJ74" si="65">F68*G68</f>
        <v>0</v>
      </c>
      <c r="BK68" s="50"/>
      <c r="BL68" s="50">
        <v>731</v>
      </c>
      <c r="BW68" s="50">
        <v>21</v>
      </c>
    </row>
    <row r="69" spans="1:75" ht="13.5" customHeight="1" x14ac:dyDescent="0.25">
      <c r="A69" s="36" t="s">
        <v>598</v>
      </c>
      <c r="B69" s="53" t="s">
        <v>193</v>
      </c>
      <c r="C69" s="68" t="s">
        <v>329</v>
      </c>
      <c r="D69" s="69"/>
      <c r="E69" s="53" t="s">
        <v>180</v>
      </c>
      <c r="F69" s="50">
        <v>2</v>
      </c>
      <c r="G69" s="50">
        <v>0</v>
      </c>
      <c r="H69" s="50">
        <f t="shared" si="44"/>
        <v>0</v>
      </c>
      <c r="I69" s="50">
        <f t="shared" si="45"/>
        <v>0</v>
      </c>
      <c r="J69" s="50">
        <f t="shared" si="46"/>
        <v>0</v>
      </c>
      <c r="K69" s="50">
        <v>1E-4</v>
      </c>
      <c r="L69" s="29">
        <v>0.27010000000000001</v>
      </c>
      <c r="Z69" s="50">
        <f t="shared" si="47"/>
        <v>0</v>
      </c>
      <c r="AB69" s="50">
        <f t="shared" si="48"/>
        <v>0</v>
      </c>
      <c r="AC69" s="50">
        <f t="shared" si="49"/>
        <v>0</v>
      </c>
      <c r="AD69" s="50">
        <f t="shared" si="50"/>
        <v>0</v>
      </c>
      <c r="AE69" s="50">
        <f t="shared" si="51"/>
        <v>0</v>
      </c>
      <c r="AF69" s="50">
        <f t="shared" si="52"/>
        <v>0</v>
      </c>
      <c r="AG69" s="50">
        <f t="shared" si="53"/>
        <v>0</v>
      </c>
      <c r="AH69" s="50">
        <f t="shared" si="54"/>
        <v>0</v>
      </c>
      <c r="AI69" s="57" t="s">
        <v>510</v>
      </c>
      <c r="AJ69" s="50">
        <f t="shared" si="55"/>
        <v>0</v>
      </c>
      <c r="AK69" s="50">
        <f t="shared" si="56"/>
        <v>0</v>
      </c>
      <c r="AL69" s="50">
        <f t="shared" si="57"/>
        <v>0</v>
      </c>
      <c r="AN69" s="50">
        <v>21</v>
      </c>
      <c r="AO69" s="50">
        <f>G69*0.00420102214650767</f>
        <v>0</v>
      </c>
      <c r="AP69" s="50">
        <f>G69*(1-0.00420102214650767)</f>
        <v>0</v>
      </c>
      <c r="AQ69" s="38" t="s">
        <v>731</v>
      </c>
      <c r="AV69" s="50">
        <f t="shared" si="58"/>
        <v>0</v>
      </c>
      <c r="AW69" s="50">
        <f t="shared" si="59"/>
        <v>0</v>
      </c>
      <c r="AX69" s="50">
        <f t="shared" si="60"/>
        <v>0</v>
      </c>
      <c r="AY69" s="38" t="s">
        <v>200</v>
      </c>
      <c r="AZ69" s="38" t="s">
        <v>679</v>
      </c>
      <c r="BA69" s="57" t="s">
        <v>571</v>
      </c>
      <c r="BC69" s="50">
        <f t="shared" si="61"/>
        <v>0</v>
      </c>
      <c r="BD69" s="50">
        <f t="shared" si="62"/>
        <v>0</v>
      </c>
      <c r="BE69" s="50">
        <v>0</v>
      </c>
      <c r="BF69" s="50">
        <f>69</f>
        <v>69</v>
      </c>
      <c r="BH69" s="50">
        <f t="shared" si="63"/>
        <v>0</v>
      </c>
      <c r="BI69" s="50">
        <f t="shared" si="64"/>
        <v>0</v>
      </c>
      <c r="BJ69" s="50">
        <f t="shared" si="65"/>
        <v>0</v>
      </c>
      <c r="BK69" s="50"/>
      <c r="BL69" s="50">
        <v>731</v>
      </c>
      <c r="BW69" s="50">
        <v>21</v>
      </c>
    </row>
    <row r="70" spans="1:75" ht="13.5" customHeight="1" x14ac:dyDescent="0.25">
      <c r="A70" s="36" t="s">
        <v>754</v>
      </c>
      <c r="B70" s="53" t="s">
        <v>813</v>
      </c>
      <c r="C70" s="68" t="s">
        <v>254</v>
      </c>
      <c r="D70" s="69"/>
      <c r="E70" s="53" t="s">
        <v>180</v>
      </c>
      <c r="F70" s="50">
        <v>2</v>
      </c>
      <c r="G70" s="50">
        <v>0</v>
      </c>
      <c r="H70" s="50">
        <f t="shared" si="44"/>
        <v>0</v>
      </c>
      <c r="I70" s="50">
        <f t="shared" si="45"/>
        <v>0</v>
      </c>
      <c r="J70" s="50">
        <f t="shared" si="46"/>
        <v>0</v>
      </c>
      <c r="K70" s="50">
        <v>0</v>
      </c>
      <c r="L70" s="29">
        <v>0</v>
      </c>
      <c r="Z70" s="50">
        <f t="shared" si="47"/>
        <v>0</v>
      </c>
      <c r="AB70" s="50">
        <f t="shared" si="48"/>
        <v>0</v>
      </c>
      <c r="AC70" s="50">
        <f t="shared" si="49"/>
        <v>0</v>
      </c>
      <c r="AD70" s="50">
        <f t="shared" si="50"/>
        <v>0</v>
      </c>
      <c r="AE70" s="50">
        <f t="shared" si="51"/>
        <v>0</v>
      </c>
      <c r="AF70" s="50">
        <f t="shared" si="52"/>
        <v>0</v>
      </c>
      <c r="AG70" s="50">
        <f t="shared" si="53"/>
        <v>0</v>
      </c>
      <c r="AH70" s="50">
        <f t="shared" si="54"/>
        <v>0</v>
      </c>
      <c r="AI70" s="57" t="s">
        <v>510</v>
      </c>
      <c r="AJ70" s="50">
        <f t="shared" si="55"/>
        <v>0</v>
      </c>
      <c r="AK70" s="50">
        <f t="shared" si="56"/>
        <v>0</v>
      </c>
      <c r="AL70" s="50">
        <f t="shared" si="57"/>
        <v>0</v>
      </c>
      <c r="AN70" s="50">
        <v>21</v>
      </c>
      <c r="AO70" s="50">
        <f>G70*0</f>
        <v>0</v>
      </c>
      <c r="AP70" s="50">
        <f>G70*(1-0)</f>
        <v>0</v>
      </c>
      <c r="AQ70" s="38" t="s">
        <v>731</v>
      </c>
      <c r="AV70" s="50">
        <f t="shared" si="58"/>
        <v>0</v>
      </c>
      <c r="AW70" s="50">
        <f t="shared" si="59"/>
        <v>0</v>
      </c>
      <c r="AX70" s="50">
        <f t="shared" si="60"/>
        <v>0</v>
      </c>
      <c r="AY70" s="38" t="s">
        <v>200</v>
      </c>
      <c r="AZ70" s="38" t="s">
        <v>679</v>
      </c>
      <c r="BA70" s="57" t="s">
        <v>571</v>
      </c>
      <c r="BC70" s="50">
        <f t="shared" si="61"/>
        <v>0</v>
      </c>
      <c r="BD70" s="50">
        <f t="shared" si="62"/>
        <v>0</v>
      </c>
      <c r="BE70" s="50">
        <v>0</v>
      </c>
      <c r="BF70" s="50">
        <f>70</f>
        <v>70</v>
      </c>
      <c r="BH70" s="50">
        <f t="shared" si="63"/>
        <v>0</v>
      </c>
      <c r="BI70" s="50">
        <f t="shared" si="64"/>
        <v>0</v>
      </c>
      <c r="BJ70" s="50">
        <f t="shared" si="65"/>
        <v>0</v>
      </c>
      <c r="BK70" s="50"/>
      <c r="BL70" s="50">
        <v>731</v>
      </c>
      <c r="BW70" s="50">
        <v>21</v>
      </c>
    </row>
    <row r="71" spans="1:75" ht="13.5" customHeight="1" x14ac:dyDescent="0.25">
      <c r="A71" s="36" t="s">
        <v>51</v>
      </c>
      <c r="B71" s="53" t="s">
        <v>71</v>
      </c>
      <c r="C71" s="68" t="s">
        <v>366</v>
      </c>
      <c r="D71" s="69"/>
      <c r="E71" s="53" t="s">
        <v>180</v>
      </c>
      <c r="F71" s="50">
        <v>1</v>
      </c>
      <c r="G71" s="50">
        <v>0</v>
      </c>
      <c r="H71" s="50">
        <f t="shared" si="44"/>
        <v>0</v>
      </c>
      <c r="I71" s="50">
        <f t="shared" si="45"/>
        <v>0</v>
      </c>
      <c r="J71" s="50">
        <f t="shared" si="46"/>
        <v>0</v>
      </c>
      <c r="K71" s="50">
        <v>0.13200000000000001</v>
      </c>
      <c r="L71" s="29">
        <v>0.13200000000000001</v>
      </c>
      <c r="Z71" s="50">
        <f t="shared" si="47"/>
        <v>0</v>
      </c>
      <c r="AB71" s="50">
        <f t="shared" si="48"/>
        <v>0</v>
      </c>
      <c r="AC71" s="50">
        <f t="shared" si="49"/>
        <v>0</v>
      </c>
      <c r="AD71" s="50">
        <f t="shared" si="50"/>
        <v>0</v>
      </c>
      <c r="AE71" s="50">
        <f t="shared" si="51"/>
        <v>0</v>
      </c>
      <c r="AF71" s="50">
        <f t="shared" si="52"/>
        <v>0</v>
      </c>
      <c r="AG71" s="50">
        <f t="shared" si="53"/>
        <v>0</v>
      </c>
      <c r="AH71" s="50">
        <f t="shared" si="54"/>
        <v>0</v>
      </c>
      <c r="AI71" s="57" t="s">
        <v>510</v>
      </c>
      <c r="AJ71" s="50">
        <f t="shared" si="55"/>
        <v>0</v>
      </c>
      <c r="AK71" s="50">
        <f t="shared" si="56"/>
        <v>0</v>
      </c>
      <c r="AL71" s="50">
        <f t="shared" si="57"/>
        <v>0</v>
      </c>
      <c r="AN71" s="50">
        <v>21</v>
      </c>
      <c r="AO71" s="50">
        <f>G71*1</f>
        <v>0</v>
      </c>
      <c r="AP71" s="50">
        <f>G71*(1-1)</f>
        <v>0</v>
      </c>
      <c r="AQ71" s="38" t="s">
        <v>731</v>
      </c>
      <c r="AV71" s="50">
        <f t="shared" si="58"/>
        <v>0</v>
      </c>
      <c r="AW71" s="50">
        <f t="shared" si="59"/>
        <v>0</v>
      </c>
      <c r="AX71" s="50">
        <f t="shared" si="60"/>
        <v>0</v>
      </c>
      <c r="AY71" s="38" t="s">
        <v>200</v>
      </c>
      <c r="AZ71" s="38" t="s">
        <v>679</v>
      </c>
      <c r="BA71" s="57" t="s">
        <v>571</v>
      </c>
      <c r="BC71" s="50">
        <f t="shared" si="61"/>
        <v>0</v>
      </c>
      <c r="BD71" s="50">
        <f t="shared" si="62"/>
        <v>0</v>
      </c>
      <c r="BE71" s="50">
        <v>0</v>
      </c>
      <c r="BF71" s="50">
        <f>71</f>
        <v>71</v>
      </c>
      <c r="BH71" s="50">
        <f t="shared" si="63"/>
        <v>0</v>
      </c>
      <c r="BI71" s="50">
        <f t="shared" si="64"/>
        <v>0</v>
      </c>
      <c r="BJ71" s="50">
        <f t="shared" si="65"/>
        <v>0</v>
      </c>
      <c r="BK71" s="50"/>
      <c r="BL71" s="50">
        <v>731</v>
      </c>
      <c r="BW71" s="50">
        <v>21</v>
      </c>
    </row>
    <row r="72" spans="1:75" ht="13.5" customHeight="1" x14ac:dyDescent="0.25">
      <c r="A72" s="36" t="s">
        <v>576</v>
      </c>
      <c r="B72" s="53" t="s">
        <v>71</v>
      </c>
      <c r="C72" s="68" t="s">
        <v>737</v>
      </c>
      <c r="D72" s="69"/>
      <c r="E72" s="53" t="s">
        <v>180</v>
      </c>
      <c r="F72" s="50">
        <v>1</v>
      </c>
      <c r="G72" s="50">
        <v>0</v>
      </c>
      <c r="H72" s="50">
        <f t="shared" si="44"/>
        <v>0</v>
      </c>
      <c r="I72" s="50">
        <f t="shared" si="45"/>
        <v>0</v>
      </c>
      <c r="J72" s="50">
        <f t="shared" si="46"/>
        <v>0</v>
      </c>
      <c r="K72" s="50">
        <v>0.13200000000000001</v>
      </c>
      <c r="L72" s="29">
        <v>0.13200000000000001</v>
      </c>
      <c r="Z72" s="50">
        <f t="shared" si="47"/>
        <v>0</v>
      </c>
      <c r="AB72" s="50">
        <f t="shared" si="48"/>
        <v>0</v>
      </c>
      <c r="AC72" s="50">
        <f t="shared" si="49"/>
        <v>0</v>
      </c>
      <c r="AD72" s="50">
        <f t="shared" si="50"/>
        <v>0</v>
      </c>
      <c r="AE72" s="50">
        <f t="shared" si="51"/>
        <v>0</v>
      </c>
      <c r="AF72" s="50">
        <f t="shared" si="52"/>
        <v>0</v>
      </c>
      <c r="AG72" s="50">
        <f t="shared" si="53"/>
        <v>0</v>
      </c>
      <c r="AH72" s="50">
        <f t="shared" si="54"/>
        <v>0</v>
      </c>
      <c r="AI72" s="57" t="s">
        <v>510</v>
      </c>
      <c r="AJ72" s="50">
        <f t="shared" si="55"/>
        <v>0</v>
      </c>
      <c r="AK72" s="50">
        <f t="shared" si="56"/>
        <v>0</v>
      </c>
      <c r="AL72" s="50">
        <f t="shared" si="57"/>
        <v>0</v>
      </c>
      <c r="AN72" s="50">
        <v>21</v>
      </c>
      <c r="AO72" s="50">
        <f>G72*1</f>
        <v>0</v>
      </c>
      <c r="AP72" s="50">
        <f>G72*(1-1)</f>
        <v>0</v>
      </c>
      <c r="AQ72" s="38" t="s">
        <v>731</v>
      </c>
      <c r="AV72" s="50">
        <f t="shared" si="58"/>
        <v>0</v>
      </c>
      <c r="AW72" s="50">
        <f t="shared" si="59"/>
        <v>0</v>
      </c>
      <c r="AX72" s="50">
        <f t="shared" si="60"/>
        <v>0</v>
      </c>
      <c r="AY72" s="38" t="s">
        <v>200</v>
      </c>
      <c r="AZ72" s="38" t="s">
        <v>679</v>
      </c>
      <c r="BA72" s="57" t="s">
        <v>571</v>
      </c>
      <c r="BC72" s="50">
        <f t="shared" si="61"/>
        <v>0</v>
      </c>
      <c r="BD72" s="50">
        <f t="shared" si="62"/>
        <v>0</v>
      </c>
      <c r="BE72" s="50">
        <v>0</v>
      </c>
      <c r="BF72" s="50">
        <f>72</f>
        <v>72</v>
      </c>
      <c r="BH72" s="50">
        <f t="shared" si="63"/>
        <v>0</v>
      </c>
      <c r="BI72" s="50">
        <f t="shared" si="64"/>
        <v>0</v>
      </c>
      <c r="BJ72" s="50">
        <f t="shared" si="65"/>
        <v>0</v>
      </c>
      <c r="BK72" s="50"/>
      <c r="BL72" s="50">
        <v>731</v>
      </c>
      <c r="BW72" s="50">
        <v>21</v>
      </c>
    </row>
    <row r="73" spans="1:75" ht="13.5" customHeight="1" x14ac:dyDescent="0.25">
      <c r="A73" s="36" t="s">
        <v>615</v>
      </c>
      <c r="B73" s="53" t="s">
        <v>261</v>
      </c>
      <c r="C73" s="68" t="s">
        <v>764</v>
      </c>
      <c r="D73" s="69"/>
      <c r="E73" s="53" t="s">
        <v>180</v>
      </c>
      <c r="F73" s="50">
        <v>2</v>
      </c>
      <c r="G73" s="50">
        <v>0</v>
      </c>
      <c r="H73" s="50">
        <f t="shared" si="44"/>
        <v>0</v>
      </c>
      <c r="I73" s="50">
        <f t="shared" si="45"/>
        <v>0</v>
      </c>
      <c r="J73" s="50">
        <f t="shared" si="46"/>
        <v>0</v>
      </c>
      <c r="K73" s="50">
        <v>2.5000000000000001E-2</v>
      </c>
      <c r="L73" s="29">
        <v>2.5000000000000001E-2</v>
      </c>
      <c r="Z73" s="50">
        <f t="shared" si="47"/>
        <v>0</v>
      </c>
      <c r="AB73" s="50">
        <f t="shared" si="48"/>
        <v>0</v>
      </c>
      <c r="AC73" s="50">
        <f t="shared" si="49"/>
        <v>0</v>
      </c>
      <c r="AD73" s="50">
        <f t="shared" si="50"/>
        <v>0</v>
      </c>
      <c r="AE73" s="50">
        <f t="shared" si="51"/>
        <v>0</v>
      </c>
      <c r="AF73" s="50">
        <f t="shared" si="52"/>
        <v>0</v>
      </c>
      <c r="AG73" s="50">
        <f t="shared" si="53"/>
        <v>0</v>
      </c>
      <c r="AH73" s="50">
        <f t="shared" si="54"/>
        <v>0</v>
      </c>
      <c r="AI73" s="57" t="s">
        <v>510</v>
      </c>
      <c r="AJ73" s="50">
        <f t="shared" si="55"/>
        <v>0</v>
      </c>
      <c r="AK73" s="50">
        <f t="shared" si="56"/>
        <v>0</v>
      </c>
      <c r="AL73" s="50">
        <f t="shared" si="57"/>
        <v>0</v>
      </c>
      <c r="AN73" s="50">
        <v>21</v>
      </c>
      <c r="AO73" s="50">
        <f>G73*0</f>
        <v>0</v>
      </c>
      <c r="AP73" s="50">
        <f>G73*(1-0)</f>
        <v>0</v>
      </c>
      <c r="AQ73" s="38" t="s">
        <v>731</v>
      </c>
      <c r="AV73" s="50">
        <f t="shared" si="58"/>
        <v>0</v>
      </c>
      <c r="AW73" s="50">
        <f t="shared" si="59"/>
        <v>0</v>
      </c>
      <c r="AX73" s="50">
        <f t="shared" si="60"/>
        <v>0</v>
      </c>
      <c r="AY73" s="38" t="s">
        <v>200</v>
      </c>
      <c r="AZ73" s="38" t="s">
        <v>679</v>
      </c>
      <c r="BA73" s="57" t="s">
        <v>571</v>
      </c>
      <c r="BC73" s="50">
        <f t="shared" si="61"/>
        <v>0</v>
      </c>
      <c r="BD73" s="50">
        <f t="shared" si="62"/>
        <v>0</v>
      </c>
      <c r="BE73" s="50">
        <v>0</v>
      </c>
      <c r="BF73" s="50">
        <f>73</f>
        <v>73</v>
      </c>
      <c r="BH73" s="50">
        <f t="shared" si="63"/>
        <v>0</v>
      </c>
      <c r="BI73" s="50">
        <f t="shared" si="64"/>
        <v>0</v>
      </c>
      <c r="BJ73" s="50">
        <f t="shared" si="65"/>
        <v>0</v>
      </c>
      <c r="BK73" s="50"/>
      <c r="BL73" s="50">
        <v>731</v>
      </c>
      <c r="BW73" s="50">
        <v>21</v>
      </c>
    </row>
    <row r="74" spans="1:75" ht="13.5" customHeight="1" x14ac:dyDescent="0.25">
      <c r="A74" s="36" t="s">
        <v>302</v>
      </c>
      <c r="B74" s="53" t="s">
        <v>772</v>
      </c>
      <c r="C74" s="68" t="s">
        <v>234</v>
      </c>
      <c r="D74" s="69"/>
      <c r="E74" s="53" t="s">
        <v>180</v>
      </c>
      <c r="F74" s="50">
        <v>2</v>
      </c>
      <c r="G74" s="50">
        <v>0</v>
      </c>
      <c r="H74" s="50">
        <f t="shared" si="44"/>
        <v>0</v>
      </c>
      <c r="I74" s="50">
        <f t="shared" si="45"/>
        <v>0</v>
      </c>
      <c r="J74" s="50">
        <f t="shared" si="46"/>
        <v>0</v>
      </c>
      <c r="K74" s="50">
        <v>2.9299999999999999E-3</v>
      </c>
      <c r="L74" s="29">
        <v>2.9299999999999999E-3</v>
      </c>
      <c r="Z74" s="50">
        <f t="shared" si="47"/>
        <v>0</v>
      </c>
      <c r="AB74" s="50">
        <f t="shared" si="48"/>
        <v>0</v>
      </c>
      <c r="AC74" s="50">
        <f t="shared" si="49"/>
        <v>0</v>
      </c>
      <c r="AD74" s="50">
        <f t="shared" si="50"/>
        <v>0</v>
      </c>
      <c r="AE74" s="50">
        <f t="shared" si="51"/>
        <v>0</v>
      </c>
      <c r="AF74" s="50">
        <f t="shared" si="52"/>
        <v>0</v>
      </c>
      <c r="AG74" s="50">
        <f t="shared" si="53"/>
        <v>0</v>
      </c>
      <c r="AH74" s="50">
        <f t="shared" si="54"/>
        <v>0</v>
      </c>
      <c r="AI74" s="57" t="s">
        <v>510</v>
      </c>
      <c r="AJ74" s="50">
        <f t="shared" si="55"/>
        <v>0</v>
      </c>
      <c r="AK74" s="50">
        <f t="shared" si="56"/>
        <v>0</v>
      </c>
      <c r="AL74" s="50">
        <f t="shared" si="57"/>
        <v>0</v>
      </c>
      <c r="AN74" s="50">
        <v>21</v>
      </c>
      <c r="AO74" s="50">
        <f>G74*0.939977349943375</f>
        <v>0</v>
      </c>
      <c r="AP74" s="50">
        <f>G74*(1-0.939977349943375)</f>
        <v>0</v>
      </c>
      <c r="AQ74" s="38" t="s">
        <v>731</v>
      </c>
      <c r="AV74" s="50">
        <f t="shared" si="58"/>
        <v>0</v>
      </c>
      <c r="AW74" s="50">
        <f t="shared" si="59"/>
        <v>0</v>
      </c>
      <c r="AX74" s="50">
        <f t="shared" si="60"/>
        <v>0</v>
      </c>
      <c r="AY74" s="38" t="s">
        <v>200</v>
      </c>
      <c r="AZ74" s="38" t="s">
        <v>679</v>
      </c>
      <c r="BA74" s="57" t="s">
        <v>571</v>
      </c>
      <c r="BC74" s="50">
        <f t="shared" si="61"/>
        <v>0</v>
      </c>
      <c r="BD74" s="50">
        <f t="shared" si="62"/>
        <v>0</v>
      </c>
      <c r="BE74" s="50">
        <v>0</v>
      </c>
      <c r="BF74" s="50">
        <f>74</f>
        <v>74</v>
      </c>
      <c r="BH74" s="50">
        <f t="shared" si="63"/>
        <v>0</v>
      </c>
      <c r="BI74" s="50">
        <f t="shared" si="64"/>
        <v>0</v>
      </c>
      <c r="BJ74" s="50">
        <f t="shared" si="65"/>
        <v>0</v>
      </c>
      <c r="BK74" s="50"/>
      <c r="BL74" s="50">
        <v>731</v>
      </c>
      <c r="BW74" s="50">
        <v>21</v>
      </c>
    </row>
    <row r="75" spans="1:75" ht="15" customHeight="1" x14ac:dyDescent="0.25">
      <c r="A75" s="66"/>
      <c r="C75" s="60" t="s">
        <v>507</v>
      </c>
      <c r="D75" s="60" t="s">
        <v>248</v>
      </c>
      <c r="F75" s="42">
        <v>2</v>
      </c>
      <c r="L75" s="52"/>
    </row>
    <row r="76" spans="1:75" ht="27" customHeight="1" x14ac:dyDescent="0.25">
      <c r="A76" s="36" t="s">
        <v>300</v>
      </c>
      <c r="B76" s="53" t="s">
        <v>512</v>
      </c>
      <c r="C76" s="68" t="s">
        <v>338</v>
      </c>
      <c r="D76" s="69"/>
      <c r="E76" s="53" t="s">
        <v>518</v>
      </c>
      <c r="F76" s="50">
        <v>2</v>
      </c>
      <c r="G76" s="50">
        <v>0</v>
      </c>
      <c r="H76" s="50">
        <f t="shared" ref="H76:H84" si="66">F76*AO76</f>
        <v>0</v>
      </c>
      <c r="I76" s="50">
        <f t="shared" ref="I76:I84" si="67">F76*AP76</f>
        <v>0</v>
      </c>
      <c r="J76" s="50">
        <f t="shared" ref="J76:J84" si="68">F76*G76</f>
        <v>0</v>
      </c>
      <c r="K76" s="50">
        <v>1E-3</v>
      </c>
      <c r="L76" s="29">
        <v>1E-3</v>
      </c>
      <c r="Z76" s="50">
        <f t="shared" ref="Z76:Z84" si="69">IF(AQ76="5",BJ76,0)</f>
        <v>0</v>
      </c>
      <c r="AB76" s="50">
        <f t="shared" ref="AB76:AB84" si="70">IF(AQ76="1",BH76,0)</f>
        <v>0</v>
      </c>
      <c r="AC76" s="50">
        <f t="shared" ref="AC76:AC84" si="71">IF(AQ76="1",BI76,0)</f>
        <v>0</v>
      </c>
      <c r="AD76" s="50">
        <f t="shared" ref="AD76:AD84" si="72">IF(AQ76="7",BH76,0)</f>
        <v>0</v>
      </c>
      <c r="AE76" s="50">
        <f t="shared" ref="AE76:AE84" si="73">IF(AQ76="7",BI76,0)</f>
        <v>0</v>
      </c>
      <c r="AF76" s="50">
        <f t="shared" ref="AF76:AF84" si="74">IF(AQ76="2",BH76,0)</f>
        <v>0</v>
      </c>
      <c r="AG76" s="50">
        <f t="shared" ref="AG76:AG84" si="75">IF(AQ76="2",BI76,0)</f>
        <v>0</v>
      </c>
      <c r="AH76" s="50">
        <f t="shared" ref="AH76:AH84" si="76">IF(AQ76="0",BJ76,0)</f>
        <v>0</v>
      </c>
      <c r="AI76" s="57" t="s">
        <v>510</v>
      </c>
      <c r="AJ76" s="50">
        <f t="shared" ref="AJ76:AJ84" si="77">IF(AN76=0,J76,0)</f>
        <v>0</v>
      </c>
      <c r="AK76" s="50">
        <f t="shared" ref="AK76:AK84" si="78">IF(AN76=15,J76,0)</f>
        <v>0</v>
      </c>
      <c r="AL76" s="50">
        <f t="shared" ref="AL76:AL84" si="79">IF(AN76=21,J76,0)</f>
        <v>0</v>
      </c>
      <c r="AN76" s="50">
        <v>21</v>
      </c>
      <c r="AO76" s="50">
        <f t="shared" ref="AO76:AO81" si="80">G76*1</f>
        <v>0</v>
      </c>
      <c r="AP76" s="50">
        <f t="shared" ref="AP76:AP81" si="81">G76*(1-1)</f>
        <v>0</v>
      </c>
      <c r="AQ76" s="38" t="s">
        <v>731</v>
      </c>
      <c r="AV76" s="50">
        <f t="shared" ref="AV76:AV84" si="82">AW76+AX76</f>
        <v>0</v>
      </c>
      <c r="AW76" s="50">
        <f t="shared" ref="AW76:AW84" si="83">F76*AO76</f>
        <v>0</v>
      </c>
      <c r="AX76" s="50">
        <f t="shared" ref="AX76:AX84" si="84">F76*AP76</f>
        <v>0</v>
      </c>
      <c r="AY76" s="38" t="s">
        <v>200</v>
      </c>
      <c r="AZ76" s="38" t="s">
        <v>679</v>
      </c>
      <c r="BA76" s="57" t="s">
        <v>571</v>
      </c>
      <c r="BC76" s="50">
        <f t="shared" ref="BC76:BC84" si="85">AW76+AX76</f>
        <v>0</v>
      </c>
      <c r="BD76" s="50">
        <f t="shared" ref="BD76:BD84" si="86">G76/(100-BE76)*100</f>
        <v>0</v>
      </c>
      <c r="BE76" s="50">
        <v>0</v>
      </c>
      <c r="BF76" s="50">
        <f>76</f>
        <v>76</v>
      </c>
      <c r="BH76" s="50">
        <f t="shared" ref="BH76:BH84" si="87">F76*AO76</f>
        <v>0</v>
      </c>
      <c r="BI76" s="50">
        <f t="shared" ref="BI76:BI84" si="88">F76*AP76</f>
        <v>0</v>
      </c>
      <c r="BJ76" s="50">
        <f t="shared" ref="BJ76:BJ84" si="89">F76*G76</f>
        <v>0</v>
      </c>
      <c r="BK76" s="50"/>
      <c r="BL76" s="50">
        <v>731</v>
      </c>
      <c r="BW76" s="50">
        <v>21</v>
      </c>
    </row>
    <row r="77" spans="1:75" ht="13.5" customHeight="1" x14ac:dyDescent="0.25">
      <c r="A77" s="36" t="s">
        <v>336</v>
      </c>
      <c r="B77" s="53" t="s">
        <v>465</v>
      </c>
      <c r="C77" s="68" t="s">
        <v>396</v>
      </c>
      <c r="D77" s="69"/>
      <c r="E77" s="53" t="s">
        <v>518</v>
      </c>
      <c r="F77" s="50">
        <v>1</v>
      </c>
      <c r="G77" s="50">
        <v>0</v>
      </c>
      <c r="H77" s="50">
        <f t="shared" si="66"/>
        <v>0</v>
      </c>
      <c r="I77" s="50">
        <f t="shared" si="67"/>
        <v>0</v>
      </c>
      <c r="J77" s="50">
        <f t="shared" si="68"/>
        <v>0</v>
      </c>
      <c r="K77" s="50">
        <v>0.1</v>
      </c>
      <c r="L77" s="29">
        <v>0.1</v>
      </c>
      <c r="Z77" s="50">
        <f t="shared" si="69"/>
        <v>0</v>
      </c>
      <c r="AB77" s="50">
        <f t="shared" si="70"/>
        <v>0</v>
      </c>
      <c r="AC77" s="50">
        <f t="shared" si="71"/>
        <v>0</v>
      </c>
      <c r="AD77" s="50">
        <f t="shared" si="72"/>
        <v>0</v>
      </c>
      <c r="AE77" s="50">
        <f t="shared" si="73"/>
        <v>0</v>
      </c>
      <c r="AF77" s="50">
        <f t="shared" si="74"/>
        <v>0</v>
      </c>
      <c r="AG77" s="50">
        <f t="shared" si="75"/>
        <v>0</v>
      </c>
      <c r="AH77" s="50">
        <f t="shared" si="76"/>
        <v>0</v>
      </c>
      <c r="AI77" s="57" t="s">
        <v>510</v>
      </c>
      <c r="AJ77" s="50">
        <f t="shared" si="77"/>
        <v>0</v>
      </c>
      <c r="AK77" s="50">
        <f t="shared" si="78"/>
        <v>0</v>
      </c>
      <c r="AL77" s="50">
        <f t="shared" si="79"/>
        <v>0</v>
      </c>
      <c r="AN77" s="50">
        <v>21</v>
      </c>
      <c r="AO77" s="50">
        <f t="shared" si="80"/>
        <v>0</v>
      </c>
      <c r="AP77" s="50">
        <f t="shared" si="81"/>
        <v>0</v>
      </c>
      <c r="AQ77" s="38" t="s">
        <v>731</v>
      </c>
      <c r="AV77" s="50">
        <f t="shared" si="82"/>
        <v>0</v>
      </c>
      <c r="AW77" s="50">
        <f t="shared" si="83"/>
        <v>0</v>
      </c>
      <c r="AX77" s="50">
        <f t="shared" si="84"/>
        <v>0</v>
      </c>
      <c r="AY77" s="38" t="s">
        <v>200</v>
      </c>
      <c r="AZ77" s="38" t="s">
        <v>679</v>
      </c>
      <c r="BA77" s="57" t="s">
        <v>571</v>
      </c>
      <c r="BC77" s="50">
        <f t="shared" si="85"/>
        <v>0</v>
      </c>
      <c r="BD77" s="50">
        <f t="shared" si="86"/>
        <v>0</v>
      </c>
      <c r="BE77" s="50">
        <v>0</v>
      </c>
      <c r="BF77" s="50">
        <f>77</f>
        <v>77</v>
      </c>
      <c r="BH77" s="50">
        <f t="shared" si="87"/>
        <v>0</v>
      </c>
      <c r="BI77" s="50">
        <f t="shared" si="88"/>
        <v>0</v>
      </c>
      <c r="BJ77" s="50">
        <f t="shared" si="89"/>
        <v>0</v>
      </c>
      <c r="BK77" s="50"/>
      <c r="BL77" s="50">
        <v>731</v>
      </c>
      <c r="BW77" s="50">
        <v>21</v>
      </c>
    </row>
    <row r="78" spans="1:75" ht="13.5" customHeight="1" x14ac:dyDescent="0.25">
      <c r="A78" s="36" t="s">
        <v>685</v>
      </c>
      <c r="B78" s="53" t="s">
        <v>425</v>
      </c>
      <c r="C78" s="68" t="s">
        <v>543</v>
      </c>
      <c r="D78" s="69"/>
      <c r="E78" s="53" t="s">
        <v>180</v>
      </c>
      <c r="F78" s="50">
        <v>2</v>
      </c>
      <c r="G78" s="50">
        <v>0</v>
      </c>
      <c r="H78" s="50">
        <f t="shared" si="66"/>
        <v>0</v>
      </c>
      <c r="I78" s="50">
        <f t="shared" si="67"/>
        <v>0</v>
      </c>
      <c r="J78" s="50">
        <f t="shared" si="68"/>
        <v>0</v>
      </c>
      <c r="K78" s="50">
        <v>5.0000000000000001E-3</v>
      </c>
      <c r="L78" s="29">
        <v>5.0000000000000001E-3</v>
      </c>
      <c r="Z78" s="50">
        <f t="shared" si="69"/>
        <v>0</v>
      </c>
      <c r="AB78" s="50">
        <f t="shared" si="70"/>
        <v>0</v>
      </c>
      <c r="AC78" s="50">
        <f t="shared" si="71"/>
        <v>0</v>
      </c>
      <c r="AD78" s="50">
        <f t="shared" si="72"/>
        <v>0</v>
      </c>
      <c r="AE78" s="50">
        <f t="shared" si="73"/>
        <v>0</v>
      </c>
      <c r="AF78" s="50">
        <f t="shared" si="74"/>
        <v>0</v>
      </c>
      <c r="AG78" s="50">
        <f t="shared" si="75"/>
        <v>0</v>
      </c>
      <c r="AH78" s="50">
        <f t="shared" si="76"/>
        <v>0</v>
      </c>
      <c r="AI78" s="57" t="s">
        <v>510</v>
      </c>
      <c r="AJ78" s="50">
        <f t="shared" si="77"/>
        <v>0</v>
      </c>
      <c r="AK78" s="50">
        <f t="shared" si="78"/>
        <v>0</v>
      </c>
      <c r="AL78" s="50">
        <f t="shared" si="79"/>
        <v>0</v>
      </c>
      <c r="AN78" s="50">
        <v>21</v>
      </c>
      <c r="AO78" s="50">
        <f t="shared" si="80"/>
        <v>0</v>
      </c>
      <c r="AP78" s="50">
        <f t="shared" si="81"/>
        <v>0</v>
      </c>
      <c r="AQ78" s="38" t="s">
        <v>731</v>
      </c>
      <c r="AV78" s="50">
        <f t="shared" si="82"/>
        <v>0</v>
      </c>
      <c r="AW78" s="50">
        <f t="shared" si="83"/>
        <v>0</v>
      </c>
      <c r="AX78" s="50">
        <f t="shared" si="84"/>
        <v>0</v>
      </c>
      <c r="AY78" s="38" t="s">
        <v>200</v>
      </c>
      <c r="AZ78" s="38" t="s">
        <v>679</v>
      </c>
      <c r="BA78" s="57" t="s">
        <v>571</v>
      </c>
      <c r="BC78" s="50">
        <f t="shared" si="85"/>
        <v>0</v>
      </c>
      <c r="BD78" s="50">
        <f t="shared" si="86"/>
        <v>0</v>
      </c>
      <c r="BE78" s="50">
        <v>0</v>
      </c>
      <c r="BF78" s="50">
        <f>78</f>
        <v>78</v>
      </c>
      <c r="BH78" s="50">
        <f t="shared" si="87"/>
        <v>0</v>
      </c>
      <c r="BI78" s="50">
        <f t="shared" si="88"/>
        <v>0</v>
      </c>
      <c r="BJ78" s="50">
        <f t="shared" si="89"/>
        <v>0</v>
      </c>
      <c r="BK78" s="50"/>
      <c r="BL78" s="50">
        <v>731</v>
      </c>
      <c r="BW78" s="50">
        <v>21</v>
      </c>
    </row>
    <row r="79" spans="1:75" ht="13.5" customHeight="1" x14ac:dyDescent="0.25">
      <c r="A79" s="36" t="s">
        <v>491</v>
      </c>
      <c r="B79" s="53" t="s">
        <v>465</v>
      </c>
      <c r="C79" s="68" t="s">
        <v>364</v>
      </c>
      <c r="D79" s="69"/>
      <c r="E79" s="53" t="s">
        <v>518</v>
      </c>
      <c r="F79" s="50">
        <v>1</v>
      </c>
      <c r="G79" s="50">
        <v>0</v>
      </c>
      <c r="H79" s="50">
        <f t="shared" si="66"/>
        <v>0</v>
      </c>
      <c r="I79" s="50">
        <f t="shared" si="67"/>
        <v>0</v>
      </c>
      <c r="J79" s="50">
        <f t="shared" si="68"/>
        <v>0</v>
      </c>
      <c r="K79" s="50">
        <v>1E-3</v>
      </c>
      <c r="L79" s="29">
        <v>1E-3</v>
      </c>
      <c r="Z79" s="50">
        <f t="shared" si="69"/>
        <v>0</v>
      </c>
      <c r="AB79" s="50">
        <f t="shared" si="70"/>
        <v>0</v>
      </c>
      <c r="AC79" s="50">
        <f t="shared" si="71"/>
        <v>0</v>
      </c>
      <c r="AD79" s="50">
        <f t="shared" si="72"/>
        <v>0</v>
      </c>
      <c r="AE79" s="50">
        <f t="shared" si="73"/>
        <v>0</v>
      </c>
      <c r="AF79" s="50">
        <f t="shared" si="74"/>
        <v>0</v>
      </c>
      <c r="AG79" s="50">
        <f t="shared" si="75"/>
        <v>0</v>
      </c>
      <c r="AH79" s="50">
        <f t="shared" si="76"/>
        <v>0</v>
      </c>
      <c r="AI79" s="57" t="s">
        <v>510</v>
      </c>
      <c r="AJ79" s="50">
        <f t="shared" si="77"/>
        <v>0</v>
      </c>
      <c r="AK79" s="50">
        <f t="shared" si="78"/>
        <v>0</v>
      </c>
      <c r="AL79" s="50">
        <f t="shared" si="79"/>
        <v>0</v>
      </c>
      <c r="AN79" s="50">
        <v>21</v>
      </c>
      <c r="AO79" s="50">
        <f t="shared" si="80"/>
        <v>0</v>
      </c>
      <c r="AP79" s="50">
        <f t="shared" si="81"/>
        <v>0</v>
      </c>
      <c r="AQ79" s="38" t="s">
        <v>731</v>
      </c>
      <c r="AV79" s="50">
        <f t="shared" si="82"/>
        <v>0</v>
      </c>
      <c r="AW79" s="50">
        <f t="shared" si="83"/>
        <v>0</v>
      </c>
      <c r="AX79" s="50">
        <f t="shared" si="84"/>
        <v>0</v>
      </c>
      <c r="AY79" s="38" t="s">
        <v>200</v>
      </c>
      <c r="AZ79" s="38" t="s">
        <v>679</v>
      </c>
      <c r="BA79" s="57" t="s">
        <v>571</v>
      </c>
      <c r="BC79" s="50">
        <f t="shared" si="85"/>
        <v>0</v>
      </c>
      <c r="BD79" s="50">
        <f t="shared" si="86"/>
        <v>0</v>
      </c>
      <c r="BE79" s="50">
        <v>0</v>
      </c>
      <c r="BF79" s="50">
        <f>79</f>
        <v>79</v>
      </c>
      <c r="BH79" s="50">
        <f t="shared" si="87"/>
        <v>0</v>
      </c>
      <c r="BI79" s="50">
        <f t="shared" si="88"/>
        <v>0</v>
      </c>
      <c r="BJ79" s="50">
        <f t="shared" si="89"/>
        <v>0</v>
      </c>
      <c r="BK79" s="50"/>
      <c r="BL79" s="50">
        <v>731</v>
      </c>
      <c r="BW79" s="50">
        <v>21</v>
      </c>
    </row>
    <row r="80" spans="1:75" ht="13.5" customHeight="1" x14ac:dyDescent="0.25">
      <c r="A80" s="36" t="s">
        <v>467</v>
      </c>
      <c r="B80" s="53" t="s">
        <v>110</v>
      </c>
      <c r="C80" s="68" t="s">
        <v>506</v>
      </c>
      <c r="D80" s="69"/>
      <c r="E80" s="53" t="s">
        <v>518</v>
      </c>
      <c r="F80" s="50">
        <v>2</v>
      </c>
      <c r="G80" s="50">
        <v>0</v>
      </c>
      <c r="H80" s="50">
        <f t="shared" si="66"/>
        <v>0</v>
      </c>
      <c r="I80" s="50">
        <f t="shared" si="67"/>
        <v>0</v>
      </c>
      <c r="J80" s="50">
        <f t="shared" si="68"/>
        <v>0</v>
      </c>
      <c r="K80" s="50">
        <v>3.0000000000000001E-3</v>
      </c>
      <c r="L80" s="29">
        <v>3.0000000000000001E-3</v>
      </c>
      <c r="Z80" s="50">
        <f t="shared" si="69"/>
        <v>0</v>
      </c>
      <c r="AB80" s="50">
        <f t="shared" si="70"/>
        <v>0</v>
      </c>
      <c r="AC80" s="50">
        <f t="shared" si="71"/>
        <v>0</v>
      </c>
      <c r="AD80" s="50">
        <f t="shared" si="72"/>
        <v>0</v>
      </c>
      <c r="AE80" s="50">
        <f t="shared" si="73"/>
        <v>0</v>
      </c>
      <c r="AF80" s="50">
        <f t="shared" si="74"/>
        <v>0</v>
      </c>
      <c r="AG80" s="50">
        <f t="shared" si="75"/>
        <v>0</v>
      </c>
      <c r="AH80" s="50">
        <f t="shared" si="76"/>
        <v>0</v>
      </c>
      <c r="AI80" s="57" t="s">
        <v>510</v>
      </c>
      <c r="AJ80" s="50">
        <f t="shared" si="77"/>
        <v>0</v>
      </c>
      <c r="AK80" s="50">
        <f t="shared" si="78"/>
        <v>0</v>
      </c>
      <c r="AL80" s="50">
        <f t="shared" si="79"/>
        <v>0</v>
      </c>
      <c r="AN80" s="50">
        <v>21</v>
      </c>
      <c r="AO80" s="50">
        <f t="shared" si="80"/>
        <v>0</v>
      </c>
      <c r="AP80" s="50">
        <f t="shared" si="81"/>
        <v>0</v>
      </c>
      <c r="AQ80" s="38" t="s">
        <v>731</v>
      </c>
      <c r="AV80" s="50">
        <f t="shared" si="82"/>
        <v>0</v>
      </c>
      <c r="AW80" s="50">
        <f t="shared" si="83"/>
        <v>0</v>
      </c>
      <c r="AX80" s="50">
        <f t="shared" si="84"/>
        <v>0</v>
      </c>
      <c r="AY80" s="38" t="s">
        <v>200</v>
      </c>
      <c r="AZ80" s="38" t="s">
        <v>679</v>
      </c>
      <c r="BA80" s="57" t="s">
        <v>571</v>
      </c>
      <c r="BC80" s="50">
        <f t="shared" si="85"/>
        <v>0</v>
      </c>
      <c r="BD80" s="50">
        <f t="shared" si="86"/>
        <v>0</v>
      </c>
      <c r="BE80" s="50">
        <v>0</v>
      </c>
      <c r="BF80" s="50">
        <f>80</f>
        <v>80</v>
      </c>
      <c r="BH80" s="50">
        <f t="shared" si="87"/>
        <v>0</v>
      </c>
      <c r="BI80" s="50">
        <f t="shared" si="88"/>
        <v>0</v>
      </c>
      <c r="BJ80" s="50">
        <f t="shared" si="89"/>
        <v>0</v>
      </c>
      <c r="BK80" s="50"/>
      <c r="BL80" s="50">
        <v>731</v>
      </c>
      <c r="BW80" s="50">
        <v>21</v>
      </c>
    </row>
    <row r="81" spans="1:75" ht="13.5" customHeight="1" x14ac:dyDescent="0.25">
      <c r="A81" s="36" t="s">
        <v>698</v>
      </c>
      <c r="B81" s="53" t="s">
        <v>465</v>
      </c>
      <c r="C81" s="68" t="s">
        <v>790</v>
      </c>
      <c r="D81" s="69"/>
      <c r="E81" s="53" t="s">
        <v>180</v>
      </c>
      <c r="F81" s="50">
        <v>2</v>
      </c>
      <c r="G81" s="50">
        <v>0</v>
      </c>
      <c r="H81" s="50">
        <f t="shared" si="66"/>
        <v>0</v>
      </c>
      <c r="I81" s="50">
        <f t="shared" si="67"/>
        <v>0</v>
      </c>
      <c r="J81" s="50">
        <f t="shared" si="68"/>
        <v>0</v>
      </c>
      <c r="K81" s="50">
        <v>0.01</v>
      </c>
      <c r="L81" s="29">
        <v>0.01</v>
      </c>
      <c r="Z81" s="50">
        <f t="shared" si="69"/>
        <v>0</v>
      </c>
      <c r="AB81" s="50">
        <f t="shared" si="70"/>
        <v>0</v>
      </c>
      <c r="AC81" s="50">
        <f t="shared" si="71"/>
        <v>0</v>
      </c>
      <c r="AD81" s="50">
        <f t="shared" si="72"/>
        <v>0</v>
      </c>
      <c r="AE81" s="50">
        <f t="shared" si="73"/>
        <v>0</v>
      </c>
      <c r="AF81" s="50">
        <f t="shared" si="74"/>
        <v>0</v>
      </c>
      <c r="AG81" s="50">
        <f t="shared" si="75"/>
        <v>0</v>
      </c>
      <c r="AH81" s="50">
        <f t="shared" si="76"/>
        <v>0</v>
      </c>
      <c r="AI81" s="57" t="s">
        <v>510</v>
      </c>
      <c r="AJ81" s="50">
        <f t="shared" si="77"/>
        <v>0</v>
      </c>
      <c r="AK81" s="50">
        <f t="shared" si="78"/>
        <v>0</v>
      </c>
      <c r="AL81" s="50">
        <f t="shared" si="79"/>
        <v>0</v>
      </c>
      <c r="AN81" s="50">
        <v>21</v>
      </c>
      <c r="AO81" s="50">
        <f t="shared" si="80"/>
        <v>0</v>
      </c>
      <c r="AP81" s="50">
        <f t="shared" si="81"/>
        <v>0</v>
      </c>
      <c r="AQ81" s="38" t="s">
        <v>731</v>
      </c>
      <c r="AV81" s="50">
        <f t="shared" si="82"/>
        <v>0</v>
      </c>
      <c r="AW81" s="50">
        <f t="shared" si="83"/>
        <v>0</v>
      </c>
      <c r="AX81" s="50">
        <f t="shared" si="84"/>
        <v>0</v>
      </c>
      <c r="AY81" s="38" t="s">
        <v>200</v>
      </c>
      <c r="AZ81" s="38" t="s">
        <v>679</v>
      </c>
      <c r="BA81" s="57" t="s">
        <v>571</v>
      </c>
      <c r="BC81" s="50">
        <f t="shared" si="85"/>
        <v>0</v>
      </c>
      <c r="BD81" s="50">
        <f t="shared" si="86"/>
        <v>0</v>
      </c>
      <c r="BE81" s="50">
        <v>0</v>
      </c>
      <c r="BF81" s="50">
        <f>81</f>
        <v>81</v>
      </c>
      <c r="BH81" s="50">
        <f t="shared" si="87"/>
        <v>0</v>
      </c>
      <c r="BI81" s="50">
        <f t="shared" si="88"/>
        <v>0</v>
      </c>
      <c r="BJ81" s="50">
        <f t="shared" si="89"/>
        <v>0</v>
      </c>
      <c r="BK81" s="50"/>
      <c r="BL81" s="50">
        <v>731</v>
      </c>
      <c r="BW81" s="50">
        <v>21</v>
      </c>
    </row>
    <row r="82" spans="1:75" ht="13.5" customHeight="1" x14ac:dyDescent="0.25">
      <c r="A82" s="36" t="s">
        <v>420</v>
      </c>
      <c r="B82" s="53" t="s">
        <v>592</v>
      </c>
      <c r="C82" s="68" t="s">
        <v>141</v>
      </c>
      <c r="D82" s="69"/>
      <c r="E82" s="53" t="s">
        <v>180</v>
      </c>
      <c r="F82" s="50">
        <v>1</v>
      </c>
      <c r="G82" s="50">
        <v>0</v>
      </c>
      <c r="H82" s="50">
        <f t="shared" si="66"/>
        <v>0</v>
      </c>
      <c r="I82" s="50">
        <f t="shared" si="67"/>
        <v>0</v>
      </c>
      <c r="J82" s="50">
        <f t="shared" si="68"/>
        <v>0</v>
      </c>
      <c r="K82" s="50">
        <v>0</v>
      </c>
      <c r="L82" s="29">
        <v>0</v>
      </c>
      <c r="Z82" s="50">
        <f t="shared" si="69"/>
        <v>0</v>
      </c>
      <c r="AB82" s="50">
        <f t="shared" si="70"/>
        <v>0</v>
      </c>
      <c r="AC82" s="50">
        <f t="shared" si="71"/>
        <v>0</v>
      </c>
      <c r="AD82" s="50">
        <f t="shared" si="72"/>
        <v>0</v>
      </c>
      <c r="AE82" s="50">
        <f t="shared" si="73"/>
        <v>0</v>
      </c>
      <c r="AF82" s="50">
        <f t="shared" si="74"/>
        <v>0</v>
      </c>
      <c r="AG82" s="50">
        <f t="shared" si="75"/>
        <v>0</v>
      </c>
      <c r="AH82" s="50">
        <f t="shared" si="76"/>
        <v>0</v>
      </c>
      <c r="AI82" s="57" t="s">
        <v>510</v>
      </c>
      <c r="AJ82" s="50">
        <f t="shared" si="77"/>
        <v>0</v>
      </c>
      <c r="AK82" s="50">
        <f t="shared" si="78"/>
        <v>0</v>
      </c>
      <c r="AL82" s="50">
        <f t="shared" si="79"/>
        <v>0</v>
      </c>
      <c r="AN82" s="50">
        <v>21</v>
      </c>
      <c r="AO82" s="50">
        <f>G82*0.111111111111111</f>
        <v>0</v>
      </c>
      <c r="AP82" s="50">
        <f>G82*(1-0.111111111111111)</f>
        <v>0</v>
      </c>
      <c r="AQ82" s="38" t="s">
        <v>731</v>
      </c>
      <c r="AV82" s="50">
        <f t="shared" si="82"/>
        <v>0</v>
      </c>
      <c r="AW82" s="50">
        <f t="shared" si="83"/>
        <v>0</v>
      </c>
      <c r="AX82" s="50">
        <f t="shared" si="84"/>
        <v>0</v>
      </c>
      <c r="AY82" s="38" t="s">
        <v>200</v>
      </c>
      <c r="AZ82" s="38" t="s">
        <v>679</v>
      </c>
      <c r="BA82" s="57" t="s">
        <v>571</v>
      </c>
      <c r="BC82" s="50">
        <f t="shared" si="85"/>
        <v>0</v>
      </c>
      <c r="BD82" s="50">
        <f t="shared" si="86"/>
        <v>0</v>
      </c>
      <c r="BE82" s="50">
        <v>0</v>
      </c>
      <c r="BF82" s="50">
        <f>82</f>
        <v>82</v>
      </c>
      <c r="BH82" s="50">
        <f t="shared" si="87"/>
        <v>0</v>
      </c>
      <c r="BI82" s="50">
        <f t="shared" si="88"/>
        <v>0</v>
      </c>
      <c r="BJ82" s="50">
        <f t="shared" si="89"/>
        <v>0</v>
      </c>
      <c r="BK82" s="50"/>
      <c r="BL82" s="50">
        <v>731</v>
      </c>
      <c r="BW82" s="50">
        <v>21</v>
      </c>
    </row>
    <row r="83" spans="1:75" ht="13.5" customHeight="1" x14ac:dyDescent="0.25">
      <c r="A83" s="36" t="s">
        <v>327</v>
      </c>
      <c r="B83" s="53" t="s">
        <v>555</v>
      </c>
      <c r="C83" s="68" t="s">
        <v>702</v>
      </c>
      <c r="D83" s="69"/>
      <c r="E83" s="53" t="s">
        <v>180</v>
      </c>
      <c r="F83" s="50">
        <v>1</v>
      </c>
      <c r="G83" s="50">
        <v>0</v>
      </c>
      <c r="H83" s="50">
        <f t="shared" si="66"/>
        <v>0</v>
      </c>
      <c r="I83" s="50">
        <f t="shared" si="67"/>
        <v>0</v>
      </c>
      <c r="J83" s="50">
        <f t="shared" si="68"/>
        <v>0</v>
      </c>
      <c r="K83" s="50">
        <v>1.4E-2</v>
      </c>
      <c r="L83" s="29">
        <v>1.4E-2</v>
      </c>
      <c r="Z83" s="50">
        <f t="shared" si="69"/>
        <v>0</v>
      </c>
      <c r="AB83" s="50">
        <f t="shared" si="70"/>
        <v>0</v>
      </c>
      <c r="AC83" s="50">
        <f t="shared" si="71"/>
        <v>0</v>
      </c>
      <c r="AD83" s="50">
        <f t="shared" si="72"/>
        <v>0</v>
      </c>
      <c r="AE83" s="50">
        <f t="shared" si="73"/>
        <v>0</v>
      </c>
      <c r="AF83" s="50">
        <f t="shared" si="74"/>
        <v>0</v>
      </c>
      <c r="AG83" s="50">
        <f t="shared" si="75"/>
        <v>0</v>
      </c>
      <c r="AH83" s="50">
        <f t="shared" si="76"/>
        <v>0</v>
      </c>
      <c r="AI83" s="57" t="s">
        <v>510</v>
      </c>
      <c r="AJ83" s="50">
        <f t="shared" si="77"/>
        <v>0</v>
      </c>
      <c r="AK83" s="50">
        <f t="shared" si="78"/>
        <v>0</v>
      </c>
      <c r="AL83" s="50">
        <f t="shared" si="79"/>
        <v>0</v>
      </c>
      <c r="AN83" s="50">
        <v>21</v>
      </c>
      <c r="AO83" s="50">
        <f>G83*1</f>
        <v>0</v>
      </c>
      <c r="AP83" s="50">
        <f>G83*(1-1)</f>
        <v>0</v>
      </c>
      <c r="AQ83" s="38" t="s">
        <v>731</v>
      </c>
      <c r="AV83" s="50">
        <f t="shared" si="82"/>
        <v>0</v>
      </c>
      <c r="AW83" s="50">
        <f t="shared" si="83"/>
        <v>0</v>
      </c>
      <c r="AX83" s="50">
        <f t="shared" si="84"/>
        <v>0</v>
      </c>
      <c r="AY83" s="38" t="s">
        <v>200</v>
      </c>
      <c r="AZ83" s="38" t="s">
        <v>679</v>
      </c>
      <c r="BA83" s="57" t="s">
        <v>571</v>
      </c>
      <c r="BC83" s="50">
        <f t="shared" si="85"/>
        <v>0</v>
      </c>
      <c r="BD83" s="50">
        <f t="shared" si="86"/>
        <v>0</v>
      </c>
      <c r="BE83" s="50">
        <v>0</v>
      </c>
      <c r="BF83" s="50">
        <f>83</f>
        <v>83</v>
      </c>
      <c r="BH83" s="50">
        <f t="shared" si="87"/>
        <v>0</v>
      </c>
      <c r="BI83" s="50">
        <f t="shared" si="88"/>
        <v>0</v>
      </c>
      <c r="BJ83" s="50">
        <f t="shared" si="89"/>
        <v>0</v>
      </c>
      <c r="BK83" s="50"/>
      <c r="BL83" s="50">
        <v>731</v>
      </c>
      <c r="BW83" s="50">
        <v>21</v>
      </c>
    </row>
    <row r="84" spans="1:75" ht="13.5" customHeight="1" x14ac:dyDescent="0.25">
      <c r="A84" s="36" t="s">
        <v>83</v>
      </c>
      <c r="B84" s="53" t="s">
        <v>6</v>
      </c>
      <c r="C84" s="68" t="s">
        <v>791</v>
      </c>
      <c r="D84" s="69"/>
      <c r="E84" s="53" t="s">
        <v>180</v>
      </c>
      <c r="F84" s="50">
        <v>1</v>
      </c>
      <c r="G84" s="50">
        <v>0</v>
      </c>
      <c r="H84" s="50">
        <f t="shared" si="66"/>
        <v>0</v>
      </c>
      <c r="I84" s="50">
        <f t="shared" si="67"/>
        <v>0</v>
      </c>
      <c r="J84" s="50">
        <f t="shared" si="68"/>
        <v>0</v>
      </c>
      <c r="K84" s="50">
        <v>0.01</v>
      </c>
      <c r="L84" s="29">
        <v>0.01</v>
      </c>
      <c r="Z84" s="50">
        <f t="shared" si="69"/>
        <v>0</v>
      </c>
      <c r="AB84" s="50">
        <f t="shared" si="70"/>
        <v>0</v>
      </c>
      <c r="AC84" s="50">
        <f t="shared" si="71"/>
        <v>0</v>
      </c>
      <c r="AD84" s="50">
        <f t="shared" si="72"/>
        <v>0</v>
      </c>
      <c r="AE84" s="50">
        <f t="shared" si="73"/>
        <v>0</v>
      </c>
      <c r="AF84" s="50">
        <f t="shared" si="74"/>
        <v>0</v>
      </c>
      <c r="AG84" s="50">
        <f t="shared" si="75"/>
        <v>0</v>
      </c>
      <c r="AH84" s="50">
        <f t="shared" si="76"/>
        <v>0</v>
      </c>
      <c r="AI84" s="57" t="s">
        <v>510</v>
      </c>
      <c r="AJ84" s="50">
        <f t="shared" si="77"/>
        <v>0</v>
      </c>
      <c r="AK84" s="50">
        <f t="shared" si="78"/>
        <v>0</v>
      </c>
      <c r="AL84" s="50">
        <f t="shared" si="79"/>
        <v>0</v>
      </c>
      <c r="AN84" s="50">
        <v>21</v>
      </c>
      <c r="AO84" s="50">
        <f>G84*1</f>
        <v>0</v>
      </c>
      <c r="AP84" s="50">
        <f>G84*(1-1)</f>
        <v>0</v>
      </c>
      <c r="AQ84" s="38" t="s">
        <v>731</v>
      </c>
      <c r="AV84" s="50">
        <f t="shared" si="82"/>
        <v>0</v>
      </c>
      <c r="AW84" s="50">
        <f t="shared" si="83"/>
        <v>0</v>
      </c>
      <c r="AX84" s="50">
        <f t="shared" si="84"/>
        <v>0</v>
      </c>
      <c r="AY84" s="38" t="s">
        <v>200</v>
      </c>
      <c r="AZ84" s="38" t="s">
        <v>679</v>
      </c>
      <c r="BA84" s="57" t="s">
        <v>571</v>
      </c>
      <c r="BC84" s="50">
        <f t="shared" si="85"/>
        <v>0</v>
      </c>
      <c r="BD84" s="50">
        <f t="shared" si="86"/>
        <v>0</v>
      </c>
      <c r="BE84" s="50">
        <v>0</v>
      </c>
      <c r="BF84" s="50">
        <f>84</f>
        <v>84</v>
      </c>
      <c r="BH84" s="50">
        <f t="shared" si="87"/>
        <v>0</v>
      </c>
      <c r="BI84" s="50">
        <f t="shared" si="88"/>
        <v>0</v>
      </c>
      <c r="BJ84" s="50">
        <f t="shared" si="89"/>
        <v>0</v>
      </c>
      <c r="BK84" s="50"/>
      <c r="BL84" s="50">
        <v>731</v>
      </c>
      <c r="BW84" s="50">
        <v>21</v>
      </c>
    </row>
    <row r="85" spans="1:75" ht="15" customHeight="1" x14ac:dyDescent="0.25">
      <c r="A85" s="47" t="s">
        <v>510</v>
      </c>
      <c r="B85" s="35" t="s">
        <v>494</v>
      </c>
      <c r="C85" s="70" t="s">
        <v>729</v>
      </c>
      <c r="D85" s="71"/>
      <c r="E85" s="1" t="s">
        <v>686</v>
      </c>
      <c r="F85" s="1" t="s">
        <v>686</v>
      </c>
      <c r="G85" s="1" t="s">
        <v>686</v>
      </c>
      <c r="H85" s="5">
        <f>SUM(H86:H96)</f>
        <v>0</v>
      </c>
      <c r="I85" s="5">
        <f>SUM(I86:I96)</f>
        <v>0</v>
      </c>
      <c r="J85" s="5">
        <f>SUM(J86:J96)</f>
        <v>0</v>
      </c>
      <c r="K85" s="57" t="s">
        <v>510</v>
      </c>
      <c r="L85" s="7" t="s">
        <v>510</v>
      </c>
      <c r="AI85" s="57" t="s">
        <v>510</v>
      </c>
      <c r="AS85" s="5">
        <f>SUM(AJ86:AJ96)</f>
        <v>0</v>
      </c>
      <c r="AT85" s="5">
        <f>SUM(AK86:AK96)</f>
        <v>0</v>
      </c>
      <c r="AU85" s="5">
        <f>SUM(AL86:AL96)</f>
        <v>0</v>
      </c>
    </row>
    <row r="86" spans="1:75" ht="13.5" customHeight="1" x14ac:dyDescent="0.25">
      <c r="A86" s="36" t="s">
        <v>537</v>
      </c>
      <c r="B86" s="53" t="s">
        <v>468</v>
      </c>
      <c r="C86" s="68" t="s">
        <v>126</v>
      </c>
      <c r="D86" s="69"/>
      <c r="E86" s="53" t="s">
        <v>180</v>
      </c>
      <c r="F86" s="50">
        <v>1</v>
      </c>
      <c r="G86" s="50">
        <v>0</v>
      </c>
      <c r="H86" s="50">
        <f t="shared" ref="H86:H96" si="90">F86*AO86</f>
        <v>0</v>
      </c>
      <c r="I86" s="50">
        <f t="shared" ref="I86:I96" si="91">F86*AP86</f>
        <v>0</v>
      </c>
      <c r="J86" s="50">
        <f t="shared" ref="J86:J96" si="92">F86*G86</f>
        <v>0</v>
      </c>
      <c r="K86" s="50">
        <v>0.05</v>
      </c>
      <c r="L86" s="29">
        <v>0.05</v>
      </c>
      <c r="Z86" s="50">
        <f t="shared" ref="Z86:Z96" si="93">IF(AQ86="5",BJ86,0)</f>
        <v>0</v>
      </c>
      <c r="AB86" s="50">
        <f t="shared" ref="AB86:AB96" si="94">IF(AQ86="1",BH86,0)</f>
        <v>0</v>
      </c>
      <c r="AC86" s="50">
        <f t="shared" ref="AC86:AC96" si="95">IF(AQ86="1",BI86,0)</f>
        <v>0</v>
      </c>
      <c r="AD86" s="50">
        <f t="shared" ref="AD86:AD96" si="96">IF(AQ86="7",BH86,0)</f>
        <v>0</v>
      </c>
      <c r="AE86" s="50">
        <f t="shared" ref="AE86:AE96" si="97">IF(AQ86="7",BI86,0)</f>
        <v>0</v>
      </c>
      <c r="AF86" s="50">
        <f t="shared" ref="AF86:AF96" si="98">IF(AQ86="2",BH86,0)</f>
        <v>0</v>
      </c>
      <c r="AG86" s="50">
        <f t="shared" ref="AG86:AG96" si="99">IF(AQ86="2",BI86,0)</f>
        <v>0</v>
      </c>
      <c r="AH86" s="50">
        <f t="shared" ref="AH86:AH96" si="100">IF(AQ86="0",BJ86,0)</f>
        <v>0</v>
      </c>
      <c r="AI86" s="57" t="s">
        <v>510</v>
      </c>
      <c r="AJ86" s="50">
        <f t="shared" ref="AJ86:AJ96" si="101">IF(AN86=0,J86,0)</f>
        <v>0</v>
      </c>
      <c r="AK86" s="50">
        <f t="shared" ref="AK86:AK96" si="102">IF(AN86=15,J86,0)</f>
        <v>0</v>
      </c>
      <c r="AL86" s="50">
        <f t="shared" ref="AL86:AL96" si="103">IF(AN86=21,J86,0)</f>
        <v>0</v>
      </c>
      <c r="AN86" s="50">
        <v>21</v>
      </c>
      <c r="AO86" s="50">
        <f>G86*0</f>
        <v>0</v>
      </c>
      <c r="AP86" s="50">
        <f>G86*(1-0)</f>
        <v>0</v>
      </c>
      <c r="AQ86" s="38" t="s">
        <v>731</v>
      </c>
      <c r="AV86" s="50">
        <f t="shared" ref="AV86:AV96" si="104">AW86+AX86</f>
        <v>0</v>
      </c>
      <c r="AW86" s="50">
        <f t="shared" ref="AW86:AW96" si="105">F86*AO86</f>
        <v>0</v>
      </c>
      <c r="AX86" s="50">
        <f t="shared" ref="AX86:AX96" si="106">F86*AP86</f>
        <v>0</v>
      </c>
      <c r="AY86" s="38" t="s">
        <v>333</v>
      </c>
      <c r="AZ86" s="38" t="s">
        <v>679</v>
      </c>
      <c r="BA86" s="57" t="s">
        <v>571</v>
      </c>
      <c r="BC86" s="50">
        <f t="shared" ref="BC86:BC96" si="107">AW86+AX86</f>
        <v>0</v>
      </c>
      <c r="BD86" s="50">
        <f t="shared" ref="BD86:BD96" si="108">G86/(100-BE86)*100</f>
        <v>0</v>
      </c>
      <c r="BE86" s="50">
        <v>0</v>
      </c>
      <c r="BF86" s="50">
        <f>86</f>
        <v>86</v>
      </c>
      <c r="BH86" s="50">
        <f t="shared" ref="BH86:BH96" si="109">F86*AO86</f>
        <v>0</v>
      </c>
      <c r="BI86" s="50">
        <f t="shared" ref="BI86:BI96" si="110">F86*AP86</f>
        <v>0</v>
      </c>
      <c r="BJ86" s="50">
        <f t="shared" ref="BJ86:BJ96" si="111">F86*G86</f>
        <v>0</v>
      </c>
      <c r="BK86" s="50"/>
      <c r="BL86" s="50">
        <v>732</v>
      </c>
      <c r="BW86" s="50">
        <v>21</v>
      </c>
    </row>
    <row r="87" spans="1:75" ht="13.5" customHeight="1" x14ac:dyDescent="0.25">
      <c r="A87" s="36" t="s">
        <v>809</v>
      </c>
      <c r="B87" s="53" t="s">
        <v>400</v>
      </c>
      <c r="C87" s="68" t="s">
        <v>533</v>
      </c>
      <c r="D87" s="69"/>
      <c r="E87" s="53" t="s">
        <v>180</v>
      </c>
      <c r="F87" s="50">
        <v>1</v>
      </c>
      <c r="G87" s="50">
        <v>0</v>
      </c>
      <c r="H87" s="50">
        <f t="shared" si="90"/>
        <v>0</v>
      </c>
      <c r="I87" s="50">
        <f t="shared" si="91"/>
        <v>0</v>
      </c>
      <c r="J87" s="50">
        <f t="shared" si="92"/>
        <v>0</v>
      </c>
      <c r="K87" s="50">
        <v>6.9999999999999994E-5</v>
      </c>
      <c r="L87" s="29">
        <v>2.1069999999999998E-2</v>
      </c>
      <c r="Z87" s="50">
        <f t="shared" si="93"/>
        <v>0</v>
      </c>
      <c r="AB87" s="50">
        <f t="shared" si="94"/>
        <v>0</v>
      </c>
      <c r="AC87" s="50">
        <f t="shared" si="95"/>
        <v>0</v>
      </c>
      <c r="AD87" s="50">
        <f t="shared" si="96"/>
        <v>0</v>
      </c>
      <c r="AE87" s="50">
        <f t="shared" si="97"/>
        <v>0</v>
      </c>
      <c r="AF87" s="50">
        <f t="shared" si="98"/>
        <v>0</v>
      </c>
      <c r="AG87" s="50">
        <f t="shared" si="99"/>
        <v>0</v>
      </c>
      <c r="AH87" s="50">
        <f t="shared" si="100"/>
        <v>0</v>
      </c>
      <c r="AI87" s="57" t="s">
        <v>510</v>
      </c>
      <c r="AJ87" s="50">
        <f t="shared" si="101"/>
        <v>0</v>
      </c>
      <c r="AK87" s="50">
        <f t="shared" si="102"/>
        <v>0</v>
      </c>
      <c r="AL87" s="50">
        <f t="shared" si="103"/>
        <v>0</v>
      </c>
      <c r="AN87" s="50">
        <v>21</v>
      </c>
      <c r="AO87" s="50">
        <f>G87*0.068235294117647</f>
        <v>0</v>
      </c>
      <c r="AP87" s="50">
        <f>G87*(1-0.068235294117647)</f>
        <v>0</v>
      </c>
      <c r="AQ87" s="38" t="s">
        <v>731</v>
      </c>
      <c r="AV87" s="50">
        <f t="shared" si="104"/>
        <v>0</v>
      </c>
      <c r="AW87" s="50">
        <f t="shared" si="105"/>
        <v>0</v>
      </c>
      <c r="AX87" s="50">
        <f t="shared" si="106"/>
        <v>0</v>
      </c>
      <c r="AY87" s="38" t="s">
        <v>333</v>
      </c>
      <c r="AZ87" s="38" t="s">
        <v>679</v>
      </c>
      <c r="BA87" s="57" t="s">
        <v>571</v>
      </c>
      <c r="BC87" s="50">
        <f t="shared" si="107"/>
        <v>0</v>
      </c>
      <c r="BD87" s="50">
        <f t="shared" si="108"/>
        <v>0</v>
      </c>
      <c r="BE87" s="50">
        <v>0</v>
      </c>
      <c r="BF87" s="50">
        <f>87</f>
        <v>87</v>
      </c>
      <c r="BH87" s="50">
        <f t="shared" si="109"/>
        <v>0</v>
      </c>
      <c r="BI87" s="50">
        <f t="shared" si="110"/>
        <v>0</v>
      </c>
      <c r="BJ87" s="50">
        <f t="shared" si="111"/>
        <v>0</v>
      </c>
      <c r="BK87" s="50"/>
      <c r="BL87" s="50">
        <v>732</v>
      </c>
      <c r="BW87" s="50">
        <v>21</v>
      </c>
    </row>
    <row r="88" spans="1:75" ht="13.5" customHeight="1" x14ac:dyDescent="0.25">
      <c r="A88" s="36" t="s">
        <v>164</v>
      </c>
      <c r="B88" s="53" t="s">
        <v>323</v>
      </c>
      <c r="C88" s="68" t="s">
        <v>18</v>
      </c>
      <c r="D88" s="69"/>
      <c r="E88" s="53" t="s">
        <v>180</v>
      </c>
      <c r="F88" s="50">
        <v>2</v>
      </c>
      <c r="G88" s="50">
        <v>0</v>
      </c>
      <c r="H88" s="50">
        <f t="shared" si="90"/>
        <v>0</v>
      </c>
      <c r="I88" s="50">
        <f t="shared" si="91"/>
        <v>0</v>
      </c>
      <c r="J88" s="50">
        <f t="shared" si="92"/>
        <v>0</v>
      </c>
      <c r="K88" s="50">
        <v>4.36E-2</v>
      </c>
      <c r="L88" s="29">
        <v>4.36E-2</v>
      </c>
      <c r="Z88" s="50">
        <f t="shared" si="93"/>
        <v>0</v>
      </c>
      <c r="AB88" s="50">
        <f t="shared" si="94"/>
        <v>0</v>
      </c>
      <c r="AC88" s="50">
        <f t="shared" si="95"/>
        <v>0</v>
      </c>
      <c r="AD88" s="50">
        <f t="shared" si="96"/>
        <v>0</v>
      </c>
      <c r="AE88" s="50">
        <f t="shared" si="97"/>
        <v>0</v>
      </c>
      <c r="AF88" s="50">
        <f t="shared" si="98"/>
        <v>0</v>
      </c>
      <c r="AG88" s="50">
        <f t="shared" si="99"/>
        <v>0</v>
      </c>
      <c r="AH88" s="50">
        <f t="shared" si="100"/>
        <v>0</v>
      </c>
      <c r="AI88" s="57" t="s">
        <v>510</v>
      </c>
      <c r="AJ88" s="50">
        <f t="shared" si="101"/>
        <v>0</v>
      </c>
      <c r="AK88" s="50">
        <f t="shared" si="102"/>
        <v>0</v>
      </c>
      <c r="AL88" s="50">
        <f t="shared" si="103"/>
        <v>0</v>
      </c>
      <c r="AN88" s="50">
        <v>21</v>
      </c>
      <c r="AO88" s="50">
        <f>G88*0.892237066682361</f>
        <v>0</v>
      </c>
      <c r="AP88" s="50">
        <f>G88*(1-0.892237066682361)</f>
        <v>0</v>
      </c>
      <c r="AQ88" s="38" t="s">
        <v>731</v>
      </c>
      <c r="AV88" s="50">
        <f t="shared" si="104"/>
        <v>0</v>
      </c>
      <c r="AW88" s="50">
        <f t="shared" si="105"/>
        <v>0</v>
      </c>
      <c r="AX88" s="50">
        <f t="shared" si="106"/>
        <v>0</v>
      </c>
      <c r="AY88" s="38" t="s">
        <v>333</v>
      </c>
      <c r="AZ88" s="38" t="s">
        <v>679</v>
      </c>
      <c r="BA88" s="57" t="s">
        <v>571</v>
      </c>
      <c r="BC88" s="50">
        <f t="shared" si="107"/>
        <v>0</v>
      </c>
      <c r="BD88" s="50">
        <f t="shared" si="108"/>
        <v>0</v>
      </c>
      <c r="BE88" s="50">
        <v>0</v>
      </c>
      <c r="BF88" s="50">
        <f>88</f>
        <v>88</v>
      </c>
      <c r="BH88" s="50">
        <f t="shared" si="109"/>
        <v>0</v>
      </c>
      <c r="BI88" s="50">
        <f t="shared" si="110"/>
        <v>0</v>
      </c>
      <c r="BJ88" s="50">
        <f t="shared" si="111"/>
        <v>0</v>
      </c>
      <c r="BK88" s="50"/>
      <c r="BL88" s="50">
        <v>732</v>
      </c>
      <c r="BW88" s="50">
        <v>21</v>
      </c>
    </row>
    <row r="89" spans="1:75" ht="13.5" customHeight="1" x14ac:dyDescent="0.25">
      <c r="A89" s="36" t="s">
        <v>360</v>
      </c>
      <c r="B89" s="53" t="s">
        <v>719</v>
      </c>
      <c r="C89" s="68" t="s">
        <v>263</v>
      </c>
      <c r="D89" s="69"/>
      <c r="E89" s="53" t="s">
        <v>180</v>
      </c>
      <c r="F89" s="50">
        <v>2</v>
      </c>
      <c r="G89" s="50">
        <v>0</v>
      </c>
      <c r="H89" s="50">
        <f t="shared" si="90"/>
        <v>0</v>
      </c>
      <c r="I89" s="50">
        <f t="shared" si="91"/>
        <v>0</v>
      </c>
      <c r="J89" s="50">
        <f t="shared" si="92"/>
        <v>0</v>
      </c>
      <c r="K89" s="50">
        <v>5.2999999999999998E-4</v>
      </c>
      <c r="L89" s="29">
        <v>5.2999999999999998E-4</v>
      </c>
      <c r="Z89" s="50">
        <f t="shared" si="93"/>
        <v>0</v>
      </c>
      <c r="AB89" s="50">
        <f t="shared" si="94"/>
        <v>0</v>
      </c>
      <c r="AC89" s="50">
        <f t="shared" si="95"/>
        <v>0</v>
      </c>
      <c r="AD89" s="50">
        <f t="shared" si="96"/>
        <v>0</v>
      </c>
      <c r="AE89" s="50">
        <f t="shared" si="97"/>
        <v>0</v>
      </c>
      <c r="AF89" s="50">
        <f t="shared" si="98"/>
        <v>0</v>
      </c>
      <c r="AG89" s="50">
        <f t="shared" si="99"/>
        <v>0</v>
      </c>
      <c r="AH89" s="50">
        <f t="shared" si="100"/>
        <v>0</v>
      </c>
      <c r="AI89" s="57" t="s">
        <v>510</v>
      </c>
      <c r="AJ89" s="50">
        <f t="shared" si="101"/>
        <v>0</v>
      </c>
      <c r="AK89" s="50">
        <f t="shared" si="102"/>
        <v>0</v>
      </c>
      <c r="AL89" s="50">
        <f t="shared" si="103"/>
        <v>0</v>
      </c>
      <c r="AN89" s="50">
        <v>21</v>
      </c>
      <c r="AO89" s="50">
        <f>G89*0.884875846501129</f>
        <v>0</v>
      </c>
      <c r="AP89" s="50">
        <f>G89*(1-0.884875846501129)</f>
        <v>0</v>
      </c>
      <c r="AQ89" s="38" t="s">
        <v>731</v>
      </c>
      <c r="AV89" s="50">
        <f t="shared" si="104"/>
        <v>0</v>
      </c>
      <c r="AW89" s="50">
        <f t="shared" si="105"/>
        <v>0</v>
      </c>
      <c r="AX89" s="50">
        <f t="shared" si="106"/>
        <v>0</v>
      </c>
      <c r="AY89" s="38" t="s">
        <v>333</v>
      </c>
      <c r="AZ89" s="38" t="s">
        <v>679</v>
      </c>
      <c r="BA89" s="57" t="s">
        <v>571</v>
      </c>
      <c r="BC89" s="50">
        <f t="shared" si="107"/>
        <v>0</v>
      </c>
      <c r="BD89" s="50">
        <f t="shared" si="108"/>
        <v>0</v>
      </c>
      <c r="BE89" s="50">
        <v>0</v>
      </c>
      <c r="BF89" s="50">
        <f>89</f>
        <v>89</v>
      </c>
      <c r="BH89" s="50">
        <f t="shared" si="109"/>
        <v>0</v>
      </c>
      <c r="BI89" s="50">
        <f t="shared" si="110"/>
        <v>0</v>
      </c>
      <c r="BJ89" s="50">
        <f t="shared" si="111"/>
        <v>0</v>
      </c>
      <c r="BK89" s="50"/>
      <c r="BL89" s="50">
        <v>732</v>
      </c>
      <c r="BW89" s="50">
        <v>21</v>
      </c>
    </row>
    <row r="90" spans="1:75" ht="13.5" customHeight="1" x14ac:dyDescent="0.25">
      <c r="A90" s="36" t="s">
        <v>803</v>
      </c>
      <c r="B90" s="53" t="s">
        <v>668</v>
      </c>
      <c r="C90" s="68" t="s">
        <v>166</v>
      </c>
      <c r="D90" s="69"/>
      <c r="E90" s="53" t="s">
        <v>180</v>
      </c>
      <c r="F90" s="50">
        <v>1</v>
      </c>
      <c r="G90" s="50">
        <v>0</v>
      </c>
      <c r="H90" s="50">
        <f t="shared" si="90"/>
        <v>0</v>
      </c>
      <c r="I90" s="50">
        <f t="shared" si="91"/>
        <v>0</v>
      </c>
      <c r="J90" s="50">
        <f t="shared" si="92"/>
        <v>0</v>
      </c>
      <c r="K90" s="50">
        <v>1.4630000000000001E-2</v>
      </c>
      <c r="L90" s="29">
        <v>1.4630000000000001E-2</v>
      </c>
      <c r="Z90" s="50">
        <f t="shared" si="93"/>
        <v>0</v>
      </c>
      <c r="AB90" s="50">
        <f t="shared" si="94"/>
        <v>0</v>
      </c>
      <c r="AC90" s="50">
        <f t="shared" si="95"/>
        <v>0</v>
      </c>
      <c r="AD90" s="50">
        <f t="shared" si="96"/>
        <v>0</v>
      </c>
      <c r="AE90" s="50">
        <f t="shared" si="97"/>
        <v>0</v>
      </c>
      <c r="AF90" s="50">
        <f t="shared" si="98"/>
        <v>0</v>
      </c>
      <c r="AG90" s="50">
        <f t="shared" si="99"/>
        <v>0</v>
      </c>
      <c r="AH90" s="50">
        <f t="shared" si="100"/>
        <v>0</v>
      </c>
      <c r="AI90" s="57" t="s">
        <v>510</v>
      </c>
      <c r="AJ90" s="50">
        <f t="shared" si="101"/>
        <v>0</v>
      </c>
      <c r="AK90" s="50">
        <f t="shared" si="102"/>
        <v>0</v>
      </c>
      <c r="AL90" s="50">
        <f t="shared" si="103"/>
        <v>0</v>
      </c>
      <c r="AN90" s="50">
        <v>21</v>
      </c>
      <c r="AO90" s="50">
        <f>G90*0.535202293724116</f>
        <v>0</v>
      </c>
      <c r="AP90" s="50">
        <f>G90*(1-0.535202293724116)</f>
        <v>0</v>
      </c>
      <c r="AQ90" s="38" t="s">
        <v>731</v>
      </c>
      <c r="AV90" s="50">
        <f t="shared" si="104"/>
        <v>0</v>
      </c>
      <c r="AW90" s="50">
        <f t="shared" si="105"/>
        <v>0</v>
      </c>
      <c r="AX90" s="50">
        <f t="shared" si="106"/>
        <v>0</v>
      </c>
      <c r="AY90" s="38" t="s">
        <v>333</v>
      </c>
      <c r="AZ90" s="38" t="s">
        <v>679</v>
      </c>
      <c r="BA90" s="57" t="s">
        <v>571</v>
      </c>
      <c r="BC90" s="50">
        <f t="shared" si="107"/>
        <v>0</v>
      </c>
      <c r="BD90" s="50">
        <f t="shared" si="108"/>
        <v>0</v>
      </c>
      <c r="BE90" s="50">
        <v>0</v>
      </c>
      <c r="BF90" s="50">
        <f>90</f>
        <v>90</v>
      </c>
      <c r="BH90" s="50">
        <f t="shared" si="109"/>
        <v>0</v>
      </c>
      <c r="BI90" s="50">
        <f t="shared" si="110"/>
        <v>0</v>
      </c>
      <c r="BJ90" s="50">
        <f t="shared" si="111"/>
        <v>0</v>
      </c>
      <c r="BK90" s="50"/>
      <c r="BL90" s="50">
        <v>732</v>
      </c>
      <c r="BW90" s="50">
        <v>21</v>
      </c>
    </row>
    <row r="91" spans="1:75" ht="13.5" customHeight="1" x14ac:dyDescent="0.25">
      <c r="A91" s="36" t="s">
        <v>760</v>
      </c>
      <c r="B91" s="53" t="s">
        <v>816</v>
      </c>
      <c r="C91" s="68" t="s">
        <v>629</v>
      </c>
      <c r="D91" s="69"/>
      <c r="E91" s="53" t="s">
        <v>180</v>
      </c>
      <c r="F91" s="50">
        <v>10</v>
      </c>
      <c r="G91" s="50">
        <v>0</v>
      </c>
      <c r="H91" s="50">
        <f t="shared" si="90"/>
        <v>0</v>
      </c>
      <c r="I91" s="50">
        <f t="shared" si="91"/>
        <v>0</v>
      </c>
      <c r="J91" s="50">
        <f t="shared" si="92"/>
        <v>0</v>
      </c>
      <c r="K91" s="50">
        <v>5.0000000000000001E-3</v>
      </c>
      <c r="L91" s="29">
        <v>5.0000000000000001E-3</v>
      </c>
      <c r="Z91" s="50">
        <f t="shared" si="93"/>
        <v>0</v>
      </c>
      <c r="AB91" s="50">
        <f t="shared" si="94"/>
        <v>0</v>
      </c>
      <c r="AC91" s="50">
        <f t="shared" si="95"/>
        <v>0</v>
      </c>
      <c r="AD91" s="50">
        <f t="shared" si="96"/>
        <v>0</v>
      </c>
      <c r="AE91" s="50">
        <f t="shared" si="97"/>
        <v>0</v>
      </c>
      <c r="AF91" s="50">
        <f t="shared" si="98"/>
        <v>0</v>
      </c>
      <c r="AG91" s="50">
        <f t="shared" si="99"/>
        <v>0</v>
      </c>
      <c r="AH91" s="50">
        <f t="shared" si="100"/>
        <v>0</v>
      </c>
      <c r="AI91" s="57" t="s">
        <v>510</v>
      </c>
      <c r="AJ91" s="50">
        <f t="shared" si="101"/>
        <v>0</v>
      </c>
      <c r="AK91" s="50">
        <f t="shared" si="102"/>
        <v>0</v>
      </c>
      <c r="AL91" s="50">
        <f t="shared" si="103"/>
        <v>0</v>
      </c>
      <c r="AN91" s="50">
        <v>21</v>
      </c>
      <c r="AO91" s="50">
        <f>G91*1</f>
        <v>0</v>
      </c>
      <c r="AP91" s="50">
        <f>G91*(1-1)</f>
        <v>0</v>
      </c>
      <c r="AQ91" s="38" t="s">
        <v>731</v>
      </c>
      <c r="AV91" s="50">
        <f t="shared" si="104"/>
        <v>0</v>
      </c>
      <c r="AW91" s="50">
        <f t="shared" si="105"/>
        <v>0</v>
      </c>
      <c r="AX91" s="50">
        <f t="shared" si="106"/>
        <v>0</v>
      </c>
      <c r="AY91" s="38" t="s">
        <v>333</v>
      </c>
      <c r="AZ91" s="38" t="s">
        <v>679</v>
      </c>
      <c r="BA91" s="57" t="s">
        <v>571</v>
      </c>
      <c r="BC91" s="50">
        <f t="shared" si="107"/>
        <v>0</v>
      </c>
      <c r="BD91" s="50">
        <f t="shared" si="108"/>
        <v>0</v>
      </c>
      <c r="BE91" s="50">
        <v>0</v>
      </c>
      <c r="BF91" s="50">
        <f>91</f>
        <v>91</v>
      </c>
      <c r="BH91" s="50">
        <f t="shared" si="109"/>
        <v>0</v>
      </c>
      <c r="BI91" s="50">
        <f t="shared" si="110"/>
        <v>0</v>
      </c>
      <c r="BJ91" s="50">
        <f t="shared" si="111"/>
        <v>0</v>
      </c>
      <c r="BK91" s="50"/>
      <c r="BL91" s="50">
        <v>732</v>
      </c>
      <c r="BW91" s="50">
        <v>21</v>
      </c>
    </row>
    <row r="92" spans="1:75" ht="13.5" customHeight="1" x14ac:dyDescent="0.25">
      <c r="A92" s="36" t="s">
        <v>9</v>
      </c>
      <c r="B92" s="53" t="s">
        <v>642</v>
      </c>
      <c r="C92" s="68" t="s">
        <v>433</v>
      </c>
      <c r="D92" s="69"/>
      <c r="E92" s="53" t="s">
        <v>180</v>
      </c>
      <c r="F92" s="50">
        <v>1</v>
      </c>
      <c r="G92" s="50">
        <v>0</v>
      </c>
      <c r="H92" s="50">
        <f t="shared" si="90"/>
        <v>0</v>
      </c>
      <c r="I92" s="50">
        <f t="shared" si="91"/>
        <v>0</v>
      </c>
      <c r="J92" s="50">
        <f t="shared" si="92"/>
        <v>0</v>
      </c>
      <c r="K92" s="50">
        <v>5.9000000000000003E-4</v>
      </c>
      <c r="L92" s="29">
        <v>5.9000000000000003E-4</v>
      </c>
      <c r="Z92" s="50">
        <f t="shared" si="93"/>
        <v>0</v>
      </c>
      <c r="AB92" s="50">
        <f t="shared" si="94"/>
        <v>0</v>
      </c>
      <c r="AC92" s="50">
        <f t="shared" si="95"/>
        <v>0</v>
      </c>
      <c r="AD92" s="50">
        <f t="shared" si="96"/>
        <v>0</v>
      </c>
      <c r="AE92" s="50">
        <f t="shared" si="97"/>
        <v>0</v>
      </c>
      <c r="AF92" s="50">
        <f t="shared" si="98"/>
        <v>0</v>
      </c>
      <c r="AG92" s="50">
        <f t="shared" si="99"/>
        <v>0</v>
      </c>
      <c r="AH92" s="50">
        <f t="shared" si="100"/>
        <v>0</v>
      </c>
      <c r="AI92" s="57" t="s">
        <v>510</v>
      </c>
      <c r="AJ92" s="50">
        <f t="shared" si="101"/>
        <v>0</v>
      </c>
      <c r="AK92" s="50">
        <f t="shared" si="102"/>
        <v>0</v>
      </c>
      <c r="AL92" s="50">
        <f t="shared" si="103"/>
        <v>0</v>
      </c>
      <c r="AN92" s="50">
        <v>21</v>
      </c>
      <c r="AO92" s="50">
        <f>G92*0.25807881773399</f>
        <v>0</v>
      </c>
      <c r="AP92" s="50">
        <f>G92*(1-0.25807881773399)</f>
        <v>0</v>
      </c>
      <c r="AQ92" s="38" t="s">
        <v>731</v>
      </c>
      <c r="AV92" s="50">
        <f t="shared" si="104"/>
        <v>0</v>
      </c>
      <c r="AW92" s="50">
        <f t="shared" si="105"/>
        <v>0</v>
      </c>
      <c r="AX92" s="50">
        <f t="shared" si="106"/>
        <v>0</v>
      </c>
      <c r="AY92" s="38" t="s">
        <v>333</v>
      </c>
      <c r="AZ92" s="38" t="s">
        <v>679</v>
      </c>
      <c r="BA92" s="57" t="s">
        <v>571</v>
      </c>
      <c r="BC92" s="50">
        <f t="shared" si="107"/>
        <v>0</v>
      </c>
      <c r="BD92" s="50">
        <f t="shared" si="108"/>
        <v>0</v>
      </c>
      <c r="BE92" s="50">
        <v>0</v>
      </c>
      <c r="BF92" s="50">
        <f>92</f>
        <v>92</v>
      </c>
      <c r="BH92" s="50">
        <f t="shared" si="109"/>
        <v>0</v>
      </c>
      <c r="BI92" s="50">
        <f t="shared" si="110"/>
        <v>0</v>
      </c>
      <c r="BJ92" s="50">
        <f t="shared" si="111"/>
        <v>0</v>
      </c>
      <c r="BK92" s="50"/>
      <c r="BL92" s="50">
        <v>732</v>
      </c>
      <c r="BW92" s="50">
        <v>21</v>
      </c>
    </row>
    <row r="93" spans="1:75" ht="27" customHeight="1" x14ac:dyDescent="0.25">
      <c r="A93" s="36" t="s">
        <v>122</v>
      </c>
      <c r="B93" s="53" t="s">
        <v>149</v>
      </c>
      <c r="C93" s="68" t="s">
        <v>471</v>
      </c>
      <c r="D93" s="69"/>
      <c r="E93" s="53" t="s">
        <v>180</v>
      </c>
      <c r="F93" s="50">
        <v>1</v>
      </c>
      <c r="G93" s="50">
        <v>0</v>
      </c>
      <c r="H93" s="50">
        <f t="shared" si="90"/>
        <v>0</v>
      </c>
      <c r="I93" s="50">
        <f t="shared" si="91"/>
        <v>0</v>
      </c>
      <c r="J93" s="50">
        <f t="shared" si="92"/>
        <v>0</v>
      </c>
      <c r="K93" s="50">
        <v>5.0000000000000001E-3</v>
      </c>
      <c r="L93" s="29">
        <v>5.0000000000000001E-3</v>
      </c>
      <c r="Z93" s="50">
        <f t="shared" si="93"/>
        <v>0</v>
      </c>
      <c r="AB93" s="50">
        <f t="shared" si="94"/>
        <v>0</v>
      </c>
      <c r="AC93" s="50">
        <f t="shared" si="95"/>
        <v>0</v>
      </c>
      <c r="AD93" s="50">
        <f t="shared" si="96"/>
        <v>0</v>
      </c>
      <c r="AE93" s="50">
        <f t="shared" si="97"/>
        <v>0</v>
      </c>
      <c r="AF93" s="50">
        <f t="shared" si="98"/>
        <v>0</v>
      </c>
      <c r="AG93" s="50">
        <f t="shared" si="99"/>
        <v>0</v>
      </c>
      <c r="AH93" s="50">
        <f t="shared" si="100"/>
        <v>0</v>
      </c>
      <c r="AI93" s="57" t="s">
        <v>510</v>
      </c>
      <c r="AJ93" s="50">
        <f t="shared" si="101"/>
        <v>0</v>
      </c>
      <c r="AK93" s="50">
        <f t="shared" si="102"/>
        <v>0</v>
      </c>
      <c r="AL93" s="50">
        <f t="shared" si="103"/>
        <v>0</v>
      </c>
      <c r="AN93" s="50">
        <v>21</v>
      </c>
      <c r="AO93" s="50">
        <f>G93*1</f>
        <v>0</v>
      </c>
      <c r="AP93" s="50">
        <f>G93*(1-1)</f>
        <v>0</v>
      </c>
      <c r="AQ93" s="38" t="s">
        <v>731</v>
      </c>
      <c r="AV93" s="50">
        <f t="shared" si="104"/>
        <v>0</v>
      </c>
      <c r="AW93" s="50">
        <f t="shared" si="105"/>
        <v>0</v>
      </c>
      <c r="AX93" s="50">
        <f t="shared" si="106"/>
        <v>0</v>
      </c>
      <c r="AY93" s="38" t="s">
        <v>333</v>
      </c>
      <c r="AZ93" s="38" t="s">
        <v>679</v>
      </c>
      <c r="BA93" s="57" t="s">
        <v>571</v>
      </c>
      <c r="BC93" s="50">
        <f t="shared" si="107"/>
        <v>0</v>
      </c>
      <c r="BD93" s="50">
        <f t="shared" si="108"/>
        <v>0</v>
      </c>
      <c r="BE93" s="50">
        <v>0</v>
      </c>
      <c r="BF93" s="50">
        <f>93</f>
        <v>93</v>
      </c>
      <c r="BH93" s="50">
        <f t="shared" si="109"/>
        <v>0</v>
      </c>
      <c r="BI93" s="50">
        <f t="shared" si="110"/>
        <v>0</v>
      </c>
      <c r="BJ93" s="50">
        <f t="shared" si="111"/>
        <v>0</v>
      </c>
      <c r="BK93" s="50"/>
      <c r="BL93" s="50">
        <v>732</v>
      </c>
      <c r="BW93" s="50">
        <v>21</v>
      </c>
    </row>
    <row r="94" spans="1:75" ht="13.5" customHeight="1" x14ac:dyDescent="0.25">
      <c r="A94" s="36" t="s">
        <v>153</v>
      </c>
      <c r="B94" s="53" t="s">
        <v>642</v>
      </c>
      <c r="C94" s="68" t="s">
        <v>825</v>
      </c>
      <c r="D94" s="69"/>
      <c r="E94" s="53" t="s">
        <v>180</v>
      </c>
      <c r="F94" s="50">
        <v>1</v>
      </c>
      <c r="G94" s="50">
        <v>0</v>
      </c>
      <c r="H94" s="50">
        <f t="shared" si="90"/>
        <v>0</v>
      </c>
      <c r="I94" s="50">
        <f t="shared" si="91"/>
        <v>0</v>
      </c>
      <c r="J94" s="50">
        <f t="shared" si="92"/>
        <v>0</v>
      </c>
      <c r="K94" s="50">
        <v>5.9000000000000003E-4</v>
      </c>
      <c r="L94" s="29">
        <v>5.9000000000000003E-4</v>
      </c>
      <c r="Z94" s="50">
        <f t="shared" si="93"/>
        <v>0</v>
      </c>
      <c r="AB94" s="50">
        <f t="shared" si="94"/>
        <v>0</v>
      </c>
      <c r="AC94" s="50">
        <f t="shared" si="95"/>
        <v>0</v>
      </c>
      <c r="AD94" s="50">
        <f t="shared" si="96"/>
        <v>0</v>
      </c>
      <c r="AE94" s="50">
        <f t="shared" si="97"/>
        <v>0</v>
      </c>
      <c r="AF94" s="50">
        <f t="shared" si="98"/>
        <v>0</v>
      </c>
      <c r="AG94" s="50">
        <f t="shared" si="99"/>
        <v>0</v>
      </c>
      <c r="AH94" s="50">
        <f t="shared" si="100"/>
        <v>0</v>
      </c>
      <c r="AI94" s="57" t="s">
        <v>510</v>
      </c>
      <c r="AJ94" s="50">
        <f t="shared" si="101"/>
        <v>0</v>
      </c>
      <c r="AK94" s="50">
        <f t="shared" si="102"/>
        <v>0</v>
      </c>
      <c r="AL94" s="50">
        <f t="shared" si="103"/>
        <v>0</v>
      </c>
      <c r="AN94" s="50">
        <v>21</v>
      </c>
      <c r="AO94" s="50">
        <f>G94*0.288650137741047</f>
        <v>0</v>
      </c>
      <c r="AP94" s="50">
        <f>G94*(1-0.288650137741047)</f>
        <v>0</v>
      </c>
      <c r="AQ94" s="38" t="s">
        <v>731</v>
      </c>
      <c r="AV94" s="50">
        <f t="shared" si="104"/>
        <v>0</v>
      </c>
      <c r="AW94" s="50">
        <f t="shared" si="105"/>
        <v>0</v>
      </c>
      <c r="AX94" s="50">
        <f t="shared" si="106"/>
        <v>0</v>
      </c>
      <c r="AY94" s="38" t="s">
        <v>333</v>
      </c>
      <c r="AZ94" s="38" t="s">
        <v>679</v>
      </c>
      <c r="BA94" s="57" t="s">
        <v>571</v>
      </c>
      <c r="BC94" s="50">
        <f t="shared" si="107"/>
        <v>0</v>
      </c>
      <c r="BD94" s="50">
        <f t="shared" si="108"/>
        <v>0</v>
      </c>
      <c r="BE94" s="50">
        <v>0</v>
      </c>
      <c r="BF94" s="50">
        <f>94</f>
        <v>94</v>
      </c>
      <c r="BH94" s="50">
        <f t="shared" si="109"/>
        <v>0</v>
      </c>
      <c r="BI94" s="50">
        <f t="shared" si="110"/>
        <v>0</v>
      </c>
      <c r="BJ94" s="50">
        <f t="shared" si="111"/>
        <v>0</v>
      </c>
      <c r="BK94" s="50"/>
      <c r="BL94" s="50">
        <v>732</v>
      </c>
      <c r="BW94" s="50">
        <v>21</v>
      </c>
    </row>
    <row r="95" spans="1:75" ht="27" customHeight="1" x14ac:dyDescent="0.25">
      <c r="A95" s="36" t="s">
        <v>585</v>
      </c>
      <c r="B95" s="53" t="s">
        <v>460</v>
      </c>
      <c r="C95" s="68" t="s">
        <v>801</v>
      </c>
      <c r="D95" s="69"/>
      <c r="E95" s="53" t="s">
        <v>180</v>
      </c>
      <c r="F95" s="50">
        <v>1</v>
      </c>
      <c r="G95" s="50">
        <v>0</v>
      </c>
      <c r="H95" s="50">
        <f t="shared" si="90"/>
        <v>0</v>
      </c>
      <c r="I95" s="50">
        <f t="shared" si="91"/>
        <v>0</v>
      </c>
      <c r="J95" s="50">
        <f t="shared" si="92"/>
        <v>0</v>
      </c>
      <c r="K95" s="50">
        <v>1.0500000000000001E-2</v>
      </c>
      <c r="L95" s="29">
        <v>1.0500000000000001E-2</v>
      </c>
      <c r="Z95" s="50">
        <f t="shared" si="93"/>
        <v>0</v>
      </c>
      <c r="AB95" s="50">
        <f t="shared" si="94"/>
        <v>0</v>
      </c>
      <c r="AC95" s="50">
        <f t="shared" si="95"/>
        <v>0</v>
      </c>
      <c r="AD95" s="50">
        <f t="shared" si="96"/>
        <v>0</v>
      </c>
      <c r="AE95" s="50">
        <f t="shared" si="97"/>
        <v>0</v>
      </c>
      <c r="AF95" s="50">
        <f t="shared" si="98"/>
        <v>0</v>
      </c>
      <c r="AG95" s="50">
        <f t="shared" si="99"/>
        <v>0</v>
      </c>
      <c r="AH95" s="50">
        <f t="shared" si="100"/>
        <v>0</v>
      </c>
      <c r="AI95" s="57" t="s">
        <v>510</v>
      </c>
      <c r="AJ95" s="50">
        <f t="shared" si="101"/>
        <v>0</v>
      </c>
      <c r="AK95" s="50">
        <f t="shared" si="102"/>
        <v>0</v>
      </c>
      <c r="AL95" s="50">
        <f t="shared" si="103"/>
        <v>0</v>
      </c>
      <c r="AN95" s="50">
        <v>21</v>
      </c>
      <c r="AO95" s="50">
        <f>G95*1</f>
        <v>0</v>
      </c>
      <c r="AP95" s="50">
        <f>G95*(1-1)</f>
        <v>0</v>
      </c>
      <c r="AQ95" s="38" t="s">
        <v>731</v>
      </c>
      <c r="AV95" s="50">
        <f t="shared" si="104"/>
        <v>0</v>
      </c>
      <c r="AW95" s="50">
        <f t="shared" si="105"/>
        <v>0</v>
      </c>
      <c r="AX95" s="50">
        <f t="shared" si="106"/>
        <v>0</v>
      </c>
      <c r="AY95" s="38" t="s">
        <v>333</v>
      </c>
      <c r="AZ95" s="38" t="s">
        <v>679</v>
      </c>
      <c r="BA95" s="57" t="s">
        <v>571</v>
      </c>
      <c r="BC95" s="50">
        <f t="shared" si="107"/>
        <v>0</v>
      </c>
      <c r="BD95" s="50">
        <f t="shared" si="108"/>
        <v>0</v>
      </c>
      <c r="BE95" s="50">
        <v>0</v>
      </c>
      <c r="BF95" s="50">
        <f>95</f>
        <v>95</v>
      </c>
      <c r="BH95" s="50">
        <f t="shared" si="109"/>
        <v>0</v>
      </c>
      <c r="BI95" s="50">
        <f t="shared" si="110"/>
        <v>0</v>
      </c>
      <c r="BJ95" s="50">
        <f t="shared" si="111"/>
        <v>0</v>
      </c>
      <c r="BK95" s="50"/>
      <c r="BL95" s="50">
        <v>732</v>
      </c>
      <c r="BW95" s="50">
        <v>21</v>
      </c>
    </row>
    <row r="96" spans="1:75" ht="13.5" customHeight="1" x14ac:dyDescent="0.25">
      <c r="A96" s="36" t="s">
        <v>57</v>
      </c>
      <c r="B96" s="53" t="s">
        <v>779</v>
      </c>
      <c r="C96" s="68" t="s">
        <v>617</v>
      </c>
      <c r="D96" s="69"/>
      <c r="E96" s="53" t="s">
        <v>180</v>
      </c>
      <c r="F96" s="50">
        <v>1</v>
      </c>
      <c r="G96" s="50">
        <v>0</v>
      </c>
      <c r="H96" s="50">
        <f t="shared" si="90"/>
        <v>0</v>
      </c>
      <c r="I96" s="50">
        <f t="shared" si="91"/>
        <v>0</v>
      </c>
      <c r="J96" s="50">
        <f t="shared" si="92"/>
        <v>0</v>
      </c>
      <c r="K96" s="50">
        <v>2.4719999999999999E-2</v>
      </c>
      <c r="L96" s="29">
        <v>2.4719999999999999E-2</v>
      </c>
      <c r="Z96" s="50">
        <f t="shared" si="93"/>
        <v>0</v>
      </c>
      <c r="AB96" s="50">
        <f t="shared" si="94"/>
        <v>0</v>
      </c>
      <c r="AC96" s="50">
        <f t="shared" si="95"/>
        <v>0</v>
      </c>
      <c r="AD96" s="50">
        <f t="shared" si="96"/>
        <v>0</v>
      </c>
      <c r="AE96" s="50">
        <f t="shared" si="97"/>
        <v>0</v>
      </c>
      <c r="AF96" s="50">
        <f t="shared" si="98"/>
        <v>0</v>
      </c>
      <c r="AG96" s="50">
        <f t="shared" si="99"/>
        <v>0</v>
      </c>
      <c r="AH96" s="50">
        <f t="shared" si="100"/>
        <v>0</v>
      </c>
      <c r="AI96" s="57" t="s">
        <v>510</v>
      </c>
      <c r="AJ96" s="50">
        <f t="shared" si="101"/>
        <v>0</v>
      </c>
      <c r="AK96" s="50">
        <f t="shared" si="102"/>
        <v>0</v>
      </c>
      <c r="AL96" s="50">
        <f t="shared" si="103"/>
        <v>0</v>
      </c>
      <c r="AN96" s="50">
        <v>21</v>
      </c>
      <c r="AO96" s="50">
        <f>G96*0.991428450787485</f>
        <v>0</v>
      </c>
      <c r="AP96" s="50">
        <f>G96*(1-0.991428450787485)</f>
        <v>0</v>
      </c>
      <c r="AQ96" s="38" t="s">
        <v>731</v>
      </c>
      <c r="AV96" s="50">
        <f t="shared" si="104"/>
        <v>0</v>
      </c>
      <c r="AW96" s="50">
        <f t="shared" si="105"/>
        <v>0</v>
      </c>
      <c r="AX96" s="50">
        <f t="shared" si="106"/>
        <v>0</v>
      </c>
      <c r="AY96" s="38" t="s">
        <v>333</v>
      </c>
      <c r="AZ96" s="38" t="s">
        <v>679</v>
      </c>
      <c r="BA96" s="57" t="s">
        <v>571</v>
      </c>
      <c r="BC96" s="50">
        <f t="shared" si="107"/>
        <v>0</v>
      </c>
      <c r="BD96" s="50">
        <f t="shared" si="108"/>
        <v>0</v>
      </c>
      <c r="BE96" s="50">
        <v>0</v>
      </c>
      <c r="BF96" s="50">
        <f>96</f>
        <v>96</v>
      </c>
      <c r="BH96" s="50">
        <f t="shared" si="109"/>
        <v>0</v>
      </c>
      <c r="BI96" s="50">
        <f t="shared" si="110"/>
        <v>0</v>
      </c>
      <c r="BJ96" s="50">
        <f t="shared" si="111"/>
        <v>0</v>
      </c>
      <c r="BK96" s="50"/>
      <c r="BL96" s="50">
        <v>732</v>
      </c>
      <c r="BW96" s="50">
        <v>21</v>
      </c>
    </row>
    <row r="97" spans="1:75" ht="15" customHeight="1" x14ac:dyDescent="0.25">
      <c r="A97" s="66"/>
      <c r="C97" s="60" t="s">
        <v>725</v>
      </c>
      <c r="D97" s="60" t="s">
        <v>244</v>
      </c>
      <c r="F97" s="42">
        <v>1</v>
      </c>
      <c r="L97" s="52"/>
    </row>
    <row r="98" spans="1:75" ht="15" customHeight="1" x14ac:dyDescent="0.25">
      <c r="A98" s="47" t="s">
        <v>510</v>
      </c>
      <c r="B98" s="35" t="s">
        <v>748</v>
      </c>
      <c r="C98" s="70" t="s">
        <v>627</v>
      </c>
      <c r="D98" s="71"/>
      <c r="E98" s="1" t="s">
        <v>686</v>
      </c>
      <c r="F98" s="1" t="s">
        <v>686</v>
      </c>
      <c r="G98" s="1" t="s">
        <v>686</v>
      </c>
      <c r="H98" s="5">
        <f>SUM(H99:H106)</f>
        <v>0</v>
      </c>
      <c r="I98" s="5">
        <f>SUM(I99:I106)</f>
        <v>0</v>
      </c>
      <c r="J98" s="5">
        <f>SUM(J99:J106)</f>
        <v>0</v>
      </c>
      <c r="K98" s="57" t="s">
        <v>510</v>
      </c>
      <c r="L98" s="7" t="s">
        <v>510</v>
      </c>
      <c r="AI98" s="57" t="s">
        <v>510</v>
      </c>
      <c r="AS98" s="5">
        <f>SUM(AJ99:AJ106)</f>
        <v>0</v>
      </c>
      <c r="AT98" s="5">
        <f>SUM(AK99:AK106)</f>
        <v>0</v>
      </c>
      <c r="AU98" s="5">
        <f>SUM(AL99:AL106)</f>
        <v>0</v>
      </c>
    </row>
    <row r="99" spans="1:75" ht="13.5" customHeight="1" x14ac:dyDescent="0.25">
      <c r="A99" s="36" t="s">
        <v>577</v>
      </c>
      <c r="B99" s="53" t="s">
        <v>814</v>
      </c>
      <c r="C99" s="68" t="s">
        <v>143</v>
      </c>
      <c r="D99" s="69"/>
      <c r="E99" s="53" t="s">
        <v>618</v>
      </c>
      <c r="F99" s="50">
        <v>40</v>
      </c>
      <c r="G99" s="50">
        <v>0</v>
      </c>
      <c r="H99" s="50">
        <f t="shared" ref="H99:H106" si="112">F99*AO99</f>
        <v>0</v>
      </c>
      <c r="I99" s="50">
        <f t="shared" ref="I99:I106" si="113">F99*AP99</f>
        <v>0</v>
      </c>
      <c r="J99" s="50">
        <f t="shared" ref="J99:J106" si="114">F99*G99</f>
        <v>0</v>
      </c>
      <c r="K99" s="50">
        <v>9.0000000000000006E-5</v>
      </c>
      <c r="L99" s="29">
        <v>8.6700000000000006E-3</v>
      </c>
      <c r="Z99" s="50">
        <f t="shared" ref="Z99:Z106" si="115">IF(AQ99="5",BJ99,0)</f>
        <v>0</v>
      </c>
      <c r="AB99" s="50">
        <f t="shared" ref="AB99:AB106" si="116">IF(AQ99="1",BH99,0)</f>
        <v>0</v>
      </c>
      <c r="AC99" s="50">
        <f t="shared" ref="AC99:AC106" si="117">IF(AQ99="1",BI99,0)</f>
        <v>0</v>
      </c>
      <c r="AD99" s="50">
        <f t="shared" ref="AD99:AD106" si="118">IF(AQ99="7",BH99,0)</f>
        <v>0</v>
      </c>
      <c r="AE99" s="50">
        <f t="shared" ref="AE99:AE106" si="119">IF(AQ99="7",BI99,0)</f>
        <v>0</v>
      </c>
      <c r="AF99" s="50">
        <f t="shared" ref="AF99:AF106" si="120">IF(AQ99="2",BH99,0)</f>
        <v>0</v>
      </c>
      <c r="AG99" s="50">
        <f t="shared" ref="AG99:AG106" si="121">IF(AQ99="2",BI99,0)</f>
        <v>0</v>
      </c>
      <c r="AH99" s="50">
        <f t="shared" ref="AH99:AH106" si="122">IF(AQ99="0",BJ99,0)</f>
        <v>0</v>
      </c>
      <c r="AI99" s="57" t="s">
        <v>510</v>
      </c>
      <c r="AJ99" s="50">
        <f t="shared" ref="AJ99:AJ106" si="123">IF(AN99=0,J99,0)</f>
        <v>0</v>
      </c>
      <c r="AK99" s="50">
        <f t="shared" ref="AK99:AK106" si="124">IF(AN99=15,J99,0)</f>
        <v>0</v>
      </c>
      <c r="AL99" s="50">
        <f t="shared" ref="AL99:AL106" si="125">IF(AN99=21,J99,0)</f>
        <v>0</v>
      </c>
      <c r="AN99" s="50">
        <v>21</v>
      </c>
      <c r="AO99" s="50">
        <f>G99*0.303803835271927</f>
        <v>0</v>
      </c>
      <c r="AP99" s="50">
        <f>G99*(1-0.303803835271927)</f>
        <v>0</v>
      </c>
      <c r="AQ99" s="38" t="s">
        <v>731</v>
      </c>
      <c r="AV99" s="50">
        <f t="shared" ref="AV99:AV106" si="126">AW99+AX99</f>
        <v>0</v>
      </c>
      <c r="AW99" s="50">
        <f t="shared" ref="AW99:AW106" si="127">F99*AO99</f>
        <v>0</v>
      </c>
      <c r="AX99" s="50">
        <f t="shared" ref="AX99:AX106" si="128">F99*AP99</f>
        <v>0</v>
      </c>
      <c r="AY99" s="38" t="s">
        <v>66</v>
      </c>
      <c r="AZ99" s="38" t="s">
        <v>679</v>
      </c>
      <c r="BA99" s="57" t="s">
        <v>571</v>
      </c>
      <c r="BC99" s="50">
        <f t="shared" ref="BC99:BC106" si="129">AW99+AX99</f>
        <v>0</v>
      </c>
      <c r="BD99" s="50">
        <f t="shared" ref="BD99:BD106" si="130">G99/(100-BE99)*100</f>
        <v>0</v>
      </c>
      <c r="BE99" s="50">
        <v>0</v>
      </c>
      <c r="BF99" s="50">
        <f>99</f>
        <v>99</v>
      </c>
      <c r="BH99" s="50">
        <f t="shared" ref="BH99:BH106" si="131">F99*AO99</f>
        <v>0</v>
      </c>
      <c r="BI99" s="50">
        <f t="shared" ref="BI99:BI106" si="132">F99*AP99</f>
        <v>0</v>
      </c>
      <c r="BJ99" s="50">
        <f t="shared" ref="BJ99:BJ106" si="133">F99*G99</f>
        <v>0</v>
      </c>
      <c r="BK99" s="50"/>
      <c r="BL99" s="50">
        <v>733</v>
      </c>
      <c r="BW99" s="50">
        <v>21</v>
      </c>
    </row>
    <row r="100" spans="1:75" ht="13.5" customHeight="1" x14ac:dyDescent="0.25">
      <c r="A100" s="36" t="s">
        <v>453</v>
      </c>
      <c r="B100" s="53" t="s">
        <v>8</v>
      </c>
      <c r="C100" s="68" t="s">
        <v>347</v>
      </c>
      <c r="D100" s="69"/>
      <c r="E100" s="53" t="s">
        <v>618</v>
      </c>
      <c r="F100" s="50">
        <v>20</v>
      </c>
      <c r="G100" s="50">
        <v>0</v>
      </c>
      <c r="H100" s="50">
        <f t="shared" si="112"/>
        <v>0</v>
      </c>
      <c r="I100" s="50">
        <f t="shared" si="113"/>
        <v>0</v>
      </c>
      <c r="J100" s="50">
        <f t="shared" si="114"/>
        <v>0</v>
      </c>
      <c r="K100" s="50">
        <v>1.362E-2</v>
      </c>
      <c r="L100" s="29">
        <v>1.362E-2</v>
      </c>
      <c r="Z100" s="50">
        <f t="shared" si="115"/>
        <v>0</v>
      </c>
      <c r="AB100" s="50">
        <f t="shared" si="116"/>
        <v>0</v>
      </c>
      <c r="AC100" s="50">
        <f t="shared" si="117"/>
        <v>0</v>
      </c>
      <c r="AD100" s="50">
        <f t="shared" si="118"/>
        <v>0</v>
      </c>
      <c r="AE100" s="50">
        <f t="shared" si="119"/>
        <v>0</v>
      </c>
      <c r="AF100" s="50">
        <f t="shared" si="120"/>
        <v>0</v>
      </c>
      <c r="AG100" s="50">
        <f t="shared" si="121"/>
        <v>0</v>
      </c>
      <c r="AH100" s="50">
        <f t="shared" si="122"/>
        <v>0</v>
      </c>
      <c r="AI100" s="57" t="s">
        <v>510</v>
      </c>
      <c r="AJ100" s="50">
        <f t="shared" si="123"/>
        <v>0</v>
      </c>
      <c r="AK100" s="50">
        <f t="shared" si="124"/>
        <v>0</v>
      </c>
      <c r="AL100" s="50">
        <f t="shared" si="125"/>
        <v>0</v>
      </c>
      <c r="AN100" s="50">
        <v>21</v>
      </c>
      <c r="AO100" s="50">
        <f>G100*0.708904306220096</f>
        <v>0</v>
      </c>
      <c r="AP100" s="50">
        <f>G100*(1-0.708904306220096)</f>
        <v>0</v>
      </c>
      <c r="AQ100" s="38" t="s">
        <v>731</v>
      </c>
      <c r="AV100" s="50">
        <f t="shared" si="126"/>
        <v>0</v>
      </c>
      <c r="AW100" s="50">
        <f t="shared" si="127"/>
        <v>0</v>
      </c>
      <c r="AX100" s="50">
        <f t="shared" si="128"/>
        <v>0</v>
      </c>
      <c r="AY100" s="38" t="s">
        <v>66</v>
      </c>
      <c r="AZ100" s="38" t="s">
        <v>679</v>
      </c>
      <c r="BA100" s="57" t="s">
        <v>571</v>
      </c>
      <c r="BC100" s="50">
        <f t="shared" si="129"/>
        <v>0</v>
      </c>
      <c r="BD100" s="50">
        <f t="shared" si="130"/>
        <v>0</v>
      </c>
      <c r="BE100" s="50">
        <v>0</v>
      </c>
      <c r="BF100" s="50">
        <f>100</f>
        <v>100</v>
      </c>
      <c r="BH100" s="50">
        <f t="shared" si="131"/>
        <v>0</v>
      </c>
      <c r="BI100" s="50">
        <f t="shared" si="132"/>
        <v>0</v>
      </c>
      <c r="BJ100" s="50">
        <f t="shared" si="133"/>
        <v>0</v>
      </c>
      <c r="BK100" s="50"/>
      <c r="BL100" s="50">
        <v>733</v>
      </c>
      <c r="BW100" s="50">
        <v>21</v>
      </c>
    </row>
    <row r="101" spans="1:75" ht="13.5" customHeight="1" x14ac:dyDescent="0.25">
      <c r="A101" s="36" t="s">
        <v>736</v>
      </c>
      <c r="B101" s="53" t="s">
        <v>572</v>
      </c>
      <c r="C101" s="68" t="s">
        <v>765</v>
      </c>
      <c r="D101" s="69"/>
      <c r="E101" s="53" t="s">
        <v>618</v>
      </c>
      <c r="F101" s="50">
        <v>6</v>
      </c>
      <c r="G101" s="50">
        <v>0</v>
      </c>
      <c r="H101" s="50">
        <f t="shared" si="112"/>
        <v>0</v>
      </c>
      <c r="I101" s="50">
        <f t="shared" si="113"/>
        <v>0</v>
      </c>
      <c r="J101" s="50">
        <f t="shared" si="114"/>
        <v>0</v>
      </c>
      <c r="K101" s="50">
        <v>1.03E-2</v>
      </c>
      <c r="L101" s="29">
        <v>1.03E-2</v>
      </c>
      <c r="Z101" s="50">
        <f t="shared" si="115"/>
        <v>0</v>
      </c>
      <c r="AB101" s="50">
        <f t="shared" si="116"/>
        <v>0</v>
      </c>
      <c r="AC101" s="50">
        <f t="shared" si="117"/>
        <v>0</v>
      </c>
      <c r="AD101" s="50">
        <f t="shared" si="118"/>
        <v>0</v>
      </c>
      <c r="AE101" s="50">
        <f t="shared" si="119"/>
        <v>0</v>
      </c>
      <c r="AF101" s="50">
        <f t="shared" si="120"/>
        <v>0</v>
      </c>
      <c r="AG101" s="50">
        <f t="shared" si="121"/>
        <v>0</v>
      </c>
      <c r="AH101" s="50">
        <f t="shared" si="122"/>
        <v>0</v>
      </c>
      <c r="AI101" s="57" t="s">
        <v>510</v>
      </c>
      <c r="AJ101" s="50">
        <f t="shared" si="123"/>
        <v>0</v>
      </c>
      <c r="AK101" s="50">
        <f t="shared" si="124"/>
        <v>0</v>
      </c>
      <c r="AL101" s="50">
        <f t="shared" si="125"/>
        <v>0</v>
      </c>
      <c r="AN101" s="50">
        <v>21</v>
      </c>
      <c r="AO101" s="50">
        <f>G101*0.629849315068493</f>
        <v>0</v>
      </c>
      <c r="AP101" s="50">
        <f>G101*(1-0.629849315068493)</f>
        <v>0</v>
      </c>
      <c r="AQ101" s="38" t="s">
        <v>731</v>
      </c>
      <c r="AV101" s="50">
        <f t="shared" si="126"/>
        <v>0</v>
      </c>
      <c r="AW101" s="50">
        <f t="shared" si="127"/>
        <v>0</v>
      </c>
      <c r="AX101" s="50">
        <f t="shared" si="128"/>
        <v>0</v>
      </c>
      <c r="AY101" s="38" t="s">
        <v>66</v>
      </c>
      <c r="AZ101" s="38" t="s">
        <v>679</v>
      </c>
      <c r="BA101" s="57" t="s">
        <v>571</v>
      </c>
      <c r="BC101" s="50">
        <f t="shared" si="129"/>
        <v>0</v>
      </c>
      <c r="BD101" s="50">
        <f t="shared" si="130"/>
        <v>0</v>
      </c>
      <c r="BE101" s="50">
        <v>0</v>
      </c>
      <c r="BF101" s="50">
        <f>101</f>
        <v>101</v>
      </c>
      <c r="BH101" s="50">
        <f t="shared" si="131"/>
        <v>0</v>
      </c>
      <c r="BI101" s="50">
        <f t="shared" si="132"/>
        <v>0</v>
      </c>
      <c r="BJ101" s="50">
        <f t="shared" si="133"/>
        <v>0</v>
      </c>
      <c r="BK101" s="50"/>
      <c r="BL101" s="50">
        <v>733</v>
      </c>
      <c r="BW101" s="50">
        <v>21</v>
      </c>
    </row>
    <row r="102" spans="1:75" ht="13.5" customHeight="1" x14ac:dyDescent="0.25">
      <c r="A102" s="36" t="s">
        <v>684</v>
      </c>
      <c r="B102" s="53" t="s">
        <v>252</v>
      </c>
      <c r="C102" s="68" t="s">
        <v>120</v>
      </c>
      <c r="D102" s="69"/>
      <c r="E102" s="53" t="s">
        <v>618</v>
      </c>
      <c r="F102" s="50">
        <v>6</v>
      </c>
      <c r="G102" s="50">
        <v>0</v>
      </c>
      <c r="H102" s="50">
        <f t="shared" si="112"/>
        <v>0</v>
      </c>
      <c r="I102" s="50">
        <f t="shared" si="113"/>
        <v>0</v>
      </c>
      <c r="J102" s="50">
        <f t="shared" si="114"/>
        <v>0</v>
      </c>
      <c r="K102" s="50">
        <v>7.8300000000000002E-3</v>
      </c>
      <c r="L102" s="29">
        <v>7.8300000000000002E-3</v>
      </c>
      <c r="Z102" s="50">
        <f t="shared" si="115"/>
        <v>0</v>
      </c>
      <c r="AB102" s="50">
        <f t="shared" si="116"/>
        <v>0</v>
      </c>
      <c r="AC102" s="50">
        <f t="shared" si="117"/>
        <v>0</v>
      </c>
      <c r="AD102" s="50">
        <f t="shared" si="118"/>
        <v>0</v>
      </c>
      <c r="AE102" s="50">
        <f t="shared" si="119"/>
        <v>0</v>
      </c>
      <c r="AF102" s="50">
        <f t="shared" si="120"/>
        <v>0</v>
      </c>
      <c r="AG102" s="50">
        <f t="shared" si="121"/>
        <v>0</v>
      </c>
      <c r="AH102" s="50">
        <f t="shared" si="122"/>
        <v>0</v>
      </c>
      <c r="AI102" s="57" t="s">
        <v>510</v>
      </c>
      <c r="AJ102" s="50">
        <f t="shared" si="123"/>
        <v>0</v>
      </c>
      <c r="AK102" s="50">
        <f t="shared" si="124"/>
        <v>0</v>
      </c>
      <c r="AL102" s="50">
        <f t="shared" si="125"/>
        <v>0</v>
      </c>
      <c r="AN102" s="50">
        <v>21</v>
      </c>
      <c r="AO102" s="50">
        <f>G102*0.583676333021515</f>
        <v>0</v>
      </c>
      <c r="AP102" s="50">
        <f>G102*(1-0.583676333021515)</f>
        <v>0</v>
      </c>
      <c r="AQ102" s="38" t="s">
        <v>731</v>
      </c>
      <c r="AV102" s="50">
        <f t="shared" si="126"/>
        <v>0</v>
      </c>
      <c r="AW102" s="50">
        <f t="shared" si="127"/>
        <v>0</v>
      </c>
      <c r="AX102" s="50">
        <f t="shared" si="128"/>
        <v>0</v>
      </c>
      <c r="AY102" s="38" t="s">
        <v>66</v>
      </c>
      <c r="AZ102" s="38" t="s">
        <v>679</v>
      </c>
      <c r="BA102" s="57" t="s">
        <v>571</v>
      </c>
      <c r="BC102" s="50">
        <f t="shared" si="129"/>
        <v>0</v>
      </c>
      <c r="BD102" s="50">
        <f t="shared" si="130"/>
        <v>0</v>
      </c>
      <c r="BE102" s="50">
        <v>0</v>
      </c>
      <c r="BF102" s="50">
        <f>102</f>
        <v>102</v>
      </c>
      <c r="BH102" s="50">
        <f t="shared" si="131"/>
        <v>0</v>
      </c>
      <c r="BI102" s="50">
        <f t="shared" si="132"/>
        <v>0</v>
      </c>
      <c r="BJ102" s="50">
        <f t="shared" si="133"/>
        <v>0</v>
      </c>
      <c r="BK102" s="50"/>
      <c r="BL102" s="50">
        <v>733</v>
      </c>
      <c r="BW102" s="50">
        <v>21</v>
      </c>
    </row>
    <row r="103" spans="1:75" ht="13.5" customHeight="1" x14ac:dyDescent="0.25">
      <c r="A103" s="36" t="s">
        <v>495</v>
      </c>
      <c r="B103" s="53" t="s">
        <v>452</v>
      </c>
      <c r="C103" s="68" t="s">
        <v>45</v>
      </c>
      <c r="D103" s="69"/>
      <c r="E103" s="53" t="s">
        <v>618</v>
      </c>
      <c r="F103" s="50">
        <v>10</v>
      </c>
      <c r="G103" s="50">
        <v>0</v>
      </c>
      <c r="H103" s="50">
        <f t="shared" si="112"/>
        <v>0</v>
      </c>
      <c r="I103" s="50">
        <f t="shared" si="113"/>
        <v>0</v>
      </c>
      <c r="J103" s="50">
        <f t="shared" si="114"/>
        <v>0</v>
      </c>
      <c r="K103" s="50">
        <v>7.1599999999999997E-3</v>
      </c>
      <c r="L103" s="29">
        <v>7.1599999999999997E-3</v>
      </c>
      <c r="Z103" s="50">
        <f t="shared" si="115"/>
        <v>0</v>
      </c>
      <c r="AB103" s="50">
        <f t="shared" si="116"/>
        <v>0</v>
      </c>
      <c r="AC103" s="50">
        <f t="shared" si="117"/>
        <v>0</v>
      </c>
      <c r="AD103" s="50">
        <f t="shared" si="118"/>
        <v>0</v>
      </c>
      <c r="AE103" s="50">
        <f t="shared" si="119"/>
        <v>0</v>
      </c>
      <c r="AF103" s="50">
        <f t="shared" si="120"/>
        <v>0</v>
      </c>
      <c r="AG103" s="50">
        <f t="shared" si="121"/>
        <v>0</v>
      </c>
      <c r="AH103" s="50">
        <f t="shared" si="122"/>
        <v>0</v>
      </c>
      <c r="AI103" s="57" t="s">
        <v>510</v>
      </c>
      <c r="AJ103" s="50">
        <f t="shared" si="123"/>
        <v>0</v>
      </c>
      <c r="AK103" s="50">
        <f t="shared" si="124"/>
        <v>0</v>
      </c>
      <c r="AL103" s="50">
        <f t="shared" si="125"/>
        <v>0</v>
      </c>
      <c r="AN103" s="50">
        <v>21</v>
      </c>
      <c r="AO103" s="50">
        <f>G103*0.528709302325581</f>
        <v>0</v>
      </c>
      <c r="AP103" s="50">
        <f>G103*(1-0.528709302325581)</f>
        <v>0</v>
      </c>
      <c r="AQ103" s="38" t="s">
        <v>731</v>
      </c>
      <c r="AV103" s="50">
        <f t="shared" si="126"/>
        <v>0</v>
      </c>
      <c r="AW103" s="50">
        <f t="shared" si="127"/>
        <v>0</v>
      </c>
      <c r="AX103" s="50">
        <f t="shared" si="128"/>
        <v>0</v>
      </c>
      <c r="AY103" s="38" t="s">
        <v>66</v>
      </c>
      <c r="AZ103" s="38" t="s">
        <v>679</v>
      </c>
      <c r="BA103" s="57" t="s">
        <v>571</v>
      </c>
      <c r="BC103" s="50">
        <f t="shared" si="129"/>
        <v>0</v>
      </c>
      <c r="BD103" s="50">
        <f t="shared" si="130"/>
        <v>0</v>
      </c>
      <c r="BE103" s="50">
        <v>0</v>
      </c>
      <c r="BF103" s="50">
        <f>103</f>
        <v>103</v>
      </c>
      <c r="BH103" s="50">
        <f t="shared" si="131"/>
        <v>0</v>
      </c>
      <c r="BI103" s="50">
        <f t="shared" si="132"/>
        <v>0</v>
      </c>
      <c r="BJ103" s="50">
        <f t="shared" si="133"/>
        <v>0</v>
      </c>
      <c r="BK103" s="50"/>
      <c r="BL103" s="50">
        <v>733</v>
      </c>
      <c r="BW103" s="50">
        <v>21</v>
      </c>
    </row>
    <row r="104" spans="1:75" ht="13.5" customHeight="1" x14ac:dyDescent="0.25">
      <c r="A104" s="36" t="s">
        <v>373</v>
      </c>
      <c r="B104" s="53" t="s">
        <v>536</v>
      </c>
      <c r="C104" s="68" t="s">
        <v>771</v>
      </c>
      <c r="D104" s="69"/>
      <c r="E104" s="53" t="s">
        <v>180</v>
      </c>
      <c r="F104" s="50">
        <v>4</v>
      </c>
      <c r="G104" s="50">
        <v>0</v>
      </c>
      <c r="H104" s="50">
        <f t="shared" si="112"/>
        <v>0</v>
      </c>
      <c r="I104" s="50">
        <f t="shared" si="113"/>
        <v>0</v>
      </c>
      <c r="J104" s="50">
        <f t="shared" si="114"/>
        <v>0</v>
      </c>
      <c r="K104" s="50">
        <v>0</v>
      </c>
      <c r="L104" s="29">
        <v>0</v>
      </c>
      <c r="Z104" s="50">
        <f t="shared" si="115"/>
        <v>0</v>
      </c>
      <c r="AB104" s="50">
        <f t="shared" si="116"/>
        <v>0</v>
      </c>
      <c r="AC104" s="50">
        <f t="shared" si="117"/>
        <v>0</v>
      </c>
      <c r="AD104" s="50">
        <f t="shared" si="118"/>
        <v>0</v>
      </c>
      <c r="AE104" s="50">
        <f t="shared" si="119"/>
        <v>0</v>
      </c>
      <c r="AF104" s="50">
        <f t="shared" si="120"/>
        <v>0</v>
      </c>
      <c r="AG104" s="50">
        <f t="shared" si="121"/>
        <v>0</v>
      </c>
      <c r="AH104" s="50">
        <f t="shared" si="122"/>
        <v>0</v>
      </c>
      <c r="AI104" s="57" t="s">
        <v>510</v>
      </c>
      <c r="AJ104" s="50">
        <f t="shared" si="123"/>
        <v>0</v>
      </c>
      <c r="AK104" s="50">
        <f t="shared" si="124"/>
        <v>0</v>
      </c>
      <c r="AL104" s="50">
        <f t="shared" si="125"/>
        <v>0</v>
      </c>
      <c r="AN104" s="50">
        <v>21</v>
      </c>
      <c r="AO104" s="50">
        <f>G104*0</f>
        <v>0</v>
      </c>
      <c r="AP104" s="50">
        <f>G104*(1-0)</f>
        <v>0</v>
      </c>
      <c r="AQ104" s="38" t="s">
        <v>731</v>
      </c>
      <c r="AV104" s="50">
        <f t="shared" si="126"/>
        <v>0</v>
      </c>
      <c r="AW104" s="50">
        <f t="shared" si="127"/>
        <v>0</v>
      </c>
      <c r="AX104" s="50">
        <f t="shared" si="128"/>
        <v>0</v>
      </c>
      <c r="AY104" s="38" t="s">
        <v>66</v>
      </c>
      <c r="AZ104" s="38" t="s">
        <v>679</v>
      </c>
      <c r="BA104" s="57" t="s">
        <v>571</v>
      </c>
      <c r="BC104" s="50">
        <f t="shared" si="129"/>
        <v>0</v>
      </c>
      <c r="BD104" s="50">
        <f t="shared" si="130"/>
        <v>0</v>
      </c>
      <c r="BE104" s="50">
        <v>0</v>
      </c>
      <c r="BF104" s="50">
        <f>104</f>
        <v>104</v>
      </c>
      <c r="BH104" s="50">
        <f t="shared" si="131"/>
        <v>0</v>
      </c>
      <c r="BI104" s="50">
        <f t="shared" si="132"/>
        <v>0</v>
      </c>
      <c r="BJ104" s="50">
        <f t="shared" si="133"/>
        <v>0</v>
      </c>
      <c r="BK104" s="50"/>
      <c r="BL104" s="50">
        <v>733</v>
      </c>
      <c r="BW104" s="50">
        <v>21</v>
      </c>
    </row>
    <row r="105" spans="1:75" ht="13.5" customHeight="1" x14ac:dyDescent="0.25">
      <c r="A105" s="36" t="s">
        <v>159</v>
      </c>
      <c r="B105" s="53" t="s">
        <v>44</v>
      </c>
      <c r="C105" s="68" t="s">
        <v>349</v>
      </c>
      <c r="D105" s="69"/>
      <c r="E105" s="53" t="s">
        <v>180</v>
      </c>
      <c r="F105" s="50">
        <v>3</v>
      </c>
      <c r="G105" s="50">
        <v>0</v>
      </c>
      <c r="H105" s="50">
        <f t="shared" si="112"/>
        <v>0</v>
      </c>
      <c r="I105" s="50">
        <f t="shared" si="113"/>
        <v>0</v>
      </c>
      <c r="J105" s="50">
        <f t="shared" si="114"/>
        <v>0</v>
      </c>
      <c r="K105" s="50">
        <v>1.15E-3</v>
      </c>
      <c r="L105" s="29">
        <v>1.15E-3</v>
      </c>
      <c r="Z105" s="50">
        <f t="shared" si="115"/>
        <v>0</v>
      </c>
      <c r="AB105" s="50">
        <f t="shared" si="116"/>
        <v>0</v>
      </c>
      <c r="AC105" s="50">
        <f t="shared" si="117"/>
        <v>0</v>
      </c>
      <c r="AD105" s="50">
        <f t="shared" si="118"/>
        <v>0</v>
      </c>
      <c r="AE105" s="50">
        <f t="shared" si="119"/>
        <v>0</v>
      </c>
      <c r="AF105" s="50">
        <f t="shared" si="120"/>
        <v>0</v>
      </c>
      <c r="AG105" s="50">
        <f t="shared" si="121"/>
        <v>0</v>
      </c>
      <c r="AH105" s="50">
        <f t="shared" si="122"/>
        <v>0</v>
      </c>
      <c r="AI105" s="57" t="s">
        <v>510</v>
      </c>
      <c r="AJ105" s="50">
        <f t="shared" si="123"/>
        <v>0</v>
      </c>
      <c r="AK105" s="50">
        <f t="shared" si="124"/>
        <v>0</v>
      </c>
      <c r="AL105" s="50">
        <f t="shared" si="125"/>
        <v>0</v>
      </c>
      <c r="AN105" s="50">
        <v>21</v>
      </c>
      <c r="AO105" s="50">
        <f>G105*0.513337393422655</f>
        <v>0</v>
      </c>
      <c r="AP105" s="50">
        <f>G105*(1-0.513337393422655)</f>
        <v>0</v>
      </c>
      <c r="AQ105" s="38" t="s">
        <v>731</v>
      </c>
      <c r="AV105" s="50">
        <f t="shared" si="126"/>
        <v>0</v>
      </c>
      <c r="AW105" s="50">
        <f t="shared" si="127"/>
        <v>0</v>
      </c>
      <c r="AX105" s="50">
        <f t="shared" si="128"/>
        <v>0</v>
      </c>
      <c r="AY105" s="38" t="s">
        <v>66</v>
      </c>
      <c r="AZ105" s="38" t="s">
        <v>679</v>
      </c>
      <c r="BA105" s="57" t="s">
        <v>571</v>
      </c>
      <c r="BC105" s="50">
        <f t="shared" si="129"/>
        <v>0</v>
      </c>
      <c r="BD105" s="50">
        <f t="shared" si="130"/>
        <v>0</v>
      </c>
      <c r="BE105" s="50">
        <v>0</v>
      </c>
      <c r="BF105" s="50">
        <f>105</f>
        <v>105</v>
      </c>
      <c r="BH105" s="50">
        <f t="shared" si="131"/>
        <v>0</v>
      </c>
      <c r="BI105" s="50">
        <f t="shared" si="132"/>
        <v>0</v>
      </c>
      <c r="BJ105" s="50">
        <f t="shared" si="133"/>
        <v>0</v>
      </c>
      <c r="BK105" s="50"/>
      <c r="BL105" s="50">
        <v>733</v>
      </c>
      <c r="BW105" s="50">
        <v>21</v>
      </c>
    </row>
    <row r="106" spans="1:75" ht="13.5" customHeight="1" x14ac:dyDescent="0.25">
      <c r="A106" s="36" t="s">
        <v>56</v>
      </c>
      <c r="B106" s="53" t="s">
        <v>22</v>
      </c>
      <c r="C106" s="68" t="s">
        <v>763</v>
      </c>
      <c r="D106" s="69"/>
      <c r="E106" s="53" t="s">
        <v>618</v>
      </c>
      <c r="F106" s="50">
        <v>18</v>
      </c>
      <c r="G106" s="50">
        <v>0</v>
      </c>
      <c r="H106" s="50">
        <f t="shared" si="112"/>
        <v>0</v>
      </c>
      <c r="I106" s="50">
        <f t="shared" si="113"/>
        <v>0</v>
      </c>
      <c r="J106" s="50">
        <f t="shared" si="114"/>
        <v>0</v>
      </c>
      <c r="K106" s="50">
        <v>7.6000000000000004E-4</v>
      </c>
      <c r="L106" s="29">
        <v>7.6000000000000004E-4</v>
      </c>
      <c r="Z106" s="50">
        <f t="shared" si="115"/>
        <v>0</v>
      </c>
      <c r="AB106" s="50">
        <f t="shared" si="116"/>
        <v>0</v>
      </c>
      <c r="AC106" s="50">
        <f t="shared" si="117"/>
        <v>0</v>
      </c>
      <c r="AD106" s="50">
        <f t="shared" si="118"/>
        <v>0</v>
      </c>
      <c r="AE106" s="50">
        <f t="shared" si="119"/>
        <v>0</v>
      </c>
      <c r="AF106" s="50">
        <f t="shared" si="120"/>
        <v>0</v>
      </c>
      <c r="AG106" s="50">
        <f t="shared" si="121"/>
        <v>0</v>
      </c>
      <c r="AH106" s="50">
        <f t="shared" si="122"/>
        <v>0</v>
      </c>
      <c r="AI106" s="57" t="s">
        <v>510</v>
      </c>
      <c r="AJ106" s="50">
        <f t="shared" si="123"/>
        <v>0</v>
      </c>
      <c r="AK106" s="50">
        <f t="shared" si="124"/>
        <v>0</v>
      </c>
      <c r="AL106" s="50">
        <f t="shared" si="125"/>
        <v>0</v>
      </c>
      <c r="AN106" s="50">
        <v>21</v>
      </c>
      <c r="AO106" s="50">
        <f>G106*0.609094874591058</f>
        <v>0</v>
      </c>
      <c r="AP106" s="50">
        <f>G106*(1-0.609094874591058)</f>
        <v>0</v>
      </c>
      <c r="AQ106" s="38" t="s">
        <v>731</v>
      </c>
      <c r="AV106" s="50">
        <f t="shared" si="126"/>
        <v>0</v>
      </c>
      <c r="AW106" s="50">
        <f t="shared" si="127"/>
        <v>0</v>
      </c>
      <c r="AX106" s="50">
        <f t="shared" si="128"/>
        <v>0</v>
      </c>
      <c r="AY106" s="38" t="s">
        <v>66</v>
      </c>
      <c r="AZ106" s="38" t="s">
        <v>679</v>
      </c>
      <c r="BA106" s="57" t="s">
        <v>571</v>
      </c>
      <c r="BC106" s="50">
        <f t="shared" si="129"/>
        <v>0</v>
      </c>
      <c r="BD106" s="50">
        <f t="shared" si="130"/>
        <v>0</v>
      </c>
      <c r="BE106" s="50">
        <v>0</v>
      </c>
      <c r="BF106" s="50">
        <f>106</f>
        <v>106</v>
      </c>
      <c r="BH106" s="50">
        <f t="shared" si="131"/>
        <v>0</v>
      </c>
      <c r="BI106" s="50">
        <f t="shared" si="132"/>
        <v>0</v>
      </c>
      <c r="BJ106" s="50">
        <f t="shared" si="133"/>
        <v>0</v>
      </c>
      <c r="BK106" s="50"/>
      <c r="BL106" s="50">
        <v>733</v>
      </c>
      <c r="BW106" s="50">
        <v>21</v>
      </c>
    </row>
    <row r="107" spans="1:75" ht="15" customHeight="1" x14ac:dyDescent="0.25">
      <c r="A107" s="47" t="s">
        <v>510</v>
      </c>
      <c r="B107" s="35" t="s">
        <v>631</v>
      </c>
      <c r="C107" s="70" t="s">
        <v>490</v>
      </c>
      <c r="D107" s="71"/>
      <c r="E107" s="1" t="s">
        <v>686</v>
      </c>
      <c r="F107" s="1" t="s">
        <v>686</v>
      </c>
      <c r="G107" s="1" t="s">
        <v>686</v>
      </c>
      <c r="H107" s="5">
        <f>SUM(H108:H140)</f>
        <v>0</v>
      </c>
      <c r="I107" s="5">
        <f>SUM(I108:I140)</f>
        <v>0</v>
      </c>
      <c r="J107" s="5">
        <f>SUM(J108:J140)</f>
        <v>0</v>
      </c>
      <c r="K107" s="57" t="s">
        <v>510</v>
      </c>
      <c r="L107" s="7" t="s">
        <v>510</v>
      </c>
      <c r="AI107" s="57" t="s">
        <v>510</v>
      </c>
      <c r="AS107" s="5">
        <f>SUM(AJ108:AJ140)</f>
        <v>0</v>
      </c>
      <c r="AT107" s="5">
        <f>SUM(AK108:AK140)</f>
        <v>0</v>
      </c>
      <c r="AU107" s="5">
        <f>SUM(AL108:AL140)</f>
        <v>0</v>
      </c>
    </row>
    <row r="108" spans="1:75" ht="13.5" customHeight="1" x14ac:dyDescent="0.25">
      <c r="A108" s="36" t="s">
        <v>715</v>
      </c>
      <c r="B108" s="53" t="s">
        <v>821</v>
      </c>
      <c r="C108" s="68" t="s">
        <v>108</v>
      </c>
      <c r="D108" s="69"/>
      <c r="E108" s="53" t="s">
        <v>180</v>
      </c>
      <c r="F108" s="50">
        <v>1</v>
      </c>
      <c r="G108" s="50">
        <v>0</v>
      </c>
      <c r="H108" s="50">
        <f t="shared" ref="H108:H140" si="134">F108*AO108</f>
        <v>0</v>
      </c>
      <c r="I108" s="50">
        <f t="shared" ref="I108:I140" si="135">F108*AP108</f>
        <v>0</v>
      </c>
      <c r="J108" s="50">
        <f t="shared" ref="J108:J140" si="136">F108*G108</f>
        <v>0</v>
      </c>
      <c r="K108" s="50">
        <v>1.2999999999999999E-4</v>
      </c>
      <c r="L108" s="29">
        <v>4.1099999999999999E-3</v>
      </c>
      <c r="Z108" s="50">
        <f t="shared" ref="Z108:Z140" si="137">IF(AQ108="5",BJ108,0)</f>
        <v>0</v>
      </c>
      <c r="AB108" s="50">
        <f t="shared" ref="AB108:AB140" si="138">IF(AQ108="1",BH108,0)</f>
        <v>0</v>
      </c>
      <c r="AC108" s="50">
        <f t="shared" ref="AC108:AC140" si="139">IF(AQ108="1",BI108,0)</f>
        <v>0</v>
      </c>
      <c r="AD108" s="50">
        <f t="shared" ref="AD108:AD140" si="140">IF(AQ108="7",BH108,0)</f>
        <v>0</v>
      </c>
      <c r="AE108" s="50">
        <f t="shared" ref="AE108:AE140" si="141">IF(AQ108="7",BI108,0)</f>
        <v>0</v>
      </c>
      <c r="AF108" s="50">
        <f t="shared" ref="AF108:AF140" si="142">IF(AQ108="2",BH108,0)</f>
        <v>0</v>
      </c>
      <c r="AG108" s="50">
        <f t="shared" ref="AG108:AG140" si="143">IF(AQ108="2",BI108,0)</f>
        <v>0</v>
      </c>
      <c r="AH108" s="50">
        <f t="shared" ref="AH108:AH140" si="144">IF(AQ108="0",BJ108,0)</f>
        <v>0</v>
      </c>
      <c r="AI108" s="57" t="s">
        <v>510</v>
      </c>
      <c r="AJ108" s="50">
        <f t="shared" ref="AJ108:AJ140" si="145">IF(AN108=0,J108,0)</f>
        <v>0</v>
      </c>
      <c r="AK108" s="50">
        <f t="shared" ref="AK108:AK140" si="146">IF(AN108=15,J108,0)</f>
        <v>0</v>
      </c>
      <c r="AL108" s="50">
        <f t="shared" ref="AL108:AL140" si="147">IF(AN108=21,J108,0)</f>
        <v>0</v>
      </c>
      <c r="AN108" s="50">
        <v>21</v>
      </c>
      <c r="AO108" s="50">
        <f>G108*0.167731958762887</f>
        <v>0</v>
      </c>
      <c r="AP108" s="50">
        <f>G108*(1-0.167731958762887)</f>
        <v>0</v>
      </c>
      <c r="AQ108" s="38" t="s">
        <v>731</v>
      </c>
      <c r="AV108" s="50">
        <f t="shared" ref="AV108:AV140" si="148">AW108+AX108</f>
        <v>0</v>
      </c>
      <c r="AW108" s="50">
        <f t="shared" ref="AW108:AW140" si="149">F108*AO108</f>
        <v>0</v>
      </c>
      <c r="AX108" s="50">
        <f t="shared" ref="AX108:AX140" si="150">F108*AP108</f>
        <v>0</v>
      </c>
      <c r="AY108" s="38" t="s">
        <v>138</v>
      </c>
      <c r="AZ108" s="38" t="s">
        <v>679</v>
      </c>
      <c r="BA108" s="57" t="s">
        <v>571</v>
      </c>
      <c r="BC108" s="50">
        <f t="shared" ref="BC108:BC140" si="151">AW108+AX108</f>
        <v>0</v>
      </c>
      <c r="BD108" s="50">
        <f t="shared" ref="BD108:BD140" si="152">G108/(100-BE108)*100</f>
        <v>0</v>
      </c>
      <c r="BE108" s="50">
        <v>0</v>
      </c>
      <c r="BF108" s="50">
        <f>108</f>
        <v>108</v>
      </c>
      <c r="BH108" s="50">
        <f t="shared" ref="BH108:BH140" si="153">F108*AO108</f>
        <v>0</v>
      </c>
      <c r="BI108" s="50">
        <f t="shared" ref="BI108:BI140" si="154">F108*AP108</f>
        <v>0</v>
      </c>
      <c r="BJ108" s="50">
        <f t="shared" ref="BJ108:BJ140" si="155">F108*G108</f>
        <v>0</v>
      </c>
      <c r="BK108" s="50"/>
      <c r="BL108" s="50">
        <v>734</v>
      </c>
      <c r="BW108" s="50">
        <v>21</v>
      </c>
    </row>
    <row r="109" spans="1:75" ht="13.5" customHeight="1" x14ac:dyDescent="0.25">
      <c r="A109" s="36" t="s">
        <v>124</v>
      </c>
      <c r="B109" s="53" t="s">
        <v>455</v>
      </c>
      <c r="C109" s="68" t="s">
        <v>362</v>
      </c>
      <c r="D109" s="69"/>
      <c r="E109" s="53" t="s">
        <v>180</v>
      </c>
      <c r="F109" s="50">
        <v>3</v>
      </c>
      <c r="G109" s="50">
        <v>0</v>
      </c>
      <c r="H109" s="50">
        <f t="shared" si="134"/>
        <v>0</v>
      </c>
      <c r="I109" s="50">
        <f t="shared" si="135"/>
        <v>0</v>
      </c>
      <c r="J109" s="50">
        <f t="shared" si="136"/>
        <v>0</v>
      </c>
      <c r="K109" s="50">
        <v>4.0000000000000003E-5</v>
      </c>
      <c r="L109" s="29">
        <v>4.8999999999999998E-4</v>
      </c>
      <c r="Z109" s="50">
        <f t="shared" si="137"/>
        <v>0</v>
      </c>
      <c r="AB109" s="50">
        <f t="shared" si="138"/>
        <v>0</v>
      </c>
      <c r="AC109" s="50">
        <f t="shared" si="139"/>
        <v>0</v>
      </c>
      <c r="AD109" s="50">
        <f t="shared" si="140"/>
        <v>0</v>
      </c>
      <c r="AE109" s="50">
        <f t="shared" si="141"/>
        <v>0</v>
      </c>
      <c r="AF109" s="50">
        <f t="shared" si="142"/>
        <v>0</v>
      </c>
      <c r="AG109" s="50">
        <f t="shared" si="143"/>
        <v>0</v>
      </c>
      <c r="AH109" s="50">
        <f t="shared" si="144"/>
        <v>0</v>
      </c>
      <c r="AI109" s="57" t="s">
        <v>510</v>
      </c>
      <c r="AJ109" s="50">
        <f t="shared" si="145"/>
        <v>0</v>
      </c>
      <c r="AK109" s="50">
        <f t="shared" si="146"/>
        <v>0</v>
      </c>
      <c r="AL109" s="50">
        <f t="shared" si="147"/>
        <v>0</v>
      </c>
      <c r="AN109" s="50">
        <v>21</v>
      </c>
      <c r="AO109" s="50">
        <f>G109*0.373125</f>
        <v>0</v>
      </c>
      <c r="AP109" s="50">
        <f>G109*(1-0.373125)</f>
        <v>0</v>
      </c>
      <c r="AQ109" s="38" t="s">
        <v>731</v>
      </c>
      <c r="AV109" s="50">
        <f t="shared" si="148"/>
        <v>0</v>
      </c>
      <c r="AW109" s="50">
        <f t="shared" si="149"/>
        <v>0</v>
      </c>
      <c r="AX109" s="50">
        <f t="shared" si="150"/>
        <v>0</v>
      </c>
      <c r="AY109" s="38" t="s">
        <v>138</v>
      </c>
      <c r="AZ109" s="38" t="s">
        <v>679</v>
      </c>
      <c r="BA109" s="57" t="s">
        <v>571</v>
      </c>
      <c r="BC109" s="50">
        <f t="shared" si="151"/>
        <v>0</v>
      </c>
      <c r="BD109" s="50">
        <f t="shared" si="152"/>
        <v>0</v>
      </c>
      <c r="BE109" s="50">
        <v>0</v>
      </c>
      <c r="BF109" s="50">
        <f>109</f>
        <v>109</v>
      </c>
      <c r="BH109" s="50">
        <f t="shared" si="153"/>
        <v>0</v>
      </c>
      <c r="BI109" s="50">
        <f t="shared" si="154"/>
        <v>0</v>
      </c>
      <c r="BJ109" s="50">
        <f t="shared" si="155"/>
        <v>0</v>
      </c>
      <c r="BK109" s="50"/>
      <c r="BL109" s="50">
        <v>734</v>
      </c>
      <c r="BW109" s="50">
        <v>21</v>
      </c>
    </row>
    <row r="110" spans="1:75" ht="13.5" customHeight="1" x14ac:dyDescent="0.25">
      <c r="A110" s="36" t="s">
        <v>136</v>
      </c>
      <c r="B110" s="53" t="s">
        <v>310</v>
      </c>
      <c r="C110" s="68" t="s">
        <v>596</v>
      </c>
      <c r="D110" s="69"/>
      <c r="E110" s="53" t="s">
        <v>180</v>
      </c>
      <c r="F110" s="50">
        <v>2</v>
      </c>
      <c r="G110" s="50">
        <v>0</v>
      </c>
      <c r="H110" s="50">
        <f t="shared" si="134"/>
        <v>0</v>
      </c>
      <c r="I110" s="50">
        <f t="shared" si="135"/>
        <v>0</v>
      </c>
      <c r="J110" s="50">
        <f t="shared" si="136"/>
        <v>0</v>
      </c>
      <c r="K110" s="50">
        <v>9.0000000000000006E-5</v>
      </c>
      <c r="L110" s="29">
        <v>5.4000000000000001E-4</v>
      </c>
      <c r="Z110" s="50">
        <f t="shared" si="137"/>
        <v>0</v>
      </c>
      <c r="AB110" s="50">
        <f t="shared" si="138"/>
        <v>0</v>
      </c>
      <c r="AC110" s="50">
        <f t="shared" si="139"/>
        <v>0</v>
      </c>
      <c r="AD110" s="50">
        <f t="shared" si="140"/>
        <v>0</v>
      </c>
      <c r="AE110" s="50">
        <f t="shared" si="141"/>
        <v>0</v>
      </c>
      <c r="AF110" s="50">
        <f t="shared" si="142"/>
        <v>0</v>
      </c>
      <c r="AG110" s="50">
        <f t="shared" si="143"/>
        <v>0</v>
      </c>
      <c r="AH110" s="50">
        <f t="shared" si="144"/>
        <v>0</v>
      </c>
      <c r="AI110" s="57" t="s">
        <v>510</v>
      </c>
      <c r="AJ110" s="50">
        <f t="shared" si="145"/>
        <v>0</v>
      </c>
      <c r="AK110" s="50">
        <f t="shared" si="146"/>
        <v>0</v>
      </c>
      <c r="AL110" s="50">
        <f t="shared" si="147"/>
        <v>0</v>
      </c>
      <c r="AN110" s="50">
        <v>21</v>
      </c>
      <c r="AO110" s="50">
        <f>G110*0.28746887966805</f>
        <v>0</v>
      </c>
      <c r="AP110" s="50">
        <f>G110*(1-0.28746887966805)</f>
        <v>0</v>
      </c>
      <c r="AQ110" s="38" t="s">
        <v>731</v>
      </c>
      <c r="AV110" s="50">
        <f t="shared" si="148"/>
        <v>0</v>
      </c>
      <c r="AW110" s="50">
        <f t="shared" si="149"/>
        <v>0</v>
      </c>
      <c r="AX110" s="50">
        <f t="shared" si="150"/>
        <v>0</v>
      </c>
      <c r="AY110" s="38" t="s">
        <v>138</v>
      </c>
      <c r="AZ110" s="38" t="s">
        <v>679</v>
      </c>
      <c r="BA110" s="57" t="s">
        <v>571</v>
      </c>
      <c r="BC110" s="50">
        <f t="shared" si="151"/>
        <v>0</v>
      </c>
      <c r="BD110" s="50">
        <f t="shared" si="152"/>
        <v>0</v>
      </c>
      <c r="BE110" s="50">
        <v>0</v>
      </c>
      <c r="BF110" s="50">
        <f>110</f>
        <v>110</v>
      </c>
      <c r="BH110" s="50">
        <f t="shared" si="153"/>
        <v>0</v>
      </c>
      <c r="BI110" s="50">
        <f t="shared" si="154"/>
        <v>0</v>
      </c>
      <c r="BJ110" s="50">
        <f t="shared" si="155"/>
        <v>0</v>
      </c>
      <c r="BK110" s="50"/>
      <c r="BL110" s="50">
        <v>734</v>
      </c>
      <c r="BW110" s="50">
        <v>21</v>
      </c>
    </row>
    <row r="111" spans="1:75" ht="13.5" customHeight="1" x14ac:dyDescent="0.25">
      <c r="A111" s="36" t="s">
        <v>746</v>
      </c>
      <c r="B111" s="53" t="s">
        <v>488</v>
      </c>
      <c r="C111" s="68" t="s">
        <v>249</v>
      </c>
      <c r="D111" s="69"/>
      <c r="E111" s="53" t="s">
        <v>180</v>
      </c>
      <c r="F111" s="50">
        <v>6</v>
      </c>
      <c r="G111" s="50">
        <v>0</v>
      </c>
      <c r="H111" s="50">
        <f t="shared" si="134"/>
        <v>0</v>
      </c>
      <c r="I111" s="50">
        <f t="shared" si="135"/>
        <v>0</v>
      </c>
      <c r="J111" s="50">
        <f t="shared" si="136"/>
        <v>0</v>
      </c>
      <c r="K111" s="50">
        <v>2.1000000000000001E-4</v>
      </c>
      <c r="L111" s="29">
        <v>3.7100000000000002E-3</v>
      </c>
      <c r="Z111" s="50">
        <f t="shared" si="137"/>
        <v>0</v>
      </c>
      <c r="AB111" s="50">
        <f t="shared" si="138"/>
        <v>0</v>
      </c>
      <c r="AC111" s="50">
        <f t="shared" si="139"/>
        <v>0</v>
      </c>
      <c r="AD111" s="50">
        <f t="shared" si="140"/>
        <v>0</v>
      </c>
      <c r="AE111" s="50">
        <f t="shared" si="141"/>
        <v>0</v>
      </c>
      <c r="AF111" s="50">
        <f t="shared" si="142"/>
        <v>0</v>
      </c>
      <c r="AG111" s="50">
        <f t="shared" si="143"/>
        <v>0</v>
      </c>
      <c r="AH111" s="50">
        <f t="shared" si="144"/>
        <v>0</v>
      </c>
      <c r="AI111" s="57" t="s">
        <v>510</v>
      </c>
      <c r="AJ111" s="50">
        <f t="shared" si="145"/>
        <v>0</v>
      </c>
      <c r="AK111" s="50">
        <f t="shared" si="146"/>
        <v>0</v>
      </c>
      <c r="AL111" s="50">
        <f t="shared" si="147"/>
        <v>0</v>
      </c>
      <c r="AN111" s="50">
        <v>21</v>
      </c>
      <c r="AO111" s="50">
        <f>G111*0.289357798165138</f>
        <v>0</v>
      </c>
      <c r="AP111" s="50">
        <f>G111*(1-0.289357798165138)</f>
        <v>0</v>
      </c>
      <c r="AQ111" s="38" t="s">
        <v>731</v>
      </c>
      <c r="AV111" s="50">
        <f t="shared" si="148"/>
        <v>0</v>
      </c>
      <c r="AW111" s="50">
        <f t="shared" si="149"/>
        <v>0</v>
      </c>
      <c r="AX111" s="50">
        <f t="shared" si="150"/>
        <v>0</v>
      </c>
      <c r="AY111" s="38" t="s">
        <v>138</v>
      </c>
      <c r="AZ111" s="38" t="s">
        <v>679</v>
      </c>
      <c r="BA111" s="57" t="s">
        <v>571</v>
      </c>
      <c r="BC111" s="50">
        <f t="shared" si="151"/>
        <v>0</v>
      </c>
      <c r="BD111" s="50">
        <f t="shared" si="152"/>
        <v>0</v>
      </c>
      <c r="BE111" s="50">
        <v>0</v>
      </c>
      <c r="BF111" s="50">
        <f>111</f>
        <v>111</v>
      </c>
      <c r="BH111" s="50">
        <f t="shared" si="153"/>
        <v>0</v>
      </c>
      <c r="BI111" s="50">
        <f t="shared" si="154"/>
        <v>0</v>
      </c>
      <c r="BJ111" s="50">
        <f t="shared" si="155"/>
        <v>0</v>
      </c>
      <c r="BK111" s="50"/>
      <c r="BL111" s="50">
        <v>734</v>
      </c>
      <c r="BW111" s="50">
        <v>21</v>
      </c>
    </row>
    <row r="112" spans="1:75" ht="13.5" customHeight="1" x14ac:dyDescent="0.25">
      <c r="A112" s="36" t="s">
        <v>429</v>
      </c>
      <c r="B112" s="53" t="s">
        <v>486</v>
      </c>
      <c r="C112" s="68" t="s">
        <v>31</v>
      </c>
      <c r="D112" s="69"/>
      <c r="E112" s="53" t="s">
        <v>180</v>
      </c>
      <c r="F112" s="50">
        <v>8</v>
      </c>
      <c r="G112" s="50">
        <v>0</v>
      </c>
      <c r="H112" s="50">
        <f t="shared" si="134"/>
        <v>0</v>
      </c>
      <c r="I112" s="50">
        <f t="shared" si="135"/>
        <v>0</v>
      </c>
      <c r="J112" s="50">
        <f t="shared" si="136"/>
        <v>0</v>
      </c>
      <c r="K112" s="50">
        <v>1.7000000000000001E-4</v>
      </c>
      <c r="L112" s="29">
        <v>2.3700000000000001E-3</v>
      </c>
      <c r="Z112" s="50">
        <f t="shared" si="137"/>
        <v>0</v>
      </c>
      <c r="AB112" s="50">
        <f t="shared" si="138"/>
        <v>0</v>
      </c>
      <c r="AC112" s="50">
        <f t="shared" si="139"/>
        <v>0</v>
      </c>
      <c r="AD112" s="50">
        <f t="shared" si="140"/>
        <v>0</v>
      </c>
      <c r="AE112" s="50">
        <f t="shared" si="141"/>
        <v>0</v>
      </c>
      <c r="AF112" s="50">
        <f t="shared" si="142"/>
        <v>0</v>
      </c>
      <c r="AG112" s="50">
        <f t="shared" si="143"/>
        <v>0</v>
      </c>
      <c r="AH112" s="50">
        <f t="shared" si="144"/>
        <v>0</v>
      </c>
      <c r="AI112" s="57" t="s">
        <v>510</v>
      </c>
      <c r="AJ112" s="50">
        <f t="shared" si="145"/>
        <v>0</v>
      </c>
      <c r="AK112" s="50">
        <f t="shared" si="146"/>
        <v>0</v>
      </c>
      <c r="AL112" s="50">
        <f t="shared" si="147"/>
        <v>0</v>
      </c>
      <c r="AN112" s="50">
        <v>21</v>
      </c>
      <c r="AO112" s="50">
        <f>G112*0.286754966887417</f>
        <v>0</v>
      </c>
      <c r="AP112" s="50">
        <f>G112*(1-0.286754966887417)</f>
        <v>0</v>
      </c>
      <c r="AQ112" s="38" t="s">
        <v>731</v>
      </c>
      <c r="AV112" s="50">
        <f t="shared" si="148"/>
        <v>0</v>
      </c>
      <c r="AW112" s="50">
        <f t="shared" si="149"/>
        <v>0</v>
      </c>
      <c r="AX112" s="50">
        <f t="shared" si="150"/>
        <v>0</v>
      </c>
      <c r="AY112" s="38" t="s">
        <v>138</v>
      </c>
      <c r="AZ112" s="38" t="s">
        <v>679</v>
      </c>
      <c r="BA112" s="57" t="s">
        <v>571</v>
      </c>
      <c r="BC112" s="50">
        <f t="shared" si="151"/>
        <v>0</v>
      </c>
      <c r="BD112" s="50">
        <f t="shared" si="152"/>
        <v>0</v>
      </c>
      <c r="BE112" s="50">
        <v>0</v>
      </c>
      <c r="BF112" s="50">
        <f>112</f>
        <v>112</v>
      </c>
      <c r="BH112" s="50">
        <f t="shared" si="153"/>
        <v>0</v>
      </c>
      <c r="BI112" s="50">
        <f t="shared" si="154"/>
        <v>0</v>
      </c>
      <c r="BJ112" s="50">
        <f t="shared" si="155"/>
        <v>0</v>
      </c>
      <c r="BK112" s="50"/>
      <c r="BL112" s="50">
        <v>734</v>
      </c>
      <c r="BW112" s="50">
        <v>21</v>
      </c>
    </row>
    <row r="113" spans="1:75" ht="13.5" customHeight="1" x14ac:dyDescent="0.25">
      <c r="A113" s="36" t="s">
        <v>358</v>
      </c>
      <c r="B113" s="53" t="s">
        <v>305</v>
      </c>
      <c r="C113" s="68" t="s">
        <v>150</v>
      </c>
      <c r="D113" s="69"/>
      <c r="E113" s="53" t="s">
        <v>180</v>
      </c>
      <c r="F113" s="50">
        <v>3</v>
      </c>
      <c r="G113" s="50">
        <v>0</v>
      </c>
      <c r="H113" s="50">
        <f t="shared" si="134"/>
        <v>0</v>
      </c>
      <c r="I113" s="50">
        <f t="shared" si="135"/>
        <v>0</v>
      </c>
      <c r="J113" s="50">
        <f t="shared" si="136"/>
        <v>0</v>
      </c>
      <c r="K113" s="50">
        <v>1.0000000000000001E-5</v>
      </c>
      <c r="L113" s="29">
        <v>1.08E-3</v>
      </c>
      <c r="Z113" s="50">
        <f t="shared" si="137"/>
        <v>0</v>
      </c>
      <c r="AB113" s="50">
        <f t="shared" si="138"/>
        <v>0</v>
      </c>
      <c r="AC113" s="50">
        <f t="shared" si="139"/>
        <v>0</v>
      </c>
      <c r="AD113" s="50">
        <f t="shared" si="140"/>
        <v>0</v>
      </c>
      <c r="AE113" s="50">
        <f t="shared" si="141"/>
        <v>0</v>
      </c>
      <c r="AF113" s="50">
        <f t="shared" si="142"/>
        <v>0</v>
      </c>
      <c r="AG113" s="50">
        <f t="shared" si="143"/>
        <v>0</v>
      </c>
      <c r="AH113" s="50">
        <f t="shared" si="144"/>
        <v>0</v>
      </c>
      <c r="AI113" s="57" t="s">
        <v>510</v>
      </c>
      <c r="AJ113" s="50">
        <f t="shared" si="145"/>
        <v>0</v>
      </c>
      <c r="AK113" s="50">
        <f t="shared" si="146"/>
        <v>0</v>
      </c>
      <c r="AL113" s="50">
        <f t="shared" si="147"/>
        <v>0</v>
      </c>
      <c r="AN113" s="50">
        <v>21</v>
      </c>
      <c r="AO113" s="50">
        <f>G113*0.050836820083682</f>
        <v>0</v>
      </c>
      <c r="AP113" s="50">
        <f>G113*(1-0.050836820083682)</f>
        <v>0</v>
      </c>
      <c r="AQ113" s="38" t="s">
        <v>731</v>
      </c>
      <c r="AV113" s="50">
        <f t="shared" si="148"/>
        <v>0</v>
      </c>
      <c r="AW113" s="50">
        <f t="shared" si="149"/>
        <v>0</v>
      </c>
      <c r="AX113" s="50">
        <f t="shared" si="150"/>
        <v>0</v>
      </c>
      <c r="AY113" s="38" t="s">
        <v>138</v>
      </c>
      <c r="AZ113" s="38" t="s">
        <v>679</v>
      </c>
      <c r="BA113" s="57" t="s">
        <v>571</v>
      </c>
      <c r="BC113" s="50">
        <f t="shared" si="151"/>
        <v>0</v>
      </c>
      <c r="BD113" s="50">
        <f t="shared" si="152"/>
        <v>0</v>
      </c>
      <c r="BE113" s="50">
        <v>0</v>
      </c>
      <c r="BF113" s="50">
        <f>113</f>
        <v>113</v>
      </c>
      <c r="BH113" s="50">
        <f t="shared" si="153"/>
        <v>0</v>
      </c>
      <c r="BI113" s="50">
        <f t="shared" si="154"/>
        <v>0</v>
      </c>
      <c r="BJ113" s="50">
        <f t="shared" si="155"/>
        <v>0</v>
      </c>
      <c r="BK113" s="50"/>
      <c r="BL113" s="50">
        <v>734</v>
      </c>
      <c r="BW113" s="50">
        <v>21</v>
      </c>
    </row>
    <row r="114" spans="1:75" ht="13.5" customHeight="1" x14ac:dyDescent="0.25">
      <c r="A114" s="36" t="s">
        <v>489</v>
      </c>
      <c r="B114" s="53" t="s">
        <v>29</v>
      </c>
      <c r="C114" s="68" t="s">
        <v>232</v>
      </c>
      <c r="D114" s="69"/>
      <c r="E114" s="53" t="s">
        <v>180</v>
      </c>
      <c r="F114" s="50">
        <v>2</v>
      </c>
      <c r="G114" s="50">
        <v>0</v>
      </c>
      <c r="H114" s="50">
        <f t="shared" si="134"/>
        <v>0</v>
      </c>
      <c r="I114" s="50">
        <f t="shared" si="135"/>
        <v>0</v>
      </c>
      <c r="J114" s="50">
        <f t="shared" si="136"/>
        <v>0</v>
      </c>
      <c r="K114" s="50">
        <v>2E-3</v>
      </c>
      <c r="L114" s="29">
        <v>2E-3</v>
      </c>
      <c r="Z114" s="50">
        <f t="shared" si="137"/>
        <v>0</v>
      </c>
      <c r="AB114" s="50">
        <f t="shared" si="138"/>
        <v>0</v>
      </c>
      <c r="AC114" s="50">
        <f t="shared" si="139"/>
        <v>0</v>
      </c>
      <c r="AD114" s="50">
        <f t="shared" si="140"/>
        <v>0</v>
      </c>
      <c r="AE114" s="50">
        <f t="shared" si="141"/>
        <v>0</v>
      </c>
      <c r="AF114" s="50">
        <f t="shared" si="142"/>
        <v>0</v>
      </c>
      <c r="AG114" s="50">
        <f t="shared" si="143"/>
        <v>0</v>
      </c>
      <c r="AH114" s="50">
        <f t="shared" si="144"/>
        <v>0</v>
      </c>
      <c r="AI114" s="57" t="s">
        <v>510</v>
      </c>
      <c r="AJ114" s="50">
        <f t="shared" si="145"/>
        <v>0</v>
      </c>
      <c r="AK114" s="50">
        <f t="shared" si="146"/>
        <v>0</v>
      </c>
      <c r="AL114" s="50">
        <f t="shared" si="147"/>
        <v>0</v>
      </c>
      <c r="AN114" s="50">
        <v>21</v>
      </c>
      <c r="AO114" s="50">
        <f>G114*0.944974667137976</f>
        <v>0</v>
      </c>
      <c r="AP114" s="50">
        <f>G114*(1-0.944974667137976)</f>
        <v>0</v>
      </c>
      <c r="AQ114" s="38" t="s">
        <v>731</v>
      </c>
      <c r="AV114" s="50">
        <f t="shared" si="148"/>
        <v>0</v>
      </c>
      <c r="AW114" s="50">
        <f t="shared" si="149"/>
        <v>0</v>
      </c>
      <c r="AX114" s="50">
        <f t="shared" si="150"/>
        <v>0</v>
      </c>
      <c r="AY114" s="38" t="s">
        <v>138</v>
      </c>
      <c r="AZ114" s="38" t="s">
        <v>679</v>
      </c>
      <c r="BA114" s="57" t="s">
        <v>571</v>
      </c>
      <c r="BC114" s="50">
        <f t="shared" si="151"/>
        <v>0</v>
      </c>
      <c r="BD114" s="50">
        <f t="shared" si="152"/>
        <v>0</v>
      </c>
      <c r="BE114" s="50">
        <v>0</v>
      </c>
      <c r="BF114" s="50">
        <f>114</f>
        <v>114</v>
      </c>
      <c r="BH114" s="50">
        <f t="shared" si="153"/>
        <v>0</v>
      </c>
      <c r="BI114" s="50">
        <f t="shared" si="154"/>
        <v>0</v>
      </c>
      <c r="BJ114" s="50">
        <f t="shared" si="155"/>
        <v>0</v>
      </c>
      <c r="BK114" s="50"/>
      <c r="BL114" s="50">
        <v>734</v>
      </c>
      <c r="BW114" s="50">
        <v>21</v>
      </c>
    </row>
    <row r="115" spans="1:75" ht="13.5" customHeight="1" x14ac:dyDescent="0.25">
      <c r="A115" s="36" t="s">
        <v>30</v>
      </c>
      <c r="B115" s="53" t="s">
        <v>635</v>
      </c>
      <c r="C115" s="68" t="s">
        <v>604</v>
      </c>
      <c r="D115" s="69"/>
      <c r="E115" s="53" t="s">
        <v>180</v>
      </c>
      <c r="F115" s="50">
        <v>2</v>
      </c>
      <c r="G115" s="50">
        <v>0</v>
      </c>
      <c r="H115" s="50">
        <f t="shared" si="134"/>
        <v>0</v>
      </c>
      <c r="I115" s="50">
        <f t="shared" si="135"/>
        <v>0</v>
      </c>
      <c r="J115" s="50">
        <f t="shared" si="136"/>
        <v>0</v>
      </c>
      <c r="K115" s="50">
        <v>4.0000000000000002E-4</v>
      </c>
      <c r="L115" s="29">
        <v>4.0000000000000002E-4</v>
      </c>
      <c r="Z115" s="50">
        <f t="shared" si="137"/>
        <v>0</v>
      </c>
      <c r="AB115" s="50">
        <f t="shared" si="138"/>
        <v>0</v>
      </c>
      <c r="AC115" s="50">
        <f t="shared" si="139"/>
        <v>0</v>
      </c>
      <c r="AD115" s="50">
        <f t="shared" si="140"/>
        <v>0</v>
      </c>
      <c r="AE115" s="50">
        <f t="shared" si="141"/>
        <v>0</v>
      </c>
      <c r="AF115" s="50">
        <f t="shared" si="142"/>
        <v>0</v>
      </c>
      <c r="AG115" s="50">
        <f t="shared" si="143"/>
        <v>0</v>
      </c>
      <c r="AH115" s="50">
        <f t="shared" si="144"/>
        <v>0</v>
      </c>
      <c r="AI115" s="57" t="s">
        <v>510</v>
      </c>
      <c r="AJ115" s="50">
        <f t="shared" si="145"/>
        <v>0</v>
      </c>
      <c r="AK115" s="50">
        <f t="shared" si="146"/>
        <v>0</v>
      </c>
      <c r="AL115" s="50">
        <f t="shared" si="147"/>
        <v>0</v>
      </c>
      <c r="AN115" s="50">
        <v>21</v>
      </c>
      <c r="AO115" s="50">
        <f>G115*0.94244252405022</f>
        <v>0</v>
      </c>
      <c r="AP115" s="50">
        <f>G115*(1-0.94244252405022)</f>
        <v>0</v>
      </c>
      <c r="AQ115" s="38" t="s">
        <v>731</v>
      </c>
      <c r="AV115" s="50">
        <f t="shared" si="148"/>
        <v>0</v>
      </c>
      <c r="AW115" s="50">
        <f t="shared" si="149"/>
        <v>0</v>
      </c>
      <c r="AX115" s="50">
        <f t="shared" si="150"/>
        <v>0</v>
      </c>
      <c r="AY115" s="38" t="s">
        <v>138</v>
      </c>
      <c r="AZ115" s="38" t="s">
        <v>679</v>
      </c>
      <c r="BA115" s="57" t="s">
        <v>571</v>
      </c>
      <c r="BC115" s="50">
        <f t="shared" si="151"/>
        <v>0</v>
      </c>
      <c r="BD115" s="50">
        <f t="shared" si="152"/>
        <v>0</v>
      </c>
      <c r="BE115" s="50">
        <v>0</v>
      </c>
      <c r="BF115" s="50">
        <f>115</f>
        <v>115</v>
      </c>
      <c r="BH115" s="50">
        <f t="shared" si="153"/>
        <v>0</v>
      </c>
      <c r="BI115" s="50">
        <f t="shared" si="154"/>
        <v>0</v>
      </c>
      <c r="BJ115" s="50">
        <f t="shared" si="155"/>
        <v>0</v>
      </c>
      <c r="BK115" s="50"/>
      <c r="BL115" s="50">
        <v>734</v>
      </c>
      <c r="BW115" s="50">
        <v>21</v>
      </c>
    </row>
    <row r="116" spans="1:75" ht="13.5" customHeight="1" x14ac:dyDescent="0.25">
      <c r="A116" s="36" t="s">
        <v>788</v>
      </c>
      <c r="B116" s="53" t="s">
        <v>354</v>
      </c>
      <c r="C116" s="68" t="s">
        <v>379</v>
      </c>
      <c r="D116" s="69"/>
      <c r="E116" s="53" t="s">
        <v>180</v>
      </c>
      <c r="F116" s="50">
        <v>2</v>
      </c>
      <c r="G116" s="50">
        <v>0</v>
      </c>
      <c r="H116" s="50">
        <f t="shared" si="134"/>
        <v>0</v>
      </c>
      <c r="I116" s="50">
        <f t="shared" si="135"/>
        <v>0</v>
      </c>
      <c r="J116" s="50">
        <f t="shared" si="136"/>
        <v>0</v>
      </c>
      <c r="K116" s="50">
        <v>0</v>
      </c>
      <c r="L116" s="29">
        <v>0</v>
      </c>
      <c r="Z116" s="50">
        <f t="shared" si="137"/>
        <v>0</v>
      </c>
      <c r="AB116" s="50">
        <f t="shared" si="138"/>
        <v>0</v>
      </c>
      <c r="AC116" s="50">
        <f t="shared" si="139"/>
        <v>0</v>
      </c>
      <c r="AD116" s="50">
        <f t="shared" si="140"/>
        <v>0</v>
      </c>
      <c r="AE116" s="50">
        <f t="shared" si="141"/>
        <v>0</v>
      </c>
      <c r="AF116" s="50">
        <f t="shared" si="142"/>
        <v>0</v>
      </c>
      <c r="AG116" s="50">
        <f t="shared" si="143"/>
        <v>0</v>
      </c>
      <c r="AH116" s="50">
        <f t="shared" si="144"/>
        <v>0</v>
      </c>
      <c r="AI116" s="57" t="s">
        <v>510</v>
      </c>
      <c r="AJ116" s="50">
        <f t="shared" si="145"/>
        <v>0</v>
      </c>
      <c r="AK116" s="50">
        <f t="shared" si="146"/>
        <v>0</v>
      </c>
      <c r="AL116" s="50">
        <f t="shared" si="147"/>
        <v>0</v>
      </c>
      <c r="AN116" s="50">
        <v>21</v>
      </c>
      <c r="AO116" s="50">
        <f>G116*0.958820117656807</f>
        <v>0</v>
      </c>
      <c r="AP116" s="50">
        <f>G116*(1-0.958820117656807)</f>
        <v>0</v>
      </c>
      <c r="AQ116" s="38" t="s">
        <v>731</v>
      </c>
      <c r="AV116" s="50">
        <f t="shared" si="148"/>
        <v>0</v>
      </c>
      <c r="AW116" s="50">
        <f t="shared" si="149"/>
        <v>0</v>
      </c>
      <c r="AX116" s="50">
        <f t="shared" si="150"/>
        <v>0</v>
      </c>
      <c r="AY116" s="38" t="s">
        <v>138</v>
      </c>
      <c r="AZ116" s="38" t="s">
        <v>679</v>
      </c>
      <c r="BA116" s="57" t="s">
        <v>571</v>
      </c>
      <c r="BC116" s="50">
        <f t="shared" si="151"/>
        <v>0</v>
      </c>
      <c r="BD116" s="50">
        <f t="shared" si="152"/>
        <v>0</v>
      </c>
      <c r="BE116" s="50">
        <v>0</v>
      </c>
      <c r="BF116" s="50">
        <f>116</f>
        <v>116</v>
      </c>
      <c r="BH116" s="50">
        <f t="shared" si="153"/>
        <v>0</v>
      </c>
      <c r="BI116" s="50">
        <f t="shared" si="154"/>
        <v>0</v>
      </c>
      <c r="BJ116" s="50">
        <f t="shared" si="155"/>
        <v>0</v>
      </c>
      <c r="BK116" s="50"/>
      <c r="BL116" s="50">
        <v>734</v>
      </c>
      <c r="BW116" s="50">
        <v>21</v>
      </c>
    </row>
    <row r="117" spans="1:75" ht="13.5" customHeight="1" x14ac:dyDescent="0.25">
      <c r="A117" s="36" t="s">
        <v>778</v>
      </c>
      <c r="B117" s="53" t="s">
        <v>123</v>
      </c>
      <c r="C117" s="68" t="s">
        <v>657</v>
      </c>
      <c r="D117" s="69"/>
      <c r="E117" s="53" t="s">
        <v>180</v>
      </c>
      <c r="F117" s="50">
        <v>40</v>
      </c>
      <c r="G117" s="50">
        <v>0</v>
      </c>
      <c r="H117" s="50">
        <f t="shared" si="134"/>
        <v>0</v>
      </c>
      <c r="I117" s="50">
        <f t="shared" si="135"/>
        <v>0</v>
      </c>
      <c r="J117" s="50">
        <f t="shared" si="136"/>
        <v>0</v>
      </c>
      <c r="K117" s="50">
        <v>1E-3</v>
      </c>
      <c r="L117" s="29">
        <v>1E-3</v>
      </c>
      <c r="Z117" s="50">
        <f t="shared" si="137"/>
        <v>0</v>
      </c>
      <c r="AB117" s="50">
        <f t="shared" si="138"/>
        <v>0</v>
      </c>
      <c r="AC117" s="50">
        <f t="shared" si="139"/>
        <v>0</v>
      </c>
      <c r="AD117" s="50">
        <f t="shared" si="140"/>
        <v>0</v>
      </c>
      <c r="AE117" s="50">
        <f t="shared" si="141"/>
        <v>0</v>
      </c>
      <c r="AF117" s="50">
        <f t="shared" si="142"/>
        <v>0</v>
      </c>
      <c r="AG117" s="50">
        <f t="shared" si="143"/>
        <v>0</v>
      </c>
      <c r="AH117" s="50">
        <f t="shared" si="144"/>
        <v>0</v>
      </c>
      <c r="AI117" s="57" t="s">
        <v>510</v>
      </c>
      <c r="AJ117" s="50">
        <f t="shared" si="145"/>
        <v>0</v>
      </c>
      <c r="AK117" s="50">
        <f t="shared" si="146"/>
        <v>0</v>
      </c>
      <c r="AL117" s="50">
        <f t="shared" si="147"/>
        <v>0</v>
      </c>
      <c r="AN117" s="50">
        <v>21</v>
      </c>
      <c r="AO117" s="50">
        <f>G117*0.379602682525623</f>
        <v>0</v>
      </c>
      <c r="AP117" s="50">
        <f>G117*(1-0.379602682525623)</f>
        <v>0</v>
      </c>
      <c r="AQ117" s="38" t="s">
        <v>731</v>
      </c>
      <c r="AV117" s="50">
        <f t="shared" si="148"/>
        <v>0</v>
      </c>
      <c r="AW117" s="50">
        <f t="shared" si="149"/>
        <v>0</v>
      </c>
      <c r="AX117" s="50">
        <f t="shared" si="150"/>
        <v>0</v>
      </c>
      <c r="AY117" s="38" t="s">
        <v>138</v>
      </c>
      <c r="AZ117" s="38" t="s">
        <v>679</v>
      </c>
      <c r="BA117" s="57" t="s">
        <v>571</v>
      </c>
      <c r="BC117" s="50">
        <f t="shared" si="151"/>
        <v>0</v>
      </c>
      <c r="BD117" s="50">
        <f t="shared" si="152"/>
        <v>0</v>
      </c>
      <c r="BE117" s="50">
        <v>0</v>
      </c>
      <c r="BF117" s="50">
        <f>117</f>
        <v>117</v>
      </c>
      <c r="BH117" s="50">
        <f t="shared" si="153"/>
        <v>0</v>
      </c>
      <c r="BI117" s="50">
        <f t="shared" si="154"/>
        <v>0</v>
      </c>
      <c r="BJ117" s="50">
        <f t="shared" si="155"/>
        <v>0</v>
      </c>
      <c r="BK117" s="50"/>
      <c r="BL117" s="50">
        <v>734</v>
      </c>
      <c r="BW117" s="50">
        <v>21</v>
      </c>
    </row>
    <row r="118" spans="1:75" ht="13.5" customHeight="1" x14ac:dyDescent="0.25">
      <c r="A118" s="36" t="s">
        <v>776</v>
      </c>
      <c r="B118" s="53" t="s">
        <v>264</v>
      </c>
      <c r="C118" s="68" t="s">
        <v>539</v>
      </c>
      <c r="D118" s="69"/>
      <c r="E118" s="53" t="s">
        <v>180</v>
      </c>
      <c r="F118" s="50">
        <v>2</v>
      </c>
      <c r="G118" s="50">
        <v>0</v>
      </c>
      <c r="H118" s="50">
        <f t="shared" si="134"/>
        <v>0</v>
      </c>
      <c r="I118" s="50">
        <f t="shared" si="135"/>
        <v>0</v>
      </c>
      <c r="J118" s="50">
        <f t="shared" si="136"/>
        <v>0</v>
      </c>
      <c r="K118" s="50">
        <v>1.0399999999999999E-3</v>
      </c>
      <c r="L118" s="29">
        <v>1.0399999999999999E-3</v>
      </c>
      <c r="Z118" s="50">
        <f t="shared" si="137"/>
        <v>0</v>
      </c>
      <c r="AB118" s="50">
        <f t="shared" si="138"/>
        <v>0</v>
      </c>
      <c r="AC118" s="50">
        <f t="shared" si="139"/>
        <v>0</v>
      </c>
      <c r="AD118" s="50">
        <f t="shared" si="140"/>
        <v>0</v>
      </c>
      <c r="AE118" s="50">
        <f t="shared" si="141"/>
        <v>0</v>
      </c>
      <c r="AF118" s="50">
        <f t="shared" si="142"/>
        <v>0</v>
      </c>
      <c r="AG118" s="50">
        <f t="shared" si="143"/>
        <v>0</v>
      </c>
      <c r="AH118" s="50">
        <f t="shared" si="144"/>
        <v>0</v>
      </c>
      <c r="AI118" s="57" t="s">
        <v>510</v>
      </c>
      <c r="AJ118" s="50">
        <f t="shared" si="145"/>
        <v>0</v>
      </c>
      <c r="AK118" s="50">
        <f t="shared" si="146"/>
        <v>0</v>
      </c>
      <c r="AL118" s="50">
        <f t="shared" si="147"/>
        <v>0</v>
      </c>
      <c r="AN118" s="50">
        <v>21</v>
      </c>
      <c r="AO118" s="50">
        <f>G118*0.81130355515041</f>
        <v>0</v>
      </c>
      <c r="AP118" s="50">
        <f>G118*(1-0.81130355515041)</f>
        <v>0</v>
      </c>
      <c r="AQ118" s="38" t="s">
        <v>731</v>
      </c>
      <c r="AV118" s="50">
        <f t="shared" si="148"/>
        <v>0</v>
      </c>
      <c r="AW118" s="50">
        <f t="shared" si="149"/>
        <v>0</v>
      </c>
      <c r="AX118" s="50">
        <f t="shared" si="150"/>
        <v>0</v>
      </c>
      <c r="AY118" s="38" t="s">
        <v>138</v>
      </c>
      <c r="AZ118" s="38" t="s">
        <v>679</v>
      </c>
      <c r="BA118" s="57" t="s">
        <v>571</v>
      </c>
      <c r="BC118" s="50">
        <f t="shared" si="151"/>
        <v>0</v>
      </c>
      <c r="BD118" s="50">
        <f t="shared" si="152"/>
        <v>0</v>
      </c>
      <c r="BE118" s="50">
        <v>0</v>
      </c>
      <c r="BF118" s="50">
        <f>118</f>
        <v>118</v>
      </c>
      <c r="BH118" s="50">
        <f t="shared" si="153"/>
        <v>0</v>
      </c>
      <c r="BI118" s="50">
        <f t="shared" si="154"/>
        <v>0</v>
      </c>
      <c r="BJ118" s="50">
        <f t="shared" si="155"/>
        <v>0</v>
      </c>
      <c r="BK118" s="50"/>
      <c r="BL118" s="50">
        <v>734</v>
      </c>
      <c r="BW118" s="50">
        <v>21</v>
      </c>
    </row>
    <row r="119" spans="1:75" ht="13.5" customHeight="1" x14ac:dyDescent="0.25">
      <c r="A119" s="36" t="s">
        <v>28</v>
      </c>
      <c r="B119" s="53" t="s">
        <v>339</v>
      </c>
      <c r="C119" s="68" t="s">
        <v>304</v>
      </c>
      <c r="D119" s="69"/>
      <c r="E119" s="53" t="s">
        <v>180</v>
      </c>
      <c r="F119" s="50">
        <v>2</v>
      </c>
      <c r="G119" s="50">
        <v>0</v>
      </c>
      <c r="H119" s="50">
        <f t="shared" si="134"/>
        <v>0</v>
      </c>
      <c r="I119" s="50">
        <f t="shared" si="135"/>
        <v>0</v>
      </c>
      <c r="J119" s="50">
        <f t="shared" si="136"/>
        <v>0</v>
      </c>
      <c r="K119" s="50">
        <v>3.4000000000000002E-4</v>
      </c>
      <c r="L119" s="29">
        <v>3.4000000000000002E-4</v>
      </c>
      <c r="Z119" s="50">
        <f t="shared" si="137"/>
        <v>0</v>
      </c>
      <c r="AB119" s="50">
        <f t="shared" si="138"/>
        <v>0</v>
      </c>
      <c r="AC119" s="50">
        <f t="shared" si="139"/>
        <v>0</v>
      </c>
      <c r="AD119" s="50">
        <f t="shared" si="140"/>
        <v>0</v>
      </c>
      <c r="AE119" s="50">
        <f t="shared" si="141"/>
        <v>0</v>
      </c>
      <c r="AF119" s="50">
        <f t="shared" si="142"/>
        <v>0</v>
      </c>
      <c r="AG119" s="50">
        <f t="shared" si="143"/>
        <v>0</v>
      </c>
      <c r="AH119" s="50">
        <f t="shared" si="144"/>
        <v>0</v>
      </c>
      <c r="AI119" s="57" t="s">
        <v>510</v>
      </c>
      <c r="AJ119" s="50">
        <f t="shared" si="145"/>
        <v>0</v>
      </c>
      <c r="AK119" s="50">
        <f t="shared" si="146"/>
        <v>0</v>
      </c>
      <c r="AL119" s="50">
        <f t="shared" si="147"/>
        <v>0</v>
      </c>
      <c r="AN119" s="50">
        <v>21</v>
      </c>
      <c r="AO119" s="50">
        <f>G119*0.790842872008325</f>
        <v>0</v>
      </c>
      <c r="AP119" s="50">
        <f>G119*(1-0.790842872008325)</f>
        <v>0</v>
      </c>
      <c r="AQ119" s="38" t="s">
        <v>731</v>
      </c>
      <c r="AV119" s="50">
        <f t="shared" si="148"/>
        <v>0</v>
      </c>
      <c r="AW119" s="50">
        <f t="shared" si="149"/>
        <v>0</v>
      </c>
      <c r="AX119" s="50">
        <f t="shared" si="150"/>
        <v>0</v>
      </c>
      <c r="AY119" s="38" t="s">
        <v>138</v>
      </c>
      <c r="AZ119" s="38" t="s">
        <v>679</v>
      </c>
      <c r="BA119" s="57" t="s">
        <v>571</v>
      </c>
      <c r="BC119" s="50">
        <f t="shared" si="151"/>
        <v>0</v>
      </c>
      <c r="BD119" s="50">
        <f t="shared" si="152"/>
        <v>0</v>
      </c>
      <c r="BE119" s="50">
        <v>0</v>
      </c>
      <c r="BF119" s="50">
        <f>119</f>
        <v>119</v>
      </c>
      <c r="BH119" s="50">
        <f t="shared" si="153"/>
        <v>0</v>
      </c>
      <c r="BI119" s="50">
        <f t="shared" si="154"/>
        <v>0</v>
      </c>
      <c r="BJ119" s="50">
        <f t="shared" si="155"/>
        <v>0</v>
      </c>
      <c r="BK119" s="50"/>
      <c r="BL119" s="50">
        <v>734</v>
      </c>
      <c r="BW119" s="50">
        <v>21</v>
      </c>
    </row>
    <row r="120" spans="1:75" ht="13.5" customHeight="1" x14ac:dyDescent="0.25">
      <c r="A120" s="36" t="s">
        <v>1</v>
      </c>
      <c r="B120" s="53" t="s">
        <v>527</v>
      </c>
      <c r="C120" s="68" t="s">
        <v>176</v>
      </c>
      <c r="D120" s="69"/>
      <c r="E120" s="53" t="s">
        <v>180</v>
      </c>
      <c r="F120" s="50">
        <v>6</v>
      </c>
      <c r="G120" s="50">
        <v>0</v>
      </c>
      <c r="H120" s="50">
        <f t="shared" si="134"/>
        <v>0</v>
      </c>
      <c r="I120" s="50">
        <f t="shared" si="135"/>
        <v>0</v>
      </c>
      <c r="J120" s="50">
        <f t="shared" si="136"/>
        <v>0</v>
      </c>
      <c r="K120" s="50">
        <v>1E-4</v>
      </c>
      <c r="L120" s="29">
        <v>1E-4</v>
      </c>
      <c r="Z120" s="50">
        <f t="shared" si="137"/>
        <v>0</v>
      </c>
      <c r="AB120" s="50">
        <f t="shared" si="138"/>
        <v>0</v>
      </c>
      <c r="AC120" s="50">
        <f t="shared" si="139"/>
        <v>0</v>
      </c>
      <c r="AD120" s="50">
        <f t="shared" si="140"/>
        <v>0</v>
      </c>
      <c r="AE120" s="50">
        <f t="shared" si="141"/>
        <v>0</v>
      </c>
      <c r="AF120" s="50">
        <f t="shared" si="142"/>
        <v>0</v>
      </c>
      <c r="AG120" s="50">
        <f t="shared" si="143"/>
        <v>0</v>
      </c>
      <c r="AH120" s="50">
        <f t="shared" si="144"/>
        <v>0</v>
      </c>
      <c r="AI120" s="57" t="s">
        <v>510</v>
      </c>
      <c r="AJ120" s="50">
        <f t="shared" si="145"/>
        <v>0</v>
      </c>
      <c r="AK120" s="50">
        <f t="shared" si="146"/>
        <v>0</v>
      </c>
      <c r="AL120" s="50">
        <f t="shared" si="147"/>
        <v>0</v>
      </c>
      <c r="AN120" s="50">
        <v>21</v>
      </c>
      <c r="AO120" s="50">
        <f>G120*0.83826875</f>
        <v>0</v>
      </c>
      <c r="AP120" s="50">
        <f>G120*(1-0.83826875)</f>
        <v>0</v>
      </c>
      <c r="AQ120" s="38" t="s">
        <v>731</v>
      </c>
      <c r="AV120" s="50">
        <f t="shared" si="148"/>
        <v>0</v>
      </c>
      <c r="AW120" s="50">
        <f t="shared" si="149"/>
        <v>0</v>
      </c>
      <c r="AX120" s="50">
        <f t="shared" si="150"/>
        <v>0</v>
      </c>
      <c r="AY120" s="38" t="s">
        <v>138</v>
      </c>
      <c r="AZ120" s="38" t="s">
        <v>679</v>
      </c>
      <c r="BA120" s="57" t="s">
        <v>571</v>
      </c>
      <c r="BC120" s="50">
        <f t="shared" si="151"/>
        <v>0</v>
      </c>
      <c r="BD120" s="50">
        <f t="shared" si="152"/>
        <v>0</v>
      </c>
      <c r="BE120" s="50">
        <v>0</v>
      </c>
      <c r="BF120" s="50">
        <f>120</f>
        <v>120</v>
      </c>
      <c r="BH120" s="50">
        <f t="shared" si="153"/>
        <v>0</v>
      </c>
      <c r="BI120" s="50">
        <f t="shared" si="154"/>
        <v>0</v>
      </c>
      <c r="BJ120" s="50">
        <f t="shared" si="155"/>
        <v>0</v>
      </c>
      <c r="BK120" s="50"/>
      <c r="BL120" s="50">
        <v>734</v>
      </c>
      <c r="BW120" s="50">
        <v>21</v>
      </c>
    </row>
    <row r="121" spans="1:75" ht="13.5" customHeight="1" x14ac:dyDescent="0.25">
      <c r="A121" s="36" t="s">
        <v>678</v>
      </c>
      <c r="B121" s="53" t="s">
        <v>325</v>
      </c>
      <c r="C121" s="68" t="s">
        <v>242</v>
      </c>
      <c r="D121" s="69"/>
      <c r="E121" s="53" t="s">
        <v>180</v>
      </c>
      <c r="F121" s="50">
        <v>10</v>
      </c>
      <c r="G121" s="50">
        <v>0</v>
      </c>
      <c r="H121" s="50">
        <f t="shared" si="134"/>
        <v>0</v>
      </c>
      <c r="I121" s="50">
        <f t="shared" si="135"/>
        <v>0</v>
      </c>
      <c r="J121" s="50">
        <f t="shared" si="136"/>
        <v>0</v>
      </c>
      <c r="K121" s="50">
        <v>2.4000000000000001E-4</v>
      </c>
      <c r="L121" s="29">
        <v>2.4000000000000001E-4</v>
      </c>
      <c r="Z121" s="50">
        <f t="shared" si="137"/>
        <v>0</v>
      </c>
      <c r="AB121" s="50">
        <f t="shared" si="138"/>
        <v>0</v>
      </c>
      <c r="AC121" s="50">
        <f t="shared" si="139"/>
        <v>0</v>
      </c>
      <c r="AD121" s="50">
        <f t="shared" si="140"/>
        <v>0</v>
      </c>
      <c r="AE121" s="50">
        <f t="shared" si="141"/>
        <v>0</v>
      </c>
      <c r="AF121" s="50">
        <f t="shared" si="142"/>
        <v>0</v>
      </c>
      <c r="AG121" s="50">
        <f t="shared" si="143"/>
        <v>0</v>
      </c>
      <c r="AH121" s="50">
        <f t="shared" si="144"/>
        <v>0</v>
      </c>
      <c r="AI121" s="57" t="s">
        <v>510</v>
      </c>
      <c r="AJ121" s="50">
        <f t="shared" si="145"/>
        <v>0</v>
      </c>
      <c r="AK121" s="50">
        <f t="shared" si="146"/>
        <v>0</v>
      </c>
      <c r="AL121" s="50">
        <f t="shared" si="147"/>
        <v>0</v>
      </c>
      <c r="AN121" s="50">
        <v>21</v>
      </c>
      <c r="AO121" s="50">
        <f>G121*0.874442953020134</f>
        <v>0</v>
      </c>
      <c r="AP121" s="50">
        <f>G121*(1-0.874442953020134)</f>
        <v>0</v>
      </c>
      <c r="AQ121" s="38" t="s">
        <v>731</v>
      </c>
      <c r="AV121" s="50">
        <f t="shared" si="148"/>
        <v>0</v>
      </c>
      <c r="AW121" s="50">
        <f t="shared" si="149"/>
        <v>0</v>
      </c>
      <c r="AX121" s="50">
        <f t="shared" si="150"/>
        <v>0</v>
      </c>
      <c r="AY121" s="38" t="s">
        <v>138</v>
      </c>
      <c r="AZ121" s="38" t="s">
        <v>679</v>
      </c>
      <c r="BA121" s="57" t="s">
        <v>571</v>
      </c>
      <c r="BC121" s="50">
        <f t="shared" si="151"/>
        <v>0</v>
      </c>
      <c r="BD121" s="50">
        <f t="shared" si="152"/>
        <v>0</v>
      </c>
      <c r="BE121" s="50">
        <v>0</v>
      </c>
      <c r="BF121" s="50">
        <f>121</f>
        <v>121</v>
      </c>
      <c r="BH121" s="50">
        <f t="shared" si="153"/>
        <v>0</v>
      </c>
      <c r="BI121" s="50">
        <f t="shared" si="154"/>
        <v>0</v>
      </c>
      <c r="BJ121" s="50">
        <f t="shared" si="155"/>
        <v>0</v>
      </c>
      <c r="BK121" s="50"/>
      <c r="BL121" s="50">
        <v>734</v>
      </c>
      <c r="BW121" s="50">
        <v>21</v>
      </c>
    </row>
    <row r="122" spans="1:75" ht="13.5" customHeight="1" x14ac:dyDescent="0.25">
      <c r="A122" s="36" t="s">
        <v>78</v>
      </c>
      <c r="B122" s="53" t="s">
        <v>649</v>
      </c>
      <c r="C122" s="68" t="s">
        <v>483</v>
      </c>
      <c r="D122" s="69"/>
      <c r="E122" s="53" t="s">
        <v>180</v>
      </c>
      <c r="F122" s="50">
        <v>6</v>
      </c>
      <c r="G122" s="50">
        <v>0</v>
      </c>
      <c r="H122" s="50">
        <f t="shared" si="134"/>
        <v>0</v>
      </c>
      <c r="I122" s="50">
        <f t="shared" si="135"/>
        <v>0</v>
      </c>
      <c r="J122" s="50">
        <f t="shared" si="136"/>
        <v>0</v>
      </c>
      <c r="K122" s="50">
        <v>1.1800000000000001E-3</v>
      </c>
      <c r="L122" s="29">
        <v>1.1800000000000001E-3</v>
      </c>
      <c r="Z122" s="50">
        <f t="shared" si="137"/>
        <v>0</v>
      </c>
      <c r="AB122" s="50">
        <f t="shared" si="138"/>
        <v>0</v>
      </c>
      <c r="AC122" s="50">
        <f t="shared" si="139"/>
        <v>0</v>
      </c>
      <c r="AD122" s="50">
        <f t="shared" si="140"/>
        <v>0</v>
      </c>
      <c r="AE122" s="50">
        <f t="shared" si="141"/>
        <v>0</v>
      </c>
      <c r="AF122" s="50">
        <f t="shared" si="142"/>
        <v>0</v>
      </c>
      <c r="AG122" s="50">
        <f t="shared" si="143"/>
        <v>0</v>
      </c>
      <c r="AH122" s="50">
        <f t="shared" si="144"/>
        <v>0</v>
      </c>
      <c r="AI122" s="57" t="s">
        <v>510</v>
      </c>
      <c r="AJ122" s="50">
        <f t="shared" si="145"/>
        <v>0</v>
      </c>
      <c r="AK122" s="50">
        <f t="shared" si="146"/>
        <v>0</v>
      </c>
      <c r="AL122" s="50">
        <f t="shared" si="147"/>
        <v>0</v>
      </c>
      <c r="AN122" s="50">
        <v>21</v>
      </c>
      <c r="AO122" s="50">
        <f>G122*0.772927756653992</f>
        <v>0</v>
      </c>
      <c r="AP122" s="50">
        <f>G122*(1-0.772927756653992)</f>
        <v>0</v>
      </c>
      <c r="AQ122" s="38" t="s">
        <v>731</v>
      </c>
      <c r="AV122" s="50">
        <f t="shared" si="148"/>
        <v>0</v>
      </c>
      <c r="AW122" s="50">
        <f t="shared" si="149"/>
        <v>0</v>
      </c>
      <c r="AX122" s="50">
        <f t="shared" si="150"/>
        <v>0</v>
      </c>
      <c r="AY122" s="38" t="s">
        <v>138</v>
      </c>
      <c r="AZ122" s="38" t="s">
        <v>679</v>
      </c>
      <c r="BA122" s="57" t="s">
        <v>571</v>
      </c>
      <c r="BC122" s="50">
        <f t="shared" si="151"/>
        <v>0</v>
      </c>
      <c r="BD122" s="50">
        <f t="shared" si="152"/>
        <v>0</v>
      </c>
      <c r="BE122" s="50">
        <v>0</v>
      </c>
      <c r="BF122" s="50">
        <f>122</f>
        <v>122</v>
      </c>
      <c r="BH122" s="50">
        <f t="shared" si="153"/>
        <v>0</v>
      </c>
      <c r="BI122" s="50">
        <f t="shared" si="154"/>
        <v>0</v>
      </c>
      <c r="BJ122" s="50">
        <f t="shared" si="155"/>
        <v>0</v>
      </c>
      <c r="BK122" s="50"/>
      <c r="BL122" s="50">
        <v>734</v>
      </c>
      <c r="BW122" s="50">
        <v>21</v>
      </c>
    </row>
    <row r="123" spans="1:75" ht="13.5" customHeight="1" x14ac:dyDescent="0.25">
      <c r="A123" s="36" t="s">
        <v>284</v>
      </c>
      <c r="B123" s="53" t="s">
        <v>223</v>
      </c>
      <c r="C123" s="68" t="s">
        <v>114</v>
      </c>
      <c r="D123" s="69"/>
      <c r="E123" s="53" t="s">
        <v>180</v>
      </c>
      <c r="F123" s="50">
        <v>5</v>
      </c>
      <c r="G123" s="50">
        <v>0</v>
      </c>
      <c r="H123" s="50">
        <f t="shared" si="134"/>
        <v>0</v>
      </c>
      <c r="I123" s="50">
        <f t="shared" si="135"/>
        <v>0</v>
      </c>
      <c r="J123" s="50">
        <f t="shared" si="136"/>
        <v>0</v>
      </c>
      <c r="K123" s="50">
        <v>8.0999999999999996E-4</v>
      </c>
      <c r="L123" s="29">
        <v>8.0999999999999996E-4</v>
      </c>
      <c r="Z123" s="50">
        <f t="shared" si="137"/>
        <v>0</v>
      </c>
      <c r="AB123" s="50">
        <f t="shared" si="138"/>
        <v>0</v>
      </c>
      <c r="AC123" s="50">
        <f t="shared" si="139"/>
        <v>0</v>
      </c>
      <c r="AD123" s="50">
        <f t="shared" si="140"/>
        <v>0</v>
      </c>
      <c r="AE123" s="50">
        <f t="shared" si="141"/>
        <v>0</v>
      </c>
      <c r="AF123" s="50">
        <f t="shared" si="142"/>
        <v>0</v>
      </c>
      <c r="AG123" s="50">
        <f t="shared" si="143"/>
        <v>0</v>
      </c>
      <c r="AH123" s="50">
        <f t="shared" si="144"/>
        <v>0</v>
      </c>
      <c r="AI123" s="57" t="s">
        <v>510</v>
      </c>
      <c r="AJ123" s="50">
        <f t="shared" si="145"/>
        <v>0</v>
      </c>
      <c r="AK123" s="50">
        <f t="shared" si="146"/>
        <v>0</v>
      </c>
      <c r="AL123" s="50">
        <f t="shared" si="147"/>
        <v>0</v>
      </c>
      <c r="AN123" s="50">
        <v>21</v>
      </c>
      <c r="AO123" s="50">
        <f>G123*0.738758256274769</f>
        <v>0</v>
      </c>
      <c r="AP123" s="50">
        <f>G123*(1-0.738758256274769)</f>
        <v>0</v>
      </c>
      <c r="AQ123" s="38" t="s">
        <v>731</v>
      </c>
      <c r="AV123" s="50">
        <f t="shared" si="148"/>
        <v>0</v>
      </c>
      <c r="AW123" s="50">
        <f t="shared" si="149"/>
        <v>0</v>
      </c>
      <c r="AX123" s="50">
        <f t="shared" si="150"/>
        <v>0</v>
      </c>
      <c r="AY123" s="38" t="s">
        <v>138</v>
      </c>
      <c r="AZ123" s="38" t="s">
        <v>679</v>
      </c>
      <c r="BA123" s="57" t="s">
        <v>571</v>
      </c>
      <c r="BC123" s="50">
        <f t="shared" si="151"/>
        <v>0</v>
      </c>
      <c r="BD123" s="50">
        <f t="shared" si="152"/>
        <v>0</v>
      </c>
      <c r="BE123" s="50">
        <v>0</v>
      </c>
      <c r="BF123" s="50">
        <f>123</f>
        <v>123</v>
      </c>
      <c r="BH123" s="50">
        <f t="shared" si="153"/>
        <v>0</v>
      </c>
      <c r="BI123" s="50">
        <f t="shared" si="154"/>
        <v>0</v>
      </c>
      <c r="BJ123" s="50">
        <f t="shared" si="155"/>
        <v>0</v>
      </c>
      <c r="BK123" s="50"/>
      <c r="BL123" s="50">
        <v>734</v>
      </c>
      <c r="BW123" s="50">
        <v>21</v>
      </c>
    </row>
    <row r="124" spans="1:75" ht="13.5" customHeight="1" x14ac:dyDescent="0.25">
      <c r="A124" s="36" t="s">
        <v>407</v>
      </c>
      <c r="B124" s="53" t="s">
        <v>669</v>
      </c>
      <c r="C124" s="68" t="s">
        <v>403</v>
      </c>
      <c r="D124" s="69"/>
      <c r="E124" s="53" t="s">
        <v>180</v>
      </c>
      <c r="F124" s="50">
        <v>5</v>
      </c>
      <c r="G124" s="50">
        <v>0</v>
      </c>
      <c r="H124" s="50">
        <f t="shared" si="134"/>
        <v>0</v>
      </c>
      <c r="I124" s="50">
        <f t="shared" si="135"/>
        <v>0</v>
      </c>
      <c r="J124" s="50">
        <f t="shared" si="136"/>
        <v>0</v>
      </c>
      <c r="K124" s="50">
        <v>3.5E-4</v>
      </c>
      <c r="L124" s="29">
        <v>3.5E-4</v>
      </c>
      <c r="Z124" s="50">
        <f t="shared" si="137"/>
        <v>0</v>
      </c>
      <c r="AB124" s="50">
        <f t="shared" si="138"/>
        <v>0</v>
      </c>
      <c r="AC124" s="50">
        <f t="shared" si="139"/>
        <v>0</v>
      </c>
      <c r="AD124" s="50">
        <f t="shared" si="140"/>
        <v>0</v>
      </c>
      <c r="AE124" s="50">
        <f t="shared" si="141"/>
        <v>0</v>
      </c>
      <c r="AF124" s="50">
        <f t="shared" si="142"/>
        <v>0</v>
      </c>
      <c r="AG124" s="50">
        <f t="shared" si="143"/>
        <v>0</v>
      </c>
      <c r="AH124" s="50">
        <f t="shared" si="144"/>
        <v>0</v>
      </c>
      <c r="AI124" s="57" t="s">
        <v>510</v>
      </c>
      <c r="AJ124" s="50">
        <f t="shared" si="145"/>
        <v>0</v>
      </c>
      <c r="AK124" s="50">
        <f t="shared" si="146"/>
        <v>0</v>
      </c>
      <c r="AL124" s="50">
        <f t="shared" si="147"/>
        <v>0</v>
      </c>
      <c r="AN124" s="50">
        <v>21</v>
      </c>
      <c r="AO124" s="50">
        <f>G124*0.645734072022161</f>
        <v>0</v>
      </c>
      <c r="AP124" s="50">
        <f>G124*(1-0.645734072022161)</f>
        <v>0</v>
      </c>
      <c r="AQ124" s="38" t="s">
        <v>731</v>
      </c>
      <c r="AV124" s="50">
        <f t="shared" si="148"/>
        <v>0</v>
      </c>
      <c r="AW124" s="50">
        <f t="shared" si="149"/>
        <v>0</v>
      </c>
      <c r="AX124" s="50">
        <f t="shared" si="150"/>
        <v>0</v>
      </c>
      <c r="AY124" s="38" t="s">
        <v>138</v>
      </c>
      <c r="AZ124" s="38" t="s">
        <v>679</v>
      </c>
      <c r="BA124" s="57" t="s">
        <v>571</v>
      </c>
      <c r="BC124" s="50">
        <f t="shared" si="151"/>
        <v>0</v>
      </c>
      <c r="BD124" s="50">
        <f t="shared" si="152"/>
        <v>0</v>
      </c>
      <c r="BE124" s="50">
        <v>0</v>
      </c>
      <c r="BF124" s="50">
        <f>124</f>
        <v>124</v>
      </c>
      <c r="BH124" s="50">
        <f t="shared" si="153"/>
        <v>0</v>
      </c>
      <c r="BI124" s="50">
        <f t="shared" si="154"/>
        <v>0</v>
      </c>
      <c r="BJ124" s="50">
        <f t="shared" si="155"/>
        <v>0</v>
      </c>
      <c r="BK124" s="50"/>
      <c r="BL124" s="50">
        <v>734</v>
      </c>
      <c r="BW124" s="50">
        <v>21</v>
      </c>
    </row>
    <row r="125" spans="1:75" ht="13.5" customHeight="1" x14ac:dyDescent="0.25">
      <c r="A125" s="36" t="s">
        <v>76</v>
      </c>
      <c r="B125" s="53" t="s">
        <v>735</v>
      </c>
      <c r="C125" s="68" t="s">
        <v>185</v>
      </c>
      <c r="D125" s="69"/>
      <c r="E125" s="53" t="s">
        <v>180</v>
      </c>
      <c r="F125" s="50">
        <v>4</v>
      </c>
      <c r="G125" s="50">
        <v>0</v>
      </c>
      <c r="H125" s="50">
        <f t="shared" si="134"/>
        <v>0</v>
      </c>
      <c r="I125" s="50">
        <f t="shared" si="135"/>
        <v>0</v>
      </c>
      <c r="J125" s="50">
        <f t="shared" si="136"/>
        <v>0</v>
      </c>
      <c r="K125" s="50">
        <v>1.6000000000000001E-4</v>
      </c>
      <c r="L125" s="29">
        <v>1.6000000000000001E-4</v>
      </c>
      <c r="Z125" s="50">
        <f t="shared" si="137"/>
        <v>0</v>
      </c>
      <c r="AB125" s="50">
        <f t="shared" si="138"/>
        <v>0</v>
      </c>
      <c r="AC125" s="50">
        <f t="shared" si="139"/>
        <v>0</v>
      </c>
      <c r="AD125" s="50">
        <f t="shared" si="140"/>
        <v>0</v>
      </c>
      <c r="AE125" s="50">
        <f t="shared" si="141"/>
        <v>0</v>
      </c>
      <c r="AF125" s="50">
        <f t="shared" si="142"/>
        <v>0</v>
      </c>
      <c r="AG125" s="50">
        <f t="shared" si="143"/>
        <v>0</v>
      </c>
      <c r="AH125" s="50">
        <f t="shared" si="144"/>
        <v>0</v>
      </c>
      <c r="AI125" s="57" t="s">
        <v>510</v>
      </c>
      <c r="AJ125" s="50">
        <f t="shared" si="145"/>
        <v>0</v>
      </c>
      <c r="AK125" s="50">
        <f t="shared" si="146"/>
        <v>0</v>
      </c>
      <c r="AL125" s="50">
        <f t="shared" si="147"/>
        <v>0</v>
      </c>
      <c r="AN125" s="50">
        <v>21</v>
      </c>
      <c r="AO125" s="50">
        <f>G125*0.524501278772379</f>
        <v>0</v>
      </c>
      <c r="AP125" s="50">
        <f>G125*(1-0.524501278772379)</f>
        <v>0</v>
      </c>
      <c r="AQ125" s="38" t="s">
        <v>731</v>
      </c>
      <c r="AV125" s="50">
        <f t="shared" si="148"/>
        <v>0</v>
      </c>
      <c r="AW125" s="50">
        <f t="shared" si="149"/>
        <v>0</v>
      </c>
      <c r="AX125" s="50">
        <f t="shared" si="150"/>
        <v>0</v>
      </c>
      <c r="AY125" s="38" t="s">
        <v>138</v>
      </c>
      <c r="AZ125" s="38" t="s">
        <v>679</v>
      </c>
      <c r="BA125" s="57" t="s">
        <v>571</v>
      </c>
      <c r="BC125" s="50">
        <f t="shared" si="151"/>
        <v>0</v>
      </c>
      <c r="BD125" s="50">
        <f t="shared" si="152"/>
        <v>0</v>
      </c>
      <c r="BE125" s="50">
        <v>0</v>
      </c>
      <c r="BF125" s="50">
        <f>125</f>
        <v>125</v>
      </c>
      <c r="BH125" s="50">
        <f t="shared" si="153"/>
        <v>0</v>
      </c>
      <c r="BI125" s="50">
        <f t="shared" si="154"/>
        <v>0</v>
      </c>
      <c r="BJ125" s="50">
        <f t="shared" si="155"/>
        <v>0</v>
      </c>
      <c r="BK125" s="50"/>
      <c r="BL125" s="50">
        <v>734</v>
      </c>
      <c r="BW125" s="50">
        <v>21</v>
      </c>
    </row>
    <row r="126" spans="1:75" ht="13.5" customHeight="1" x14ac:dyDescent="0.25">
      <c r="A126" s="36" t="s">
        <v>519</v>
      </c>
      <c r="B126" s="53" t="s">
        <v>58</v>
      </c>
      <c r="C126" s="68" t="s">
        <v>319</v>
      </c>
      <c r="D126" s="69"/>
      <c r="E126" s="53" t="s">
        <v>180</v>
      </c>
      <c r="F126" s="50">
        <v>3</v>
      </c>
      <c r="G126" s="50">
        <v>0</v>
      </c>
      <c r="H126" s="50">
        <f t="shared" si="134"/>
        <v>0</v>
      </c>
      <c r="I126" s="50">
        <f t="shared" si="135"/>
        <v>0</v>
      </c>
      <c r="J126" s="50">
        <f t="shared" si="136"/>
        <v>0</v>
      </c>
      <c r="K126" s="50">
        <v>2.4000000000000001E-4</v>
      </c>
      <c r="L126" s="29">
        <v>2.4000000000000001E-4</v>
      </c>
      <c r="Z126" s="50">
        <f t="shared" si="137"/>
        <v>0</v>
      </c>
      <c r="AB126" s="50">
        <f t="shared" si="138"/>
        <v>0</v>
      </c>
      <c r="AC126" s="50">
        <f t="shared" si="139"/>
        <v>0</v>
      </c>
      <c r="AD126" s="50">
        <f t="shared" si="140"/>
        <v>0</v>
      </c>
      <c r="AE126" s="50">
        <f t="shared" si="141"/>
        <v>0</v>
      </c>
      <c r="AF126" s="50">
        <f t="shared" si="142"/>
        <v>0</v>
      </c>
      <c r="AG126" s="50">
        <f t="shared" si="143"/>
        <v>0</v>
      </c>
      <c r="AH126" s="50">
        <f t="shared" si="144"/>
        <v>0</v>
      </c>
      <c r="AI126" s="57" t="s">
        <v>510</v>
      </c>
      <c r="AJ126" s="50">
        <f t="shared" si="145"/>
        <v>0</v>
      </c>
      <c r="AK126" s="50">
        <f t="shared" si="146"/>
        <v>0</v>
      </c>
      <c r="AL126" s="50">
        <f t="shared" si="147"/>
        <v>0</v>
      </c>
      <c r="AN126" s="50">
        <v>21</v>
      </c>
      <c r="AO126" s="50">
        <f>G126*0.66217654171705</f>
        <v>0</v>
      </c>
      <c r="AP126" s="50">
        <f>G126*(1-0.66217654171705)</f>
        <v>0</v>
      </c>
      <c r="AQ126" s="38" t="s">
        <v>731</v>
      </c>
      <c r="AV126" s="50">
        <f t="shared" si="148"/>
        <v>0</v>
      </c>
      <c r="AW126" s="50">
        <f t="shared" si="149"/>
        <v>0</v>
      </c>
      <c r="AX126" s="50">
        <f t="shared" si="150"/>
        <v>0</v>
      </c>
      <c r="AY126" s="38" t="s">
        <v>138</v>
      </c>
      <c r="AZ126" s="38" t="s">
        <v>679</v>
      </c>
      <c r="BA126" s="57" t="s">
        <v>571</v>
      </c>
      <c r="BC126" s="50">
        <f t="shared" si="151"/>
        <v>0</v>
      </c>
      <c r="BD126" s="50">
        <f t="shared" si="152"/>
        <v>0</v>
      </c>
      <c r="BE126" s="50">
        <v>0</v>
      </c>
      <c r="BF126" s="50">
        <f>126</f>
        <v>126</v>
      </c>
      <c r="BH126" s="50">
        <f t="shared" si="153"/>
        <v>0</v>
      </c>
      <c r="BI126" s="50">
        <f t="shared" si="154"/>
        <v>0</v>
      </c>
      <c r="BJ126" s="50">
        <f t="shared" si="155"/>
        <v>0</v>
      </c>
      <c r="BK126" s="50"/>
      <c r="BL126" s="50">
        <v>734</v>
      </c>
      <c r="BW126" s="50">
        <v>21</v>
      </c>
    </row>
    <row r="127" spans="1:75" ht="13.5" customHeight="1" x14ac:dyDescent="0.25">
      <c r="A127" s="36" t="s">
        <v>341</v>
      </c>
      <c r="B127" s="53" t="s">
        <v>769</v>
      </c>
      <c r="C127" s="68" t="s">
        <v>39</v>
      </c>
      <c r="D127" s="69"/>
      <c r="E127" s="53" t="s">
        <v>180</v>
      </c>
      <c r="F127" s="50">
        <v>1</v>
      </c>
      <c r="G127" s="50">
        <v>0</v>
      </c>
      <c r="H127" s="50">
        <f t="shared" si="134"/>
        <v>0</v>
      </c>
      <c r="I127" s="50">
        <f t="shared" si="135"/>
        <v>0</v>
      </c>
      <c r="J127" s="50">
        <f t="shared" si="136"/>
        <v>0</v>
      </c>
      <c r="K127" s="50">
        <v>1.6999999999999999E-3</v>
      </c>
      <c r="L127" s="29">
        <v>1.6999999999999999E-3</v>
      </c>
      <c r="Z127" s="50">
        <f t="shared" si="137"/>
        <v>0</v>
      </c>
      <c r="AB127" s="50">
        <f t="shared" si="138"/>
        <v>0</v>
      </c>
      <c r="AC127" s="50">
        <f t="shared" si="139"/>
        <v>0</v>
      </c>
      <c r="AD127" s="50">
        <f t="shared" si="140"/>
        <v>0</v>
      </c>
      <c r="AE127" s="50">
        <f t="shared" si="141"/>
        <v>0</v>
      </c>
      <c r="AF127" s="50">
        <f t="shared" si="142"/>
        <v>0</v>
      </c>
      <c r="AG127" s="50">
        <f t="shared" si="143"/>
        <v>0</v>
      </c>
      <c r="AH127" s="50">
        <f t="shared" si="144"/>
        <v>0</v>
      </c>
      <c r="AI127" s="57" t="s">
        <v>510</v>
      </c>
      <c r="AJ127" s="50">
        <f t="shared" si="145"/>
        <v>0</v>
      </c>
      <c r="AK127" s="50">
        <f t="shared" si="146"/>
        <v>0</v>
      </c>
      <c r="AL127" s="50">
        <f t="shared" si="147"/>
        <v>0</v>
      </c>
      <c r="AN127" s="50">
        <v>21</v>
      </c>
      <c r="AO127" s="50">
        <f>G127*0.854163614163614</f>
        <v>0</v>
      </c>
      <c r="AP127" s="50">
        <f>G127*(1-0.854163614163614)</f>
        <v>0</v>
      </c>
      <c r="AQ127" s="38" t="s">
        <v>731</v>
      </c>
      <c r="AV127" s="50">
        <f t="shared" si="148"/>
        <v>0</v>
      </c>
      <c r="AW127" s="50">
        <f t="shared" si="149"/>
        <v>0</v>
      </c>
      <c r="AX127" s="50">
        <f t="shared" si="150"/>
        <v>0</v>
      </c>
      <c r="AY127" s="38" t="s">
        <v>138</v>
      </c>
      <c r="AZ127" s="38" t="s">
        <v>679</v>
      </c>
      <c r="BA127" s="57" t="s">
        <v>571</v>
      </c>
      <c r="BC127" s="50">
        <f t="shared" si="151"/>
        <v>0</v>
      </c>
      <c r="BD127" s="50">
        <f t="shared" si="152"/>
        <v>0</v>
      </c>
      <c r="BE127" s="50">
        <v>0</v>
      </c>
      <c r="BF127" s="50">
        <f>127</f>
        <v>127</v>
      </c>
      <c r="BH127" s="50">
        <f t="shared" si="153"/>
        <v>0</v>
      </c>
      <c r="BI127" s="50">
        <f t="shared" si="154"/>
        <v>0</v>
      </c>
      <c r="BJ127" s="50">
        <f t="shared" si="155"/>
        <v>0</v>
      </c>
      <c r="BK127" s="50"/>
      <c r="BL127" s="50">
        <v>734</v>
      </c>
      <c r="BW127" s="50">
        <v>21</v>
      </c>
    </row>
    <row r="128" spans="1:75" ht="13.5" customHeight="1" x14ac:dyDescent="0.25">
      <c r="A128" s="36" t="s">
        <v>611</v>
      </c>
      <c r="B128" s="53" t="s">
        <v>819</v>
      </c>
      <c r="C128" s="68" t="s">
        <v>198</v>
      </c>
      <c r="D128" s="69"/>
      <c r="E128" s="53" t="s">
        <v>180</v>
      </c>
      <c r="F128" s="50">
        <v>1</v>
      </c>
      <c r="G128" s="50">
        <v>0</v>
      </c>
      <c r="H128" s="50">
        <f t="shared" si="134"/>
        <v>0</v>
      </c>
      <c r="I128" s="50">
        <f t="shared" si="135"/>
        <v>0</v>
      </c>
      <c r="J128" s="50">
        <f t="shared" si="136"/>
        <v>0</v>
      </c>
      <c r="K128" s="50">
        <v>1.1999999999999999E-3</v>
      </c>
      <c r="L128" s="29">
        <v>1.1999999999999999E-3</v>
      </c>
      <c r="Z128" s="50">
        <f t="shared" si="137"/>
        <v>0</v>
      </c>
      <c r="AB128" s="50">
        <f t="shared" si="138"/>
        <v>0</v>
      </c>
      <c r="AC128" s="50">
        <f t="shared" si="139"/>
        <v>0</v>
      </c>
      <c r="AD128" s="50">
        <f t="shared" si="140"/>
        <v>0</v>
      </c>
      <c r="AE128" s="50">
        <f t="shared" si="141"/>
        <v>0</v>
      </c>
      <c r="AF128" s="50">
        <f t="shared" si="142"/>
        <v>0</v>
      </c>
      <c r="AG128" s="50">
        <f t="shared" si="143"/>
        <v>0</v>
      </c>
      <c r="AH128" s="50">
        <f t="shared" si="144"/>
        <v>0</v>
      </c>
      <c r="AI128" s="57" t="s">
        <v>510</v>
      </c>
      <c r="AJ128" s="50">
        <f t="shared" si="145"/>
        <v>0</v>
      </c>
      <c r="AK128" s="50">
        <f t="shared" si="146"/>
        <v>0</v>
      </c>
      <c r="AL128" s="50">
        <f t="shared" si="147"/>
        <v>0</v>
      </c>
      <c r="AN128" s="50">
        <v>21</v>
      </c>
      <c r="AO128" s="50">
        <f>G128*0.795067357512953</f>
        <v>0</v>
      </c>
      <c r="AP128" s="50">
        <f>G128*(1-0.795067357512953)</f>
        <v>0</v>
      </c>
      <c r="AQ128" s="38" t="s">
        <v>731</v>
      </c>
      <c r="AV128" s="50">
        <f t="shared" si="148"/>
        <v>0</v>
      </c>
      <c r="AW128" s="50">
        <f t="shared" si="149"/>
        <v>0</v>
      </c>
      <c r="AX128" s="50">
        <f t="shared" si="150"/>
        <v>0</v>
      </c>
      <c r="AY128" s="38" t="s">
        <v>138</v>
      </c>
      <c r="AZ128" s="38" t="s">
        <v>679</v>
      </c>
      <c r="BA128" s="57" t="s">
        <v>571</v>
      </c>
      <c r="BC128" s="50">
        <f t="shared" si="151"/>
        <v>0</v>
      </c>
      <c r="BD128" s="50">
        <f t="shared" si="152"/>
        <v>0</v>
      </c>
      <c r="BE128" s="50">
        <v>0</v>
      </c>
      <c r="BF128" s="50">
        <f>128</f>
        <v>128</v>
      </c>
      <c r="BH128" s="50">
        <f t="shared" si="153"/>
        <v>0</v>
      </c>
      <c r="BI128" s="50">
        <f t="shared" si="154"/>
        <v>0</v>
      </c>
      <c r="BJ128" s="50">
        <f t="shared" si="155"/>
        <v>0</v>
      </c>
      <c r="BK128" s="50"/>
      <c r="BL128" s="50">
        <v>734</v>
      </c>
      <c r="BW128" s="50">
        <v>21</v>
      </c>
    </row>
    <row r="129" spans="1:75" ht="13.5" customHeight="1" x14ac:dyDescent="0.25">
      <c r="A129" s="36" t="s">
        <v>683</v>
      </c>
      <c r="B129" s="53" t="s">
        <v>422</v>
      </c>
      <c r="C129" s="68" t="s">
        <v>430</v>
      </c>
      <c r="D129" s="69"/>
      <c r="E129" s="53" t="s">
        <v>250</v>
      </c>
      <c r="F129" s="50">
        <v>1</v>
      </c>
      <c r="G129" s="50">
        <v>0</v>
      </c>
      <c r="H129" s="50">
        <f t="shared" si="134"/>
        <v>0</v>
      </c>
      <c r="I129" s="50">
        <f t="shared" si="135"/>
        <v>0</v>
      </c>
      <c r="J129" s="50">
        <f t="shared" si="136"/>
        <v>0</v>
      </c>
      <c r="K129" s="50">
        <v>3.4199999999999999E-3</v>
      </c>
      <c r="L129" s="29">
        <v>3.4199999999999999E-3</v>
      </c>
      <c r="Z129" s="50">
        <f t="shared" si="137"/>
        <v>0</v>
      </c>
      <c r="AB129" s="50">
        <f t="shared" si="138"/>
        <v>0</v>
      </c>
      <c r="AC129" s="50">
        <f t="shared" si="139"/>
        <v>0</v>
      </c>
      <c r="AD129" s="50">
        <f t="shared" si="140"/>
        <v>0</v>
      </c>
      <c r="AE129" s="50">
        <f t="shared" si="141"/>
        <v>0</v>
      </c>
      <c r="AF129" s="50">
        <f t="shared" si="142"/>
        <v>0</v>
      </c>
      <c r="AG129" s="50">
        <f t="shared" si="143"/>
        <v>0</v>
      </c>
      <c r="AH129" s="50">
        <f t="shared" si="144"/>
        <v>0</v>
      </c>
      <c r="AI129" s="57" t="s">
        <v>510</v>
      </c>
      <c r="AJ129" s="50">
        <f t="shared" si="145"/>
        <v>0</v>
      </c>
      <c r="AK129" s="50">
        <f t="shared" si="146"/>
        <v>0</v>
      </c>
      <c r="AL129" s="50">
        <f t="shared" si="147"/>
        <v>0</v>
      </c>
      <c r="AN129" s="50">
        <v>21</v>
      </c>
      <c r="AO129" s="50">
        <f>G129*0.651857555341675</f>
        <v>0</v>
      </c>
      <c r="AP129" s="50">
        <f>G129*(1-0.651857555341675)</f>
        <v>0</v>
      </c>
      <c r="AQ129" s="38" t="s">
        <v>731</v>
      </c>
      <c r="AV129" s="50">
        <f t="shared" si="148"/>
        <v>0</v>
      </c>
      <c r="AW129" s="50">
        <f t="shared" si="149"/>
        <v>0</v>
      </c>
      <c r="AX129" s="50">
        <f t="shared" si="150"/>
        <v>0</v>
      </c>
      <c r="AY129" s="38" t="s">
        <v>138</v>
      </c>
      <c r="AZ129" s="38" t="s">
        <v>679</v>
      </c>
      <c r="BA129" s="57" t="s">
        <v>571</v>
      </c>
      <c r="BC129" s="50">
        <f t="shared" si="151"/>
        <v>0</v>
      </c>
      <c r="BD129" s="50">
        <f t="shared" si="152"/>
        <v>0</v>
      </c>
      <c r="BE129" s="50">
        <v>0</v>
      </c>
      <c r="BF129" s="50">
        <f>129</f>
        <v>129</v>
      </c>
      <c r="BH129" s="50">
        <f t="shared" si="153"/>
        <v>0</v>
      </c>
      <c r="BI129" s="50">
        <f t="shared" si="154"/>
        <v>0</v>
      </c>
      <c r="BJ129" s="50">
        <f t="shared" si="155"/>
        <v>0</v>
      </c>
      <c r="BK129" s="50"/>
      <c r="BL129" s="50">
        <v>734</v>
      </c>
      <c r="BW129" s="50">
        <v>21</v>
      </c>
    </row>
    <row r="130" spans="1:75" ht="13.5" customHeight="1" x14ac:dyDescent="0.25">
      <c r="A130" s="36" t="s">
        <v>647</v>
      </c>
      <c r="B130" s="53" t="s">
        <v>597</v>
      </c>
      <c r="C130" s="68" t="s">
        <v>492</v>
      </c>
      <c r="D130" s="69"/>
      <c r="E130" s="53" t="s">
        <v>180</v>
      </c>
      <c r="F130" s="50">
        <v>2</v>
      </c>
      <c r="G130" s="50">
        <v>0</v>
      </c>
      <c r="H130" s="50">
        <f t="shared" si="134"/>
        <v>0</v>
      </c>
      <c r="I130" s="50">
        <f t="shared" si="135"/>
        <v>0</v>
      </c>
      <c r="J130" s="50">
        <f t="shared" si="136"/>
        <v>0</v>
      </c>
      <c r="K130" s="50">
        <v>6.2E-4</v>
      </c>
      <c r="L130" s="29">
        <v>6.2E-4</v>
      </c>
      <c r="Z130" s="50">
        <f t="shared" si="137"/>
        <v>0</v>
      </c>
      <c r="AB130" s="50">
        <f t="shared" si="138"/>
        <v>0</v>
      </c>
      <c r="AC130" s="50">
        <f t="shared" si="139"/>
        <v>0</v>
      </c>
      <c r="AD130" s="50">
        <f t="shared" si="140"/>
        <v>0</v>
      </c>
      <c r="AE130" s="50">
        <f t="shared" si="141"/>
        <v>0</v>
      </c>
      <c r="AF130" s="50">
        <f t="shared" si="142"/>
        <v>0</v>
      </c>
      <c r="AG130" s="50">
        <f t="shared" si="143"/>
        <v>0</v>
      </c>
      <c r="AH130" s="50">
        <f t="shared" si="144"/>
        <v>0</v>
      </c>
      <c r="AI130" s="57" t="s">
        <v>510</v>
      </c>
      <c r="AJ130" s="50">
        <f t="shared" si="145"/>
        <v>0</v>
      </c>
      <c r="AK130" s="50">
        <f t="shared" si="146"/>
        <v>0</v>
      </c>
      <c r="AL130" s="50">
        <f t="shared" si="147"/>
        <v>0</v>
      </c>
      <c r="AN130" s="50">
        <v>21</v>
      </c>
      <c r="AO130" s="50">
        <f>G130*0.712530712530713</f>
        <v>0</v>
      </c>
      <c r="AP130" s="50">
        <f>G130*(1-0.712530712530713)</f>
        <v>0</v>
      </c>
      <c r="AQ130" s="38" t="s">
        <v>731</v>
      </c>
      <c r="AV130" s="50">
        <f t="shared" si="148"/>
        <v>0</v>
      </c>
      <c r="AW130" s="50">
        <f t="shared" si="149"/>
        <v>0</v>
      </c>
      <c r="AX130" s="50">
        <f t="shared" si="150"/>
        <v>0</v>
      </c>
      <c r="AY130" s="38" t="s">
        <v>138</v>
      </c>
      <c r="AZ130" s="38" t="s">
        <v>679</v>
      </c>
      <c r="BA130" s="57" t="s">
        <v>571</v>
      </c>
      <c r="BC130" s="50">
        <f t="shared" si="151"/>
        <v>0</v>
      </c>
      <c r="BD130" s="50">
        <f t="shared" si="152"/>
        <v>0</v>
      </c>
      <c r="BE130" s="50">
        <v>0</v>
      </c>
      <c r="BF130" s="50">
        <f>130</f>
        <v>130</v>
      </c>
      <c r="BH130" s="50">
        <f t="shared" si="153"/>
        <v>0</v>
      </c>
      <c r="BI130" s="50">
        <f t="shared" si="154"/>
        <v>0</v>
      </c>
      <c r="BJ130" s="50">
        <f t="shared" si="155"/>
        <v>0</v>
      </c>
      <c r="BK130" s="50"/>
      <c r="BL130" s="50">
        <v>734</v>
      </c>
      <c r="BW130" s="50">
        <v>21</v>
      </c>
    </row>
    <row r="131" spans="1:75" ht="13.5" customHeight="1" x14ac:dyDescent="0.25">
      <c r="A131" s="36" t="s">
        <v>15</v>
      </c>
      <c r="B131" s="53" t="s">
        <v>260</v>
      </c>
      <c r="C131" s="68" t="s">
        <v>175</v>
      </c>
      <c r="D131" s="69"/>
      <c r="E131" s="53" t="s">
        <v>180</v>
      </c>
      <c r="F131" s="50">
        <v>9</v>
      </c>
      <c r="G131" s="50">
        <v>0</v>
      </c>
      <c r="H131" s="50">
        <f t="shared" si="134"/>
        <v>0</v>
      </c>
      <c r="I131" s="50">
        <f t="shared" si="135"/>
        <v>0</v>
      </c>
      <c r="J131" s="50">
        <f t="shared" si="136"/>
        <v>0</v>
      </c>
      <c r="K131" s="50">
        <v>1.1800000000000001E-3</v>
      </c>
      <c r="L131" s="29">
        <v>1.1800000000000001E-3</v>
      </c>
      <c r="Z131" s="50">
        <f t="shared" si="137"/>
        <v>0</v>
      </c>
      <c r="AB131" s="50">
        <f t="shared" si="138"/>
        <v>0</v>
      </c>
      <c r="AC131" s="50">
        <f t="shared" si="139"/>
        <v>0</v>
      </c>
      <c r="AD131" s="50">
        <f t="shared" si="140"/>
        <v>0</v>
      </c>
      <c r="AE131" s="50">
        <f t="shared" si="141"/>
        <v>0</v>
      </c>
      <c r="AF131" s="50">
        <f t="shared" si="142"/>
        <v>0</v>
      </c>
      <c r="AG131" s="50">
        <f t="shared" si="143"/>
        <v>0</v>
      </c>
      <c r="AH131" s="50">
        <f t="shared" si="144"/>
        <v>0</v>
      </c>
      <c r="AI131" s="57" t="s">
        <v>510</v>
      </c>
      <c r="AJ131" s="50">
        <f t="shared" si="145"/>
        <v>0</v>
      </c>
      <c r="AK131" s="50">
        <f t="shared" si="146"/>
        <v>0</v>
      </c>
      <c r="AL131" s="50">
        <f t="shared" si="147"/>
        <v>0</v>
      </c>
      <c r="AN131" s="50">
        <v>21</v>
      </c>
      <c r="AO131" s="50">
        <f>G131*0.862937922556853</f>
        <v>0</v>
      </c>
      <c r="AP131" s="50">
        <f>G131*(1-0.862937922556853)</f>
        <v>0</v>
      </c>
      <c r="AQ131" s="38" t="s">
        <v>731</v>
      </c>
      <c r="AV131" s="50">
        <f t="shared" si="148"/>
        <v>0</v>
      </c>
      <c r="AW131" s="50">
        <f t="shared" si="149"/>
        <v>0</v>
      </c>
      <c r="AX131" s="50">
        <f t="shared" si="150"/>
        <v>0</v>
      </c>
      <c r="AY131" s="38" t="s">
        <v>138</v>
      </c>
      <c r="AZ131" s="38" t="s">
        <v>679</v>
      </c>
      <c r="BA131" s="57" t="s">
        <v>571</v>
      </c>
      <c r="BC131" s="50">
        <f t="shared" si="151"/>
        <v>0</v>
      </c>
      <c r="BD131" s="50">
        <f t="shared" si="152"/>
        <v>0</v>
      </c>
      <c r="BE131" s="50">
        <v>0</v>
      </c>
      <c r="BF131" s="50">
        <f>131</f>
        <v>131</v>
      </c>
      <c r="BH131" s="50">
        <f t="shared" si="153"/>
        <v>0</v>
      </c>
      <c r="BI131" s="50">
        <f t="shared" si="154"/>
        <v>0</v>
      </c>
      <c r="BJ131" s="50">
        <f t="shared" si="155"/>
        <v>0</v>
      </c>
      <c r="BK131" s="50"/>
      <c r="BL131" s="50">
        <v>734</v>
      </c>
      <c r="BW131" s="50">
        <v>21</v>
      </c>
    </row>
    <row r="132" spans="1:75" ht="13.5" customHeight="1" x14ac:dyDescent="0.25">
      <c r="A132" s="36" t="s">
        <v>280</v>
      </c>
      <c r="B132" s="53" t="s">
        <v>588</v>
      </c>
      <c r="C132" s="68" t="s">
        <v>97</v>
      </c>
      <c r="D132" s="69"/>
      <c r="E132" s="53" t="s">
        <v>180</v>
      </c>
      <c r="F132" s="50">
        <v>3</v>
      </c>
      <c r="G132" s="50">
        <v>0</v>
      </c>
      <c r="H132" s="50">
        <f t="shared" si="134"/>
        <v>0</v>
      </c>
      <c r="I132" s="50">
        <f t="shared" si="135"/>
        <v>0</v>
      </c>
      <c r="J132" s="50">
        <f t="shared" si="136"/>
        <v>0</v>
      </c>
      <c r="K132" s="50">
        <v>3.1E-4</v>
      </c>
      <c r="L132" s="29">
        <v>3.1E-4</v>
      </c>
      <c r="Z132" s="50">
        <f t="shared" si="137"/>
        <v>0</v>
      </c>
      <c r="AB132" s="50">
        <f t="shared" si="138"/>
        <v>0</v>
      </c>
      <c r="AC132" s="50">
        <f t="shared" si="139"/>
        <v>0</v>
      </c>
      <c r="AD132" s="50">
        <f t="shared" si="140"/>
        <v>0</v>
      </c>
      <c r="AE132" s="50">
        <f t="shared" si="141"/>
        <v>0</v>
      </c>
      <c r="AF132" s="50">
        <f t="shared" si="142"/>
        <v>0</v>
      </c>
      <c r="AG132" s="50">
        <f t="shared" si="143"/>
        <v>0</v>
      </c>
      <c r="AH132" s="50">
        <f t="shared" si="144"/>
        <v>0</v>
      </c>
      <c r="AI132" s="57" t="s">
        <v>510</v>
      </c>
      <c r="AJ132" s="50">
        <f t="shared" si="145"/>
        <v>0</v>
      </c>
      <c r="AK132" s="50">
        <f t="shared" si="146"/>
        <v>0</v>
      </c>
      <c r="AL132" s="50">
        <f t="shared" si="147"/>
        <v>0</v>
      </c>
      <c r="AN132" s="50">
        <v>21</v>
      </c>
      <c r="AO132" s="50">
        <f>G132*0.732588055130168</f>
        <v>0</v>
      </c>
      <c r="AP132" s="50">
        <f>G132*(1-0.732588055130168)</f>
        <v>0</v>
      </c>
      <c r="AQ132" s="38" t="s">
        <v>731</v>
      </c>
      <c r="AV132" s="50">
        <f t="shared" si="148"/>
        <v>0</v>
      </c>
      <c r="AW132" s="50">
        <f t="shared" si="149"/>
        <v>0</v>
      </c>
      <c r="AX132" s="50">
        <f t="shared" si="150"/>
        <v>0</v>
      </c>
      <c r="AY132" s="38" t="s">
        <v>138</v>
      </c>
      <c r="AZ132" s="38" t="s">
        <v>679</v>
      </c>
      <c r="BA132" s="57" t="s">
        <v>571</v>
      </c>
      <c r="BC132" s="50">
        <f t="shared" si="151"/>
        <v>0</v>
      </c>
      <c r="BD132" s="50">
        <f t="shared" si="152"/>
        <v>0</v>
      </c>
      <c r="BE132" s="50">
        <v>0</v>
      </c>
      <c r="BF132" s="50">
        <f>132</f>
        <v>132</v>
      </c>
      <c r="BH132" s="50">
        <f t="shared" si="153"/>
        <v>0</v>
      </c>
      <c r="BI132" s="50">
        <f t="shared" si="154"/>
        <v>0</v>
      </c>
      <c r="BJ132" s="50">
        <f t="shared" si="155"/>
        <v>0</v>
      </c>
      <c r="BK132" s="50"/>
      <c r="BL132" s="50">
        <v>734</v>
      </c>
      <c r="BW132" s="50">
        <v>21</v>
      </c>
    </row>
    <row r="133" spans="1:75" ht="13.5" customHeight="1" x14ac:dyDescent="0.25">
      <c r="A133" s="36" t="s">
        <v>89</v>
      </c>
      <c r="B133" s="53" t="s">
        <v>602</v>
      </c>
      <c r="C133" s="68" t="s">
        <v>812</v>
      </c>
      <c r="D133" s="69"/>
      <c r="E133" s="53" t="s">
        <v>180</v>
      </c>
      <c r="F133" s="50">
        <v>7</v>
      </c>
      <c r="G133" s="50">
        <v>0</v>
      </c>
      <c r="H133" s="50">
        <f t="shared" si="134"/>
        <v>0</v>
      </c>
      <c r="I133" s="50">
        <f t="shared" si="135"/>
        <v>0</v>
      </c>
      <c r="J133" s="50">
        <f t="shared" si="136"/>
        <v>0</v>
      </c>
      <c r="K133" s="50">
        <v>1.1E-4</v>
      </c>
      <c r="L133" s="29">
        <v>1.1E-4</v>
      </c>
      <c r="Z133" s="50">
        <f t="shared" si="137"/>
        <v>0</v>
      </c>
      <c r="AB133" s="50">
        <f t="shared" si="138"/>
        <v>0</v>
      </c>
      <c r="AC133" s="50">
        <f t="shared" si="139"/>
        <v>0</v>
      </c>
      <c r="AD133" s="50">
        <f t="shared" si="140"/>
        <v>0</v>
      </c>
      <c r="AE133" s="50">
        <f t="shared" si="141"/>
        <v>0</v>
      </c>
      <c r="AF133" s="50">
        <f t="shared" si="142"/>
        <v>0</v>
      </c>
      <c r="AG133" s="50">
        <f t="shared" si="143"/>
        <v>0</v>
      </c>
      <c r="AH133" s="50">
        <f t="shared" si="144"/>
        <v>0</v>
      </c>
      <c r="AI133" s="57" t="s">
        <v>510</v>
      </c>
      <c r="AJ133" s="50">
        <f t="shared" si="145"/>
        <v>0</v>
      </c>
      <c r="AK133" s="50">
        <f t="shared" si="146"/>
        <v>0</v>
      </c>
      <c r="AL133" s="50">
        <f t="shared" si="147"/>
        <v>0</v>
      </c>
      <c r="AN133" s="50">
        <v>21</v>
      </c>
      <c r="AO133" s="50">
        <f>G133*0.652631578947368</f>
        <v>0</v>
      </c>
      <c r="AP133" s="50">
        <f>G133*(1-0.652631578947368)</f>
        <v>0</v>
      </c>
      <c r="AQ133" s="38" t="s">
        <v>731</v>
      </c>
      <c r="AV133" s="50">
        <f t="shared" si="148"/>
        <v>0</v>
      </c>
      <c r="AW133" s="50">
        <f t="shared" si="149"/>
        <v>0</v>
      </c>
      <c r="AX133" s="50">
        <f t="shared" si="150"/>
        <v>0</v>
      </c>
      <c r="AY133" s="38" t="s">
        <v>138</v>
      </c>
      <c r="AZ133" s="38" t="s">
        <v>679</v>
      </c>
      <c r="BA133" s="57" t="s">
        <v>571</v>
      </c>
      <c r="BC133" s="50">
        <f t="shared" si="151"/>
        <v>0</v>
      </c>
      <c r="BD133" s="50">
        <f t="shared" si="152"/>
        <v>0</v>
      </c>
      <c r="BE133" s="50">
        <v>0</v>
      </c>
      <c r="BF133" s="50">
        <f>133</f>
        <v>133</v>
      </c>
      <c r="BH133" s="50">
        <f t="shared" si="153"/>
        <v>0</v>
      </c>
      <c r="BI133" s="50">
        <f t="shared" si="154"/>
        <v>0</v>
      </c>
      <c r="BJ133" s="50">
        <f t="shared" si="155"/>
        <v>0</v>
      </c>
      <c r="BK133" s="50"/>
      <c r="BL133" s="50">
        <v>734</v>
      </c>
      <c r="BW133" s="50">
        <v>21</v>
      </c>
    </row>
    <row r="134" spans="1:75" ht="13.5" customHeight="1" x14ac:dyDescent="0.25">
      <c r="A134" s="36" t="s">
        <v>800</v>
      </c>
      <c r="B134" s="53" t="s">
        <v>135</v>
      </c>
      <c r="C134" s="68" t="s">
        <v>266</v>
      </c>
      <c r="D134" s="69"/>
      <c r="E134" s="53" t="s">
        <v>180</v>
      </c>
      <c r="F134" s="50">
        <v>1</v>
      </c>
      <c r="G134" s="50">
        <v>0</v>
      </c>
      <c r="H134" s="50">
        <f t="shared" si="134"/>
        <v>0</v>
      </c>
      <c r="I134" s="50">
        <f t="shared" si="135"/>
        <v>0</v>
      </c>
      <c r="J134" s="50">
        <f t="shared" si="136"/>
        <v>0</v>
      </c>
      <c r="K134" s="50">
        <v>2.5200000000000001E-3</v>
      </c>
      <c r="L134" s="29">
        <v>2.5200000000000001E-3</v>
      </c>
      <c r="Z134" s="50">
        <f t="shared" si="137"/>
        <v>0</v>
      </c>
      <c r="AB134" s="50">
        <f t="shared" si="138"/>
        <v>0</v>
      </c>
      <c r="AC134" s="50">
        <f t="shared" si="139"/>
        <v>0</v>
      </c>
      <c r="AD134" s="50">
        <f t="shared" si="140"/>
        <v>0</v>
      </c>
      <c r="AE134" s="50">
        <f t="shared" si="141"/>
        <v>0</v>
      </c>
      <c r="AF134" s="50">
        <f t="shared" si="142"/>
        <v>0</v>
      </c>
      <c r="AG134" s="50">
        <f t="shared" si="143"/>
        <v>0</v>
      </c>
      <c r="AH134" s="50">
        <f t="shared" si="144"/>
        <v>0</v>
      </c>
      <c r="AI134" s="57" t="s">
        <v>510</v>
      </c>
      <c r="AJ134" s="50">
        <f t="shared" si="145"/>
        <v>0</v>
      </c>
      <c r="AK134" s="50">
        <f t="shared" si="146"/>
        <v>0</v>
      </c>
      <c r="AL134" s="50">
        <f t="shared" si="147"/>
        <v>0</v>
      </c>
      <c r="AN134" s="50">
        <v>21</v>
      </c>
      <c r="AO134" s="50">
        <f>G134*0.777142857142857</f>
        <v>0</v>
      </c>
      <c r="AP134" s="50">
        <f>G134*(1-0.777142857142857)</f>
        <v>0</v>
      </c>
      <c r="AQ134" s="38" t="s">
        <v>731</v>
      </c>
      <c r="AV134" s="50">
        <f t="shared" si="148"/>
        <v>0</v>
      </c>
      <c r="AW134" s="50">
        <f t="shared" si="149"/>
        <v>0</v>
      </c>
      <c r="AX134" s="50">
        <f t="shared" si="150"/>
        <v>0</v>
      </c>
      <c r="AY134" s="38" t="s">
        <v>138</v>
      </c>
      <c r="AZ134" s="38" t="s">
        <v>679</v>
      </c>
      <c r="BA134" s="57" t="s">
        <v>571</v>
      </c>
      <c r="BC134" s="50">
        <f t="shared" si="151"/>
        <v>0</v>
      </c>
      <c r="BD134" s="50">
        <f t="shared" si="152"/>
        <v>0</v>
      </c>
      <c r="BE134" s="50">
        <v>0</v>
      </c>
      <c r="BF134" s="50">
        <f>134</f>
        <v>134</v>
      </c>
      <c r="BH134" s="50">
        <f t="shared" si="153"/>
        <v>0</v>
      </c>
      <c r="BI134" s="50">
        <f t="shared" si="154"/>
        <v>0</v>
      </c>
      <c r="BJ134" s="50">
        <f t="shared" si="155"/>
        <v>0</v>
      </c>
      <c r="BK134" s="50"/>
      <c r="BL134" s="50">
        <v>734</v>
      </c>
      <c r="BW134" s="50">
        <v>21</v>
      </c>
    </row>
    <row r="135" spans="1:75" ht="13.5" customHeight="1" x14ac:dyDescent="0.25">
      <c r="A135" s="36" t="s">
        <v>346</v>
      </c>
      <c r="B135" s="53" t="s">
        <v>135</v>
      </c>
      <c r="C135" s="68" t="s">
        <v>616</v>
      </c>
      <c r="D135" s="69"/>
      <c r="E135" s="53" t="s">
        <v>180</v>
      </c>
      <c r="F135" s="50">
        <v>1</v>
      </c>
      <c r="G135" s="50">
        <v>0</v>
      </c>
      <c r="H135" s="50">
        <f t="shared" si="134"/>
        <v>0</v>
      </c>
      <c r="I135" s="50">
        <f t="shared" si="135"/>
        <v>0</v>
      </c>
      <c r="J135" s="50">
        <f t="shared" si="136"/>
        <v>0</v>
      </c>
      <c r="K135" s="50">
        <v>2.5200000000000001E-3</v>
      </c>
      <c r="L135" s="29">
        <v>2.5200000000000001E-3</v>
      </c>
      <c r="Z135" s="50">
        <f t="shared" si="137"/>
        <v>0</v>
      </c>
      <c r="AB135" s="50">
        <f t="shared" si="138"/>
        <v>0</v>
      </c>
      <c r="AC135" s="50">
        <f t="shared" si="139"/>
        <v>0</v>
      </c>
      <c r="AD135" s="50">
        <f t="shared" si="140"/>
        <v>0</v>
      </c>
      <c r="AE135" s="50">
        <f t="shared" si="141"/>
        <v>0</v>
      </c>
      <c r="AF135" s="50">
        <f t="shared" si="142"/>
        <v>0</v>
      </c>
      <c r="AG135" s="50">
        <f t="shared" si="143"/>
        <v>0</v>
      </c>
      <c r="AH135" s="50">
        <f t="shared" si="144"/>
        <v>0</v>
      </c>
      <c r="AI135" s="57" t="s">
        <v>510</v>
      </c>
      <c r="AJ135" s="50">
        <f t="shared" si="145"/>
        <v>0</v>
      </c>
      <c r="AK135" s="50">
        <f t="shared" si="146"/>
        <v>0</v>
      </c>
      <c r="AL135" s="50">
        <f t="shared" si="147"/>
        <v>0</v>
      </c>
      <c r="AN135" s="50">
        <v>21</v>
      </c>
      <c r="AO135" s="50">
        <f>G135*0.883582089552239</f>
        <v>0</v>
      </c>
      <c r="AP135" s="50">
        <f>G135*(1-0.883582089552239)</f>
        <v>0</v>
      </c>
      <c r="AQ135" s="38" t="s">
        <v>731</v>
      </c>
      <c r="AV135" s="50">
        <f t="shared" si="148"/>
        <v>0</v>
      </c>
      <c r="AW135" s="50">
        <f t="shared" si="149"/>
        <v>0</v>
      </c>
      <c r="AX135" s="50">
        <f t="shared" si="150"/>
        <v>0</v>
      </c>
      <c r="AY135" s="38" t="s">
        <v>138</v>
      </c>
      <c r="AZ135" s="38" t="s">
        <v>679</v>
      </c>
      <c r="BA135" s="57" t="s">
        <v>571</v>
      </c>
      <c r="BC135" s="50">
        <f t="shared" si="151"/>
        <v>0</v>
      </c>
      <c r="BD135" s="50">
        <f t="shared" si="152"/>
        <v>0</v>
      </c>
      <c r="BE135" s="50">
        <v>0</v>
      </c>
      <c r="BF135" s="50">
        <f>135</f>
        <v>135</v>
      </c>
      <c r="BH135" s="50">
        <f t="shared" si="153"/>
        <v>0</v>
      </c>
      <c r="BI135" s="50">
        <f t="shared" si="154"/>
        <v>0</v>
      </c>
      <c r="BJ135" s="50">
        <f t="shared" si="155"/>
        <v>0</v>
      </c>
      <c r="BK135" s="50"/>
      <c r="BL135" s="50">
        <v>734</v>
      </c>
      <c r="BW135" s="50">
        <v>21</v>
      </c>
    </row>
    <row r="136" spans="1:75" ht="13.5" customHeight="1" x14ac:dyDescent="0.25">
      <c r="A136" s="36" t="s">
        <v>613</v>
      </c>
      <c r="B136" s="53" t="s">
        <v>111</v>
      </c>
      <c r="C136" s="68" t="s">
        <v>798</v>
      </c>
      <c r="D136" s="69"/>
      <c r="E136" s="53" t="s">
        <v>180</v>
      </c>
      <c r="F136" s="50">
        <v>1</v>
      </c>
      <c r="G136" s="50">
        <v>0</v>
      </c>
      <c r="H136" s="50">
        <f t="shared" si="134"/>
        <v>0</v>
      </c>
      <c r="I136" s="50">
        <f t="shared" si="135"/>
        <v>0</v>
      </c>
      <c r="J136" s="50">
        <f t="shared" si="136"/>
        <v>0</v>
      </c>
      <c r="K136" s="50">
        <v>0</v>
      </c>
      <c r="L136" s="29">
        <v>0</v>
      </c>
      <c r="Z136" s="50">
        <f t="shared" si="137"/>
        <v>0</v>
      </c>
      <c r="AB136" s="50">
        <f t="shared" si="138"/>
        <v>0</v>
      </c>
      <c r="AC136" s="50">
        <f t="shared" si="139"/>
        <v>0</v>
      </c>
      <c r="AD136" s="50">
        <f t="shared" si="140"/>
        <v>0</v>
      </c>
      <c r="AE136" s="50">
        <f t="shared" si="141"/>
        <v>0</v>
      </c>
      <c r="AF136" s="50">
        <f t="shared" si="142"/>
        <v>0</v>
      </c>
      <c r="AG136" s="50">
        <f t="shared" si="143"/>
        <v>0</v>
      </c>
      <c r="AH136" s="50">
        <f t="shared" si="144"/>
        <v>0</v>
      </c>
      <c r="AI136" s="57" t="s">
        <v>510</v>
      </c>
      <c r="AJ136" s="50">
        <f t="shared" si="145"/>
        <v>0</v>
      </c>
      <c r="AK136" s="50">
        <f t="shared" si="146"/>
        <v>0</v>
      </c>
      <c r="AL136" s="50">
        <f t="shared" si="147"/>
        <v>0</v>
      </c>
      <c r="AN136" s="50">
        <v>21</v>
      </c>
      <c r="AO136" s="50">
        <f>G136*0.974126378723843</f>
        <v>0</v>
      </c>
      <c r="AP136" s="50">
        <f>G136*(1-0.974126378723843)</f>
        <v>0</v>
      </c>
      <c r="AQ136" s="38" t="s">
        <v>731</v>
      </c>
      <c r="AV136" s="50">
        <f t="shared" si="148"/>
        <v>0</v>
      </c>
      <c r="AW136" s="50">
        <f t="shared" si="149"/>
        <v>0</v>
      </c>
      <c r="AX136" s="50">
        <f t="shared" si="150"/>
        <v>0</v>
      </c>
      <c r="AY136" s="38" t="s">
        <v>138</v>
      </c>
      <c r="AZ136" s="38" t="s">
        <v>679</v>
      </c>
      <c r="BA136" s="57" t="s">
        <v>571</v>
      </c>
      <c r="BC136" s="50">
        <f t="shared" si="151"/>
        <v>0</v>
      </c>
      <c r="BD136" s="50">
        <f t="shared" si="152"/>
        <v>0</v>
      </c>
      <c r="BE136" s="50">
        <v>0</v>
      </c>
      <c r="BF136" s="50">
        <f>136</f>
        <v>136</v>
      </c>
      <c r="BH136" s="50">
        <f t="shared" si="153"/>
        <v>0</v>
      </c>
      <c r="BI136" s="50">
        <f t="shared" si="154"/>
        <v>0</v>
      </c>
      <c r="BJ136" s="50">
        <f t="shared" si="155"/>
        <v>0</v>
      </c>
      <c r="BK136" s="50"/>
      <c r="BL136" s="50">
        <v>734</v>
      </c>
      <c r="BW136" s="50">
        <v>21</v>
      </c>
    </row>
    <row r="137" spans="1:75" ht="13.5" customHeight="1" x14ac:dyDescent="0.25">
      <c r="A137" s="36" t="s">
        <v>330</v>
      </c>
      <c r="B137" s="53" t="s">
        <v>29</v>
      </c>
      <c r="C137" s="68" t="s">
        <v>357</v>
      </c>
      <c r="D137" s="69"/>
      <c r="E137" s="53" t="s">
        <v>180</v>
      </c>
      <c r="F137" s="50">
        <v>1</v>
      </c>
      <c r="G137" s="50">
        <v>0</v>
      </c>
      <c r="H137" s="50">
        <f t="shared" si="134"/>
        <v>0</v>
      </c>
      <c r="I137" s="50">
        <f t="shared" si="135"/>
        <v>0</v>
      </c>
      <c r="J137" s="50">
        <f t="shared" si="136"/>
        <v>0</v>
      </c>
      <c r="K137" s="50">
        <v>0</v>
      </c>
      <c r="L137" s="29">
        <v>0</v>
      </c>
      <c r="Z137" s="50">
        <f t="shared" si="137"/>
        <v>0</v>
      </c>
      <c r="AB137" s="50">
        <f t="shared" si="138"/>
        <v>0</v>
      </c>
      <c r="AC137" s="50">
        <f t="shared" si="139"/>
        <v>0</v>
      </c>
      <c r="AD137" s="50">
        <f t="shared" si="140"/>
        <v>0</v>
      </c>
      <c r="AE137" s="50">
        <f t="shared" si="141"/>
        <v>0</v>
      </c>
      <c r="AF137" s="50">
        <f t="shared" si="142"/>
        <v>0</v>
      </c>
      <c r="AG137" s="50">
        <f t="shared" si="143"/>
        <v>0</v>
      </c>
      <c r="AH137" s="50">
        <f t="shared" si="144"/>
        <v>0</v>
      </c>
      <c r="AI137" s="57" t="s">
        <v>510</v>
      </c>
      <c r="AJ137" s="50">
        <f t="shared" si="145"/>
        <v>0</v>
      </c>
      <c r="AK137" s="50">
        <f t="shared" si="146"/>
        <v>0</v>
      </c>
      <c r="AL137" s="50">
        <f t="shared" si="147"/>
        <v>0</v>
      </c>
      <c r="AN137" s="50">
        <v>21</v>
      </c>
      <c r="AO137" s="50">
        <f>G137*0.964296166227685</f>
        <v>0</v>
      </c>
      <c r="AP137" s="50">
        <f>G137*(1-0.964296166227685)</f>
        <v>0</v>
      </c>
      <c r="AQ137" s="38" t="s">
        <v>731</v>
      </c>
      <c r="AV137" s="50">
        <f t="shared" si="148"/>
        <v>0</v>
      </c>
      <c r="AW137" s="50">
        <f t="shared" si="149"/>
        <v>0</v>
      </c>
      <c r="AX137" s="50">
        <f t="shared" si="150"/>
        <v>0</v>
      </c>
      <c r="AY137" s="38" t="s">
        <v>138</v>
      </c>
      <c r="AZ137" s="38" t="s">
        <v>679</v>
      </c>
      <c r="BA137" s="57" t="s">
        <v>571</v>
      </c>
      <c r="BC137" s="50">
        <f t="shared" si="151"/>
        <v>0</v>
      </c>
      <c r="BD137" s="50">
        <f t="shared" si="152"/>
        <v>0</v>
      </c>
      <c r="BE137" s="50">
        <v>0</v>
      </c>
      <c r="BF137" s="50">
        <f>137</f>
        <v>137</v>
      </c>
      <c r="BH137" s="50">
        <f t="shared" si="153"/>
        <v>0</v>
      </c>
      <c r="BI137" s="50">
        <f t="shared" si="154"/>
        <v>0</v>
      </c>
      <c r="BJ137" s="50">
        <f t="shared" si="155"/>
        <v>0</v>
      </c>
      <c r="BK137" s="50"/>
      <c r="BL137" s="50">
        <v>734</v>
      </c>
      <c r="BW137" s="50">
        <v>21</v>
      </c>
    </row>
    <row r="138" spans="1:75" ht="13.5" customHeight="1" x14ac:dyDescent="0.25">
      <c r="A138" s="36" t="s">
        <v>476</v>
      </c>
      <c r="B138" s="53" t="s">
        <v>632</v>
      </c>
      <c r="C138" s="68" t="s">
        <v>464</v>
      </c>
      <c r="D138" s="69"/>
      <c r="E138" s="53" t="s">
        <v>180</v>
      </c>
      <c r="F138" s="50">
        <v>1</v>
      </c>
      <c r="G138" s="50">
        <v>0</v>
      </c>
      <c r="H138" s="50">
        <f t="shared" si="134"/>
        <v>0</v>
      </c>
      <c r="I138" s="50">
        <f t="shared" si="135"/>
        <v>0</v>
      </c>
      <c r="J138" s="50">
        <f t="shared" si="136"/>
        <v>0</v>
      </c>
      <c r="K138" s="50">
        <v>2.1000000000000001E-4</v>
      </c>
      <c r="L138" s="29">
        <v>2.1000000000000001E-4</v>
      </c>
      <c r="Z138" s="50">
        <f t="shared" si="137"/>
        <v>0</v>
      </c>
      <c r="AB138" s="50">
        <f t="shared" si="138"/>
        <v>0</v>
      </c>
      <c r="AC138" s="50">
        <f t="shared" si="139"/>
        <v>0</v>
      </c>
      <c r="AD138" s="50">
        <f t="shared" si="140"/>
        <v>0</v>
      </c>
      <c r="AE138" s="50">
        <f t="shared" si="141"/>
        <v>0</v>
      </c>
      <c r="AF138" s="50">
        <f t="shared" si="142"/>
        <v>0</v>
      </c>
      <c r="AG138" s="50">
        <f t="shared" si="143"/>
        <v>0</v>
      </c>
      <c r="AH138" s="50">
        <f t="shared" si="144"/>
        <v>0</v>
      </c>
      <c r="AI138" s="57" t="s">
        <v>510</v>
      </c>
      <c r="AJ138" s="50">
        <f t="shared" si="145"/>
        <v>0</v>
      </c>
      <c r="AK138" s="50">
        <f t="shared" si="146"/>
        <v>0</v>
      </c>
      <c r="AL138" s="50">
        <f t="shared" si="147"/>
        <v>0</v>
      </c>
      <c r="AN138" s="50">
        <v>21</v>
      </c>
      <c r="AO138" s="50">
        <f>G138*0.87667161961367</f>
        <v>0</v>
      </c>
      <c r="AP138" s="50">
        <f>G138*(1-0.87667161961367)</f>
        <v>0</v>
      </c>
      <c r="AQ138" s="38" t="s">
        <v>731</v>
      </c>
      <c r="AV138" s="50">
        <f t="shared" si="148"/>
        <v>0</v>
      </c>
      <c r="AW138" s="50">
        <f t="shared" si="149"/>
        <v>0</v>
      </c>
      <c r="AX138" s="50">
        <f t="shared" si="150"/>
        <v>0</v>
      </c>
      <c r="AY138" s="38" t="s">
        <v>138</v>
      </c>
      <c r="AZ138" s="38" t="s">
        <v>679</v>
      </c>
      <c r="BA138" s="57" t="s">
        <v>571</v>
      </c>
      <c r="BC138" s="50">
        <f t="shared" si="151"/>
        <v>0</v>
      </c>
      <c r="BD138" s="50">
        <f t="shared" si="152"/>
        <v>0</v>
      </c>
      <c r="BE138" s="50">
        <v>0</v>
      </c>
      <c r="BF138" s="50">
        <f>138</f>
        <v>138</v>
      </c>
      <c r="BH138" s="50">
        <f t="shared" si="153"/>
        <v>0</v>
      </c>
      <c r="BI138" s="50">
        <f t="shared" si="154"/>
        <v>0</v>
      </c>
      <c r="BJ138" s="50">
        <f t="shared" si="155"/>
        <v>0</v>
      </c>
      <c r="BK138" s="50"/>
      <c r="BL138" s="50">
        <v>734</v>
      </c>
      <c r="BW138" s="50">
        <v>21</v>
      </c>
    </row>
    <row r="139" spans="1:75" ht="13.5" customHeight="1" x14ac:dyDescent="0.25">
      <c r="A139" s="36" t="s">
        <v>794</v>
      </c>
      <c r="B139" s="53" t="s">
        <v>386</v>
      </c>
      <c r="C139" s="68" t="s">
        <v>42</v>
      </c>
      <c r="D139" s="69"/>
      <c r="E139" s="53" t="s">
        <v>180</v>
      </c>
      <c r="F139" s="50">
        <v>1</v>
      </c>
      <c r="G139" s="50">
        <v>0</v>
      </c>
      <c r="H139" s="50">
        <f t="shared" si="134"/>
        <v>0</v>
      </c>
      <c r="I139" s="50">
        <f t="shared" si="135"/>
        <v>0</v>
      </c>
      <c r="J139" s="50">
        <f t="shared" si="136"/>
        <v>0</v>
      </c>
      <c r="K139" s="50">
        <v>6.7000000000000002E-4</v>
      </c>
      <c r="L139" s="29">
        <v>6.7000000000000002E-4</v>
      </c>
      <c r="Z139" s="50">
        <f t="shared" si="137"/>
        <v>0</v>
      </c>
      <c r="AB139" s="50">
        <f t="shared" si="138"/>
        <v>0</v>
      </c>
      <c r="AC139" s="50">
        <f t="shared" si="139"/>
        <v>0</v>
      </c>
      <c r="AD139" s="50">
        <f t="shared" si="140"/>
        <v>0</v>
      </c>
      <c r="AE139" s="50">
        <f t="shared" si="141"/>
        <v>0</v>
      </c>
      <c r="AF139" s="50">
        <f t="shared" si="142"/>
        <v>0</v>
      </c>
      <c r="AG139" s="50">
        <f t="shared" si="143"/>
        <v>0</v>
      </c>
      <c r="AH139" s="50">
        <f t="shared" si="144"/>
        <v>0</v>
      </c>
      <c r="AI139" s="57" t="s">
        <v>510</v>
      </c>
      <c r="AJ139" s="50">
        <f t="shared" si="145"/>
        <v>0</v>
      </c>
      <c r="AK139" s="50">
        <f t="shared" si="146"/>
        <v>0</v>
      </c>
      <c r="AL139" s="50">
        <f t="shared" si="147"/>
        <v>0</v>
      </c>
      <c r="AN139" s="50">
        <v>21</v>
      </c>
      <c r="AO139" s="50">
        <f>G139*0.927731092436975</f>
        <v>0</v>
      </c>
      <c r="AP139" s="50">
        <f>G139*(1-0.927731092436975)</f>
        <v>0</v>
      </c>
      <c r="AQ139" s="38" t="s">
        <v>731</v>
      </c>
      <c r="AV139" s="50">
        <f t="shared" si="148"/>
        <v>0</v>
      </c>
      <c r="AW139" s="50">
        <f t="shared" si="149"/>
        <v>0</v>
      </c>
      <c r="AX139" s="50">
        <f t="shared" si="150"/>
        <v>0</v>
      </c>
      <c r="AY139" s="38" t="s">
        <v>138</v>
      </c>
      <c r="AZ139" s="38" t="s">
        <v>679</v>
      </c>
      <c r="BA139" s="57" t="s">
        <v>571</v>
      </c>
      <c r="BC139" s="50">
        <f t="shared" si="151"/>
        <v>0</v>
      </c>
      <c r="BD139" s="50">
        <f t="shared" si="152"/>
        <v>0</v>
      </c>
      <c r="BE139" s="50">
        <v>0</v>
      </c>
      <c r="BF139" s="50">
        <f>139</f>
        <v>139</v>
      </c>
      <c r="BH139" s="50">
        <f t="shared" si="153"/>
        <v>0</v>
      </c>
      <c r="BI139" s="50">
        <f t="shared" si="154"/>
        <v>0</v>
      </c>
      <c r="BJ139" s="50">
        <f t="shared" si="155"/>
        <v>0</v>
      </c>
      <c r="BK139" s="50"/>
      <c r="BL139" s="50">
        <v>734</v>
      </c>
      <c r="BW139" s="50">
        <v>21</v>
      </c>
    </row>
    <row r="140" spans="1:75" ht="13.5" customHeight="1" x14ac:dyDescent="0.25">
      <c r="A140" s="36" t="s">
        <v>521</v>
      </c>
      <c r="B140" s="53" t="s">
        <v>392</v>
      </c>
      <c r="C140" s="68" t="s">
        <v>139</v>
      </c>
      <c r="D140" s="69"/>
      <c r="E140" s="53" t="s">
        <v>180</v>
      </c>
      <c r="F140" s="50">
        <v>2</v>
      </c>
      <c r="G140" s="50">
        <v>0</v>
      </c>
      <c r="H140" s="50">
        <f t="shared" si="134"/>
        <v>0</v>
      </c>
      <c r="I140" s="50">
        <f t="shared" si="135"/>
        <v>0</v>
      </c>
      <c r="J140" s="50">
        <f t="shared" si="136"/>
        <v>0</v>
      </c>
      <c r="K140" s="50">
        <v>0</v>
      </c>
      <c r="L140" s="29">
        <v>0</v>
      </c>
      <c r="Z140" s="50">
        <f t="shared" si="137"/>
        <v>0</v>
      </c>
      <c r="AB140" s="50">
        <f t="shared" si="138"/>
        <v>0</v>
      </c>
      <c r="AC140" s="50">
        <f t="shared" si="139"/>
        <v>0</v>
      </c>
      <c r="AD140" s="50">
        <f t="shared" si="140"/>
        <v>0</v>
      </c>
      <c r="AE140" s="50">
        <f t="shared" si="141"/>
        <v>0</v>
      </c>
      <c r="AF140" s="50">
        <f t="shared" si="142"/>
        <v>0</v>
      </c>
      <c r="AG140" s="50">
        <f t="shared" si="143"/>
        <v>0</v>
      </c>
      <c r="AH140" s="50">
        <f t="shared" si="144"/>
        <v>0</v>
      </c>
      <c r="AI140" s="57" t="s">
        <v>510</v>
      </c>
      <c r="AJ140" s="50">
        <f t="shared" si="145"/>
        <v>0</v>
      </c>
      <c r="AK140" s="50">
        <f t="shared" si="146"/>
        <v>0</v>
      </c>
      <c r="AL140" s="50">
        <f t="shared" si="147"/>
        <v>0</v>
      </c>
      <c r="AN140" s="50">
        <v>21</v>
      </c>
      <c r="AO140" s="50">
        <f>G140*0.837282780410742</f>
        <v>0</v>
      </c>
      <c r="AP140" s="50">
        <f>G140*(1-0.837282780410742)</f>
        <v>0</v>
      </c>
      <c r="AQ140" s="38" t="s">
        <v>731</v>
      </c>
      <c r="AV140" s="50">
        <f t="shared" si="148"/>
        <v>0</v>
      </c>
      <c r="AW140" s="50">
        <f t="shared" si="149"/>
        <v>0</v>
      </c>
      <c r="AX140" s="50">
        <f t="shared" si="150"/>
        <v>0</v>
      </c>
      <c r="AY140" s="38" t="s">
        <v>138</v>
      </c>
      <c r="AZ140" s="38" t="s">
        <v>679</v>
      </c>
      <c r="BA140" s="57" t="s">
        <v>571</v>
      </c>
      <c r="BC140" s="50">
        <f t="shared" si="151"/>
        <v>0</v>
      </c>
      <c r="BD140" s="50">
        <f t="shared" si="152"/>
        <v>0</v>
      </c>
      <c r="BE140" s="50">
        <v>0</v>
      </c>
      <c r="BF140" s="50">
        <f>140</f>
        <v>140</v>
      </c>
      <c r="BH140" s="50">
        <f t="shared" si="153"/>
        <v>0</v>
      </c>
      <c r="BI140" s="50">
        <f t="shared" si="154"/>
        <v>0</v>
      </c>
      <c r="BJ140" s="50">
        <f t="shared" si="155"/>
        <v>0</v>
      </c>
      <c r="BK140" s="50"/>
      <c r="BL140" s="50">
        <v>734</v>
      </c>
      <c r="BW140" s="50">
        <v>21</v>
      </c>
    </row>
    <row r="141" spans="1:75" ht="15" customHeight="1" x14ac:dyDescent="0.25">
      <c r="A141" s="47" t="s">
        <v>510</v>
      </c>
      <c r="B141" s="35" t="s">
        <v>755</v>
      </c>
      <c r="C141" s="70" t="s">
        <v>155</v>
      </c>
      <c r="D141" s="71"/>
      <c r="E141" s="1" t="s">
        <v>686</v>
      </c>
      <c r="F141" s="1" t="s">
        <v>686</v>
      </c>
      <c r="G141" s="1" t="s">
        <v>686</v>
      </c>
      <c r="H141" s="5">
        <f>SUM(H142:H142)</f>
        <v>0</v>
      </c>
      <c r="I141" s="5">
        <f>SUM(I142:I142)</f>
        <v>0</v>
      </c>
      <c r="J141" s="5">
        <f>SUM(J142:J142)</f>
        <v>0</v>
      </c>
      <c r="K141" s="57" t="s">
        <v>510</v>
      </c>
      <c r="L141" s="7" t="s">
        <v>510</v>
      </c>
      <c r="AI141" s="57" t="s">
        <v>510</v>
      </c>
      <c r="AS141" s="5">
        <f>SUM(AJ142:AJ142)</f>
        <v>0</v>
      </c>
      <c r="AT141" s="5">
        <f>SUM(AK142:AK142)</f>
        <v>0</v>
      </c>
      <c r="AU141" s="5">
        <f>SUM(AL142:AL142)</f>
        <v>0</v>
      </c>
    </row>
    <row r="142" spans="1:75" ht="27" customHeight="1" x14ac:dyDescent="0.25">
      <c r="A142" s="36" t="s">
        <v>799</v>
      </c>
      <c r="B142" s="53" t="s">
        <v>712</v>
      </c>
      <c r="C142" s="68" t="s">
        <v>795</v>
      </c>
      <c r="D142" s="69"/>
      <c r="E142" s="53" t="s">
        <v>716</v>
      </c>
      <c r="F142" s="50">
        <v>680</v>
      </c>
      <c r="G142" s="50">
        <v>0</v>
      </c>
      <c r="H142" s="50">
        <f>F142*AO142</f>
        <v>0</v>
      </c>
      <c r="I142" s="50">
        <f>F142*AP142</f>
        <v>0</v>
      </c>
      <c r="J142" s="50">
        <f>F142*G142</f>
        <v>0</v>
      </c>
      <c r="K142" s="50">
        <v>0</v>
      </c>
      <c r="L142" s="29">
        <v>0</v>
      </c>
      <c r="Z142" s="50">
        <f>IF(AQ142="5",BJ142,0)</f>
        <v>0</v>
      </c>
      <c r="AB142" s="50">
        <f>IF(AQ142="1",BH142,0)</f>
        <v>0</v>
      </c>
      <c r="AC142" s="50">
        <f>IF(AQ142="1",BI142,0)</f>
        <v>0</v>
      </c>
      <c r="AD142" s="50">
        <f>IF(AQ142="7",BH142,0)</f>
        <v>0</v>
      </c>
      <c r="AE142" s="50">
        <f>IF(AQ142="7",BI142,0)</f>
        <v>0</v>
      </c>
      <c r="AF142" s="50">
        <f>IF(AQ142="2",BH142,0)</f>
        <v>0</v>
      </c>
      <c r="AG142" s="50">
        <f>IF(AQ142="2",BI142,0)</f>
        <v>0</v>
      </c>
      <c r="AH142" s="50">
        <f>IF(AQ142="0",BJ142,0)</f>
        <v>0</v>
      </c>
      <c r="AI142" s="57" t="s">
        <v>510</v>
      </c>
      <c r="AJ142" s="50">
        <f>IF(AN142=0,J142,0)</f>
        <v>0</v>
      </c>
      <c r="AK142" s="50">
        <f>IF(AN142=15,J142,0)</f>
        <v>0</v>
      </c>
      <c r="AL142" s="50">
        <f>IF(AN142=21,J142,0)</f>
        <v>0</v>
      </c>
      <c r="AN142" s="50">
        <v>21</v>
      </c>
      <c r="AO142" s="50">
        <f>G142*0.0142446732104381</f>
        <v>0</v>
      </c>
      <c r="AP142" s="50">
        <f>G142*(1-0.0142446732104381)</f>
        <v>0</v>
      </c>
      <c r="AQ142" s="38" t="s">
        <v>731</v>
      </c>
      <c r="AV142" s="50">
        <f>AW142+AX142</f>
        <v>0</v>
      </c>
      <c r="AW142" s="50">
        <f>F142*AO142</f>
        <v>0</v>
      </c>
      <c r="AX142" s="50">
        <f>F142*AP142</f>
        <v>0</v>
      </c>
      <c r="AY142" s="38" t="s">
        <v>410</v>
      </c>
      <c r="AZ142" s="38" t="s">
        <v>679</v>
      </c>
      <c r="BA142" s="57" t="s">
        <v>571</v>
      </c>
      <c r="BC142" s="50">
        <f>AW142+AX142</f>
        <v>0</v>
      </c>
      <c r="BD142" s="50">
        <f>G142/(100-BE142)*100</f>
        <v>0</v>
      </c>
      <c r="BE142" s="50">
        <v>0</v>
      </c>
      <c r="BF142" s="50">
        <f>142</f>
        <v>142</v>
      </c>
      <c r="BH142" s="50">
        <f>F142*AO142</f>
        <v>0</v>
      </c>
      <c r="BI142" s="50">
        <f>F142*AP142</f>
        <v>0</v>
      </c>
      <c r="BJ142" s="50">
        <f>F142*G142</f>
        <v>0</v>
      </c>
      <c r="BK142" s="50"/>
      <c r="BL142" s="50">
        <v>735</v>
      </c>
      <c r="BW142" s="50">
        <v>21</v>
      </c>
    </row>
    <row r="143" spans="1:75" ht="15" customHeight="1" x14ac:dyDescent="0.25">
      <c r="A143" s="66"/>
      <c r="C143" s="60" t="s">
        <v>644</v>
      </c>
      <c r="D143" s="60" t="s">
        <v>0</v>
      </c>
      <c r="F143" s="42">
        <v>680</v>
      </c>
      <c r="L143" s="52"/>
    </row>
    <row r="144" spans="1:75" ht="15" customHeight="1" x14ac:dyDescent="0.25">
      <c r="A144" s="47" t="s">
        <v>510</v>
      </c>
      <c r="B144" s="35" t="s">
        <v>416</v>
      </c>
      <c r="C144" s="70" t="s">
        <v>590</v>
      </c>
      <c r="D144" s="71"/>
      <c r="E144" s="1" t="s">
        <v>686</v>
      </c>
      <c r="F144" s="1" t="s">
        <v>686</v>
      </c>
      <c r="G144" s="1" t="s">
        <v>686</v>
      </c>
      <c r="H144" s="5">
        <f>SUM(H145:H148)</f>
        <v>0</v>
      </c>
      <c r="I144" s="5">
        <f>SUM(I145:I148)</f>
        <v>0</v>
      </c>
      <c r="J144" s="5">
        <f>SUM(J145:J148)</f>
        <v>0</v>
      </c>
      <c r="K144" s="57" t="s">
        <v>510</v>
      </c>
      <c r="L144" s="7" t="s">
        <v>510</v>
      </c>
      <c r="AI144" s="57" t="s">
        <v>510</v>
      </c>
      <c r="AS144" s="5">
        <f>SUM(AJ145:AJ148)</f>
        <v>0</v>
      </c>
      <c r="AT144" s="5">
        <f>SUM(AK145:AK148)</f>
        <v>0</v>
      </c>
      <c r="AU144" s="5">
        <f>SUM(AL145:AL148)</f>
        <v>0</v>
      </c>
    </row>
    <row r="145" spans="1:75" ht="13.5" customHeight="1" x14ac:dyDescent="0.25">
      <c r="A145" s="36" t="s">
        <v>750</v>
      </c>
      <c r="B145" s="53" t="s">
        <v>444</v>
      </c>
      <c r="C145" s="68" t="s">
        <v>466</v>
      </c>
      <c r="D145" s="69"/>
      <c r="E145" s="53" t="s">
        <v>180</v>
      </c>
      <c r="F145" s="50">
        <v>8</v>
      </c>
      <c r="G145" s="50">
        <v>0</v>
      </c>
      <c r="H145" s="50">
        <f>F145*AO145</f>
        <v>0</v>
      </c>
      <c r="I145" s="50">
        <f>F145*AP145</f>
        <v>0</v>
      </c>
      <c r="J145" s="50">
        <f>F145*G145</f>
        <v>0</v>
      </c>
      <c r="K145" s="50">
        <v>2.9999999999999997E-4</v>
      </c>
      <c r="L145" s="29">
        <v>2.9999999999999997E-4</v>
      </c>
      <c r="Z145" s="50">
        <f>IF(AQ145="5",BJ145,0)</f>
        <v>0</v>
      </c>
      <c r="AB145" s="50">
        <f>IF(AQ145="1",BH145,0)</f>
        <v>0</v>
      </c>
      <c r="AC145" s="50">
        <f>IF(AQ145="1",BI145,0)</f>
        <v>0</v>
      </c>
      <c r="AD145" s="50">
        <f>IF(AQ145="7",BH145,0)</f>
        <v>0</v>
      </c>
      <c r="AE145" s="50">
        <f>IF(AQ145="7",BI145,0)</f>
        <v>0</v>
      </c>
      <c r="AF145" s="50">
        <f>IF(AQ145="2",BH145,0)</f>
        <v>0</v>
      </c>
      <c r="AG145" s="50">
        <f>IF(AQ145="2",BI145,0)</f>
        <v>0</v>
      </c>
      <c r="AH145" s="50">
        <f>IF(AQ145="0",BJ145,0)</f>
        <v>0</v>
      </c>
      <c r="AI145" s="57" t="s">
        <v>510</v>
      </c>
      <c r="AJ145" s="50">
        <f>IF(AN145=0,J145,0)</f>
        <v>0</v>
      </c>
      <c r="AK145" s="50">
        <f>IF(AN145=15,J145,0)</f>
        <v>0</v>
      </c>
      <c r="AL145" s="50">
        <f>IF(AN145=21,J145,0)</f>
        <v>0</v>
      </c>
      <c r="AN145" s="50">
        <v>21</v>
      </c>
      <c r="AO145" s="50">
        <f>G145*0.428652118100128</f>
        <v>0</v>
      </c>
      <c r="AP145" s="50">
        <f>G145*(1-0.428652118100128)</f>
        <v>0</v>
      </c>
      <c r="AQ145" s="38" t="s">
        <v>731</v>
      </c>
      <c r="AV145" s="50">
        <f>AW145+AX145</f>
        <v>0</v>
      </c>
      <c r="AW145" s="50">
        <f>F145*AO145</f>
        <v>0</v>
      </c>
      <c r="AX145" s="50">
        <f>F145*AP145</f>
        <v>0</v>
      </c>
      <c r="AY145" s="38" t="s">
        <v>165</v>
      </c>
      <c r="AZ145" s="38" t="s">
        <v>314</v>
      </c>
      <c r="BA145" s="57" t="s">
        <v>571</v>
      </c>
      <c r="BC145" s="50">
        <f>AW145+AX145</f>
        <v>0</v>
      </c>
      <c r="BD145" s="50">
        <f>G145/(100-BE145)*100</f>
        <v>0</v>
      </c>
      <c r="BE145" s="50">
        <v>0</v>
      </c>
      <c r="BF145" s="50">
        <f>145</f>
        <v>145</v>
      </c>
      <c r="BH145" s="50">
        <f>F145*AO145</f>
        <v>0</v>
      </c>
      <c r="BI145" s="50">
        <f>F145*AP145</f>
        <v>0</v>
      </c>
      <c r="BJ145" s="50">
        <f>F145*G145</f>
        <v>0</v>
      </c>
      <c r="BK145" s="50"/>
      <c r="BL145" s="50">
        <v>783</v>
      </c>
      <c r="BW145" s="50">
        <v>21</v>
      </c>
    </row>
    <row r="146" spans="1:75" ht="13.5" customHeight="1" x14ac:dyDescent="0.25">
      <c r="A146" s="36" t="s">
        <v>706</v>
      </c>
      <c r="B146" s="53" t="s">
        <v>427</v>
      </c>
      <c r="C146" s="68" t="s">
        <v>517</v>
      </c>
      <c r="D146" s="69"/>
      <c r="E146" s="53" t="s">
        <v>618</v>
      </c>
      <c r="F146" s="50">
        <v>16</v>
      </c>
      <c r="G146" s="50">
        <v>0</v>
      </c>
      <c r="H146" s="50">
        <f>F146*AO146</f>
        <v>0</v>
      </c>
      <c r="I146" s="50">
        <f>F146*AP146</f>
        <v>0</v>
      </c>
      <c r="J146" s="50">
        <f>F146*G146</f>
        <v>0</v>
      </c>
      <c r="K146" s="50">
        <v>6.9999999999999994E-5</v>
      </c>
      <c r="L146" s="29">
        <v>6.9999999999999994E-5</v>
      </c>
      <c r="Z146" s="50">
        <f>IF(AQ146="5",BJ146,0)</f>
        <v>0</v>
      </c>
      <c r="AB146" s="50">
        <f>IF(AQ146="1",BH146,0)</f>
        <v>0</v>
      </c>
      <c r="AC146" s="50">
        <f>IF(AQ146="1",BI146,0)</f>
        <v>0</v>
      </c>
      <c r="AD146" s="50">
        <f>IF(AQ146="7",BH146,0)</f>
        <v>0</v>
      </c>
      <c r="AE146" s="50">
        <f>IF(AQ146="7",BI146,0)</f>
        <v>0</v>
      </c>
      <c r="AF146" s="50">
        <f>IF(AQ146="2",BH146,0)</f>
        <v>0</v>
      </c>
      <c r="AG146" s="50">
        <f>IF(AQ146="2",BI146,0)</f>
        <v>0</v>
      </c>
      <c r="AH146" s="50">
        <f>IF(AQ146="0",BJ146,0)</f>
        <v>0</v>
      </c>
      <c r="AI146" s="57" t="s">
        <v>510</v>
      </c>
      <c r="AJ146" s="50">
        <f>IF(AN146=0,J146,0)</f>
        <v>0</v>
      </c>
      <c r="AK146" s="50">
        <f>IF(AN146=15,J146,0)</f>
        <v>0</v>
      </c>
      <c r="AL146" s="50">
        <f>IF(AN146=21,J146,0)</f>
        <v>0</v>
      </c>
      <c r="AN146" s="50">
        <v>21</v>
      </c>
      <c r="AO146" s="50">
        <f>G146*0.191010309278351</f>
        <v>0</v>
      </c>
      <c r="AP146" s="50">
        <f>G146*(1-0.191010309278351)</f>
        <v>0</v>
      </c>
      <c r="AQ146" s="38" t="s">
        <v>731</v>
      </c>
      <c r="AV146" s="50">
        <f>AW146+AX146</f>
        <v>0</v>
      </c>
      <c r="AW146" s="50">
        <f>F146*AO146</f>
        <v>0</v>
      </c>
      <c r="AX146" s="50">
        <f>F146*AP146</f>
        <v>0</v>
      </c>
      <c r="AY146" s="38" t="s">
        <v>165</v>
      </c>
      <c r="AZ146" s="38" t="s">
        <v>314</v>
      </c>
      <c r="BA146" s="57" t="s">
        <v>571</v>
      </c>
      <c r="BC146" s="50">
        <f>AW146+AX146</f>
        <v>0</v>
      </c>
      <c r="BD146" s="50">
        <f>G146/(100-BE146)*100</f>
        <v>0</v>
      </c>
      <c r="BE146" s="50">
        <v>0</v>
      </c>
      <c r="BF146" s="50">
        <f>146</f>
        <v>146</v>
      </c>
      <c r="BH146" s="50">
        <f>F146*AO146</f>
        <v>0</v>
      </c>
      <c r="BI146" s="50">
        <f>F146*AP146</f>
        <v>0</v>
      </c>
      <c r="BJ146" s="50">
        <f>F146*G146</f>
        <v>0</v>
      </c>
      <c r="BK146" s="50"/>
      <c r="BL146" s="50">
        <v>783</v>
      </c>
      <c r="BW146" s="50">
        <v>21</v>
      </c>
    </row>
    <row r="147" spans="1:75" ht="13.5" customHeight="1" x14ac:dyDescent="0.25">
      <c r="A147" s="36" t="s">
        <v>383</v>
      </c>
      <c r="B147" s="53" t="s">
        <v>658</v>
      </c>
      <c r="C147" s="68" t="s">
        <v>431</v>
      </c>
      <c r="D147" s="69"/>
      <c r="E147" s="53" t="s">
        <v>618</v>
      </c>
      <c r="F147" s="50">
        <v>26</v>
      </c>
      <c r="G147" s="50">
        <v>0</v>
      </c>
      <c r="H147" s="50">
        <f>F147*AO147</f>
        <v>0</v>
      </c>
      <c r="I147" s="50">
        <f>F147*AP147</f>
        <v>0</v>
      </c>
      <c r="J147" s="50">
        <f>F147*G147</f>
        <v>0</v>
      </c>
      <c r="K147" s="50">
        <v>9.0000000000000006E-5</v>
      </c>
      <c r="L147" s="29">
        <v>9.0000000000000006E-5</v>
      </c>
      <c r="Z147" s="50">
        <f>IF(AQ147="5",BJ147,0)</f>
        <v>0</v>
      </c>
      <c r="AB147" s="50">
        <f>IF(AQ147="1",BH147,0)</f>
        <v>0</v>
      </c>
      <c r="AC147" s="50">
        <f>IF(AQ147="1",BI147,0)</f>
        <v>0</v>
      </c>
      <c r="AD147" s="50">
        <f>IF(AQ147="7",BH147,0)</f>
        <v>0</v>
      </c>
      <c r="AE147" s="50">
        <f>IF(AQ147="7",BI147,0)</f>
        <v>0</v>
      </c>
      <c r="AF147" s="50">
        <f>IF(AQ147="2",BH147,0)</f>
        <v>0</v>
      </c>
      <c r="AG147" s="50">
        <f>IF(AQ147="2",BI147,0)</f>
        <v>0</v>
      </c>
      <c r="AH147" s="50">
        <f>IF(AQ147="0",BJ147,0)</f>
        <v>0</v>
      </c>
      <c r="AI147" s="57" t="s">
        <v>510</v>
      </c>
      <c r="AJ147" s="50">
        <f>IF(AN147=0,J147,0)</f>
        <v>0</v>
      </c>
      <c r="AK147" s="50">
        <f>IF(AN147=15,J147,0)</f>
        <v>0</v>
      </c>
      <c r="AL147" s="50">
        <f>IF(AN147=21,J147,0)</f>
        <v>0</v>
      </c>
      <c r="AN147" s="50">
        <v>21</v>
      </c>
      <c r="AO147" s="50">
        <f>G147*0.212098121085595</f>
        <v>0</v>
      </c>
      <c r="AP147" s="50">
        <f>G147*(1-0.212098121085595)</f>
        <v>0</v>
      </c>
      <c r="AQ147" s="38" t="s">
        <v>731</v>
      </c>
      <c r="AV147" s="50">
        <f>AW147+AX147</f>
        <v>0</v>
      </c>
      <c r="AW147" s="50">
        <f>F147*AO147</f>
        <v>0</v>
      </c>
      <c r="AX147" s="50">
        <f>F147*AP147</f>
        <v>0</v>
      </c>
      <c r="AY147" s="38" t="s">
        <v>165</v>
      </c>
      <c r="AZ147" s="38" t="s">
        <v>314</v>
      </c>
      <c r="BA147" s="57" t="s">
        <v>571</v>
      </c>
      <c r="BC147" s="50">
        <f>AW147+AX147</f>
        <v>0</v>
      </c>
      <c r="BD147" s="50">
        <f>G147/(100-BE147)*100</f>
        <v>0</v>
      </c>
      <c r="BE147" s="50">
        <v>0</v>
      </c>
      <c r="BF147" s="50">
        <f>147</f>
        <v>147</v>
      </c>
      <c r="BH147" s="50">
        <f>F147*AO147</f>
        <v>0</v>
      </c>
      <c r="BI147" s="50">
        <f>F147*AP147</f>
        <v>0</v>
      </c>
      <c r="BJ147" s="50">
        <f>F147*G147</f>
        <v>0</v>
      </c>
      <c r="BK147" s="50"/>
      <c r="BL147" s="50">
        <v>783</v>
      </c>
      <c r="BW147" s="50">
        <v>21</v>
      </c>
    </row>
    <row r="148" spans="1:75" ht="13.5" customHeight="1" x14ac:dyDescent="0.25">
      <c r="A148" s="36" t="s">
        <v>334</v>
      </c>
      <c r="B148" s="53" t="s">
        <v>703</v>
      </c>
      <c r="C148" s="68" t="s">
        <v>761</v>
      </c>
      <c r="D148" s="69"/>
      <c r="E148" s="53" t="s">
        <v>618</v>
      </c>
      <c r="F148" s="50">
        <v>13</v>
      </c>
      <c r="G148" s="50">
        <v>0</v>
      </c>
      <c r="H148" s="50">
        <f>F148*AO148</f>
        <v>0</v>
      </c>
      <c r="I148" s="50">
        <f>F148*AP148</f>
        <v>0</v>
      </c>
      <c r="J148" s="50">
        <f>F148*G148</f>
        <v>0</v>
      </c>
      <c r="K148" s="50">
        <v>9.0000000000000006E-5</v>
      </c>
      <c r="L148" s="29">
        <v>9.0000000000000006E-5</v>
      </c>
      <c r="Z148" s="50">
        <f>IF(AQ148="5",BJ148,0)</f>
        <v>0</v>
      </c>
      <c r="AB148" s="50">
        <f>IF(AQ148="1",BH148,0)</f>
        <v>0</v>
      </c>
      <c r="AC148" s="50">
        <f>IF(AQ148="1",BI148,0)</f>
        <v>0</v>
      </c>
      <c r="AD148" s="50">
        <f>IF(AQ148="7",BH148,0)</f>
        <v>0</v>
      </c>
      <c r="AE148" s="50">
        <f>IF(AQ148="7",BI148,0)</f>
        <v>0</v>
      </c>
      <c r="AF148" s="50">
        <f>IF(AQ148="2",BH148,0)</f>
        <v>0</v>
      </c>
      <c r="AG148" s="50">
        <f>IF(AQ148="2",BI148,0)</f>
        <v>0</v>
      </c>
      <c r="AH148" s="50">
        <f>IF(AQ148="0",BJ148,0)</f>
        <v>0</v>
      </c>
      <c r="AI148" s="57" t="s">
        <v>510</v>
      </c>
      <c r="AJ148" s="50">
        <f>IF(AN148=0,J148,0)</f>
        <v>0</v>
      </c>
      <c r="AK148" s="50">
        <f>IF(AN148=15,J148,0)</f>
        <v>0</v>
      </c>
      <c r="AL148" s="50">
        <f>IF(AN148=21,J148,0)</f>
        <v>0</v>
      </c>
      <c r="AN148" s="50">
        <v>21</v>
      </c>
      <c r="AO148" s="50">
        <f>G148*0.214385964912281</f>
        <v>0</v>
      </c>
      <c r="AP148" s="50">
        <f>G148*(1-0.214385964912281)</f>
        <v>0</v>
      </c>
      <c r="AQ148" s="38" t="s">
        <v>731</v>
      </c>
      <c r="AV148" s="50">
        <f>AW148+AX148</f>
        <v>0</v>
      </c>
      <c r="AW148" s="50">
        <f>F148*AO148</f>
        <v>0</v>
      </c>
      <c r="AX148" s="50">
        <f>F148*AP148</f>
        <v>0</v>
      </c>
      <c r="AY148" s="38" t="s">
        <v>165</v>
      </c>
      <c r="AZ148" s="38" t="s">
        <v>314</v>
      </c>
      <c r="BA148" s="57" t="s">
        <v>571</v>
      </c>
      <c r="BC148" s="50">
        <f>AW148+AX148</f>
        <v>0</v>
      </c>
      <c r="BD148" s="50">
        <f>G148/(100-BE148)*100</f>
        <v>0</v>
      </c>
      <c r="BE148" s="50">
        <v>0</v>
      </c>
      <c r="BF148" s="50">
        <f>148</f>
        <v>148</v>
      </c>
      <c r="BH148" s="50">
        <f>F148*AO148</f>
        <v>0</v>
      </c>
      <c r="BI148" s="50">
        <f>F148*AP148</f>
        <v>0</v>
      </c>
      <c r="BJ148" s="50">
        <f>F148*G148</f>
        <v>0</v>
      </c>
      <c r="BK148" s="50"/>
      <c r="BL148" s="50">
        <v>783</v>
      </c>
      <c r="BW148" s="50">
        <v>21</v>
      </c>
    </row>
    <row r="149" spans="1:75" ht="15" customHeight="1" x14ac:dyDescent="0.25">
      <c r="A149" s="47" t="s">
        <v>510</v>
      </c>
      <c r="B149" s="35" t="s">
        <v>404</v>
      </c>
      <c r="C149" s="70" t="s">
        <v>12</v>
      </c>
      <c r="D149" s="71"/>
      <c r="E149" s="1" t="s">
        <v>686</v>
      </c>
      <c r="F149" s="1" t="s">
        <v>686</v>
      </c>
      <c r="G149" s="1" t="s">
        <v>686</v>
      </c>
      <c r="H149" s="5">
        <f>SUM(H150:H151)</f>
        <v>0</v>
      </c>
      <c r="I149" s="5">
        <f>SUM(I150:I151)</f>
        <v>0</v>
      </c>
      <c r="J149" s="5">
        <f>SUM(J150:J151)</f>
        <v>0</v>
      </c>
      <c r="K149" s="57" t="s">
        <v>510</v>
      </c>
      <c r="L149" s="7" t="s">
        <v>510</v>
      </c>
      <c r="AI149" s="57" t="s">
        <v>510</v>
      </c>
      <c r="AS149" s="5">
        <f>SUM(AJ150:AJ151)</f>
        <v>0</v>
      </c>
      <c r="AT149" s="5">
        <f>SUM(AK150:AK151)</f>
        <v>0</v>
      </c>
      <c r="AU149" s="5">
        <f>SUM(AL150:AL151)</f>
        <v>0</v>
      </c>
    </row>
    <row r="150" spans="1:75" ht="13.5" customHeight="1" x14ac:dyDescent="0.25">
      <c r="A150" s="36" t="s">
        <v>301</v>
      </c>
      <c r="B150" s="53" t="s">
        <v>573</v>
      </c>
      <c r="C150" s="68" t="s">
        <v>350</v>
      </c>
      <c r="D150" s="69"/>
      <c r="E150" s="53" t="s">
        <v>716</v>
      </c>
      <c r="F150" s="50">
        <v>20</v>
      </c>
      <c r="G150" s="50">
        <v>0</v>
      </c>
      <c r="H150" s="50">
        <f>F150*AO150</f>
        <v>0</v>
      </c>
      <c r="I150" s="50">
        <f>F150*AP150</f>
        <v>0</v>
      </c>
      <c r="J150" s="50">
        <f>F150*G150</f>
        <v>0</v>
      </c>
      <c r="K150" s="50">
        <v>3.5E-4</v>
      </c>
      <c r="L150" s="29">
        <v>3.5E-4</v>
      </c>
      <c r="Z150" s="50">
        <f>IF(AQ150="5",BJ150,0)</f>
        <v>0</v>
      </c>
      <c r="AB150" s="50">
        <f>IF(AQ150="1",BH150,0)</f>
        <v>0</v>
      </c>
      <c r="AC150" s="50">
        <f>IF(AQ150="1",BI150,0)</f>
        <v>0</v>
      </c>
      <c r="AD150" s="50">
        <f>IF(AQ150="7",BH150,0)</f>
        <v>0</v>
      </c>
      <c r="AE150" s="50">
        <f>IF(AQ150="7",BI150,0)</f>
        <v>0</v>
      </c>
      <c r="AF150" s="50">
        <f>IF(AQ150="2",BH150,0)</f>
        <v>0</v>
      </c>
      <c r="AG150" s="50">
        <f>IF(AQ150="2",BI150,0)</f>
        <v>0</v>
      </c>
      <c r="AH150" s="50">
        <f>IF(AQ150="0",BJ150,0)</f>
        <v>0</v>
      </c>
      <c r="AI150" s="57" t="s">
        <v>510</v>
      </c>
      <c r="AJ150" s="50">
        <f>IF(AN150=0,J150,0)</f>
        <v>0</v>
      </c>
      <c r="AK150" s="50">
        <f>IF(AN150=15,J150,0)</f>
        <v>0</v>
      </c>
      <c r="AL150" s="50">
        <f>IF(AN150=21,J150,0)</f>
        <v>0</v>
      </c>
      <c r="AN150" s="50">
        <v>21</v>
      </c>
      <c r="AO150" s="50">
        <f>G150*0.642233009708738</f>
        <v>0</v>
      </c>
      <c r="AP150" s="50">
        <f>G150*(1-0.642233009708738)</f>
        <v>0</v>
      </c>
      <c r="AQ150" s="38" t="s">
        <v>731</v>
      </c>
      <c r="AV150" s="50">
        <f>AW150+AX150</f>
        <v>0</v>
      </c>
      <c r="AW150" s="50">
        <f>F150*AO150</f>
        <v>0</v>
      </c>
      <c r="AX150" s="50">
        <f>F150*AP150</f>
        <v>0</v>
      </c>
      <c r="AY150" s="38" t="s">
        <v>659</v>
      </c>
      <c r="AZ150" s="38" t="s">
        <v>314</v>
      </c>
      <c r="BA150" s="57" t="s">
        <v>571</v>
      </c>
      <c r="BC150" s="50">
        <f>AW150+AX150</f>
        <v>0</v>
      </c>
      <c r="BD150" s="50">
        <f>G150/(100-BE150)*100</f>
        <v>0</v>
      </c>
      <c r="BE150" s="50">
        <v>0</v>
      </c>
      <c r="BF150" s="50">
        <f>150</f>
        <v>150</v>
      </c>
      <c r="BH150" s="50">
        <f>F150*AO150</f>
        <v>0</v>
      </c>
      <c r="BI150" s="50">
        <f>F150*AP150</f>
        <v>0</v>
      </c>
      <c r="BJ150" s="50">
        <f>F150*G150</f>
        <v>0</v>
      </c>
      <c r="BK150" s="50"/>
      <c r="BL150" s="50">
        <v>784</v>
      </c>
      <c r="BW150" s="50">
        <v>21</v>
      </c>
    </row>
    <row r="151" spans="1:75" ht="13.5" customHeight="1" x14ac:dyDescent="0.25">
      <c r="A151" s="36" t="s">
        <v>127</v>
      </c>
      <c r="B151" s="53" t="s">
        <v>457</v>
      </c>
      <c r="C151" s="68" t="s">
        <v>356</v>
      </c>
      <c r="D151" s="69"/>
      <c r="E151" s="53" t="s">
        <v>716</v>
      </c>
      <c r="F151" s="50">
        <v>204.9</v>
      </c>
      <c r="G151" s="50">
        <v>0</v>
      </c>
      <c r="H151" s="50">
        <f>F151*AO151</f>
        <v>0</v>
      </c>
      <c r="I151" s="50">
        <f>F151*AP151</f>
        <v>0</v>
      </c>
      <c r="J151" s="50">
        <f>F151*G151</f>
        <v>0</v>
      </c>
      <c r="K151" s="50">
        <v>2.2000000000000001E-4</v>
      </c>
      <c r="L151" s="29">
        <v>2.2000000000000001E-4</v>
      </c>
      <c r="Z151" s="50">
        <f>IF(AQ151="5",BJ151,0)</f>
        <v>0</v>
      </c>
      <c r="AB151" s="50">
        <f>IF(AQ151="1",BH151,0)</f>
        <v>0</v>
      </c>
      <c r="AC151" s="50">
        <f>IF(AQ151="1",BI151,0)</f>
        <v>0</v>
      </c>
      <c r="AD151" s="50">
        <f>IF(AQ151="7",BH151,0)</f>
        <v>0</v>
      </c>
      <c r="AE151" s="50">
        <f>IF(AQ151="7",BI151,0)</f>
        <v>0</v>
      </c>
      <c r="AF151" s="50">
        <f>IF(AQ151="2",BH151,0)</f>
        <v>0</v>
      </c>
      <c r="AG151" s="50">
        <f>IF(AQ151="2",BI151,0)</f>
        <v>0</v>
      </c>
      <c r="AH151" s="50">
        <f>IF(AQ151="0",BJ151,0)</f>
        <v>0</v>
      </c>
      <c r="AI151" s="57" t="s">
        <v>510</v>
      </c>
      <c r="AJ151" s="50">
        <f>IF(AN151=0,J151,0)</f>
        <v>0</v>
      </c>
      <c r="AK151" s="50">
        <f>IF(AN151=15,J151,0)</f>
        <v>0</v>
      </c>
      <c r="AL151" s="50">
        <f>IF(AN151=21,J151,0)</f>
        <v>0</v>
      </c>
      <c r="AN151" s="50">
        <v>21</v>
      </c>
      <c r="AO151" s="50">
        <f>G151*0.0943392487429755</f>
        <v>0</v>
      </c>
      <c r="AP151" s="50">
        <f>G151*(1-0.0943392487429755)</f>
        <v>0</v>
      </c>
      <c r="AQ151" s="38" t="s">
        <v>731</v>
      </c>
      <c r="AV151" s="50">
        <f>AW151+AX151</f>
        <v>0</v>
      </c>
      <c r="AW151" s="50">
        <f>F151*AO151</f>
        <v>0</v>
      </c>
      <c r="AX151" s="50">
        <f>F151*AP151</f>
        <v>0</v>
      </c>
      <c r="AY151" s="38" t="s">
        <v>659</v>
      </c>
      <c r="AZ151" s="38" t="s">
        <v>314</v>
      </c>
      <c r="BA151" s="57" t="s">
        <v>571</v>
      </c>
      <c r="BC151" s="50">
        <f>AW151+AX151</f>
        <v>0</v>
      </c>
      <c r="BD151" s="50">
        <f>G151/(100-BE151)*100</f>
        <v>0</v>
      </c>
      <c r="BE151" s="50">
        <v>0</v>
      </c>
      <c r="BF151" s="50">
        <f>151</f>
        <v>151</v>
      </c>
      <c r="BH151" s="50">
        <f>F151*AO151</f>
        <v>0</v>
      </c>
      <c r="BI151" s="50">
        <f>F151*AP151</f>
        <v>0</v>
      </c>
      <c r="BJ151" s="50">
        <f>F151*G151</f>
        <v>0</v>
      </c>
      <c r="BK151" s="50"/>
      <c r="BL151" s="50">
        <v>784</v>
      </c>
      <c r="BW151" s="50">
        <v>21</v>
      </c>
    </row>
    <row r="152" spans="1:75" ht="15" customHeight="1" x14ac:dyDescent="0.25">
      <c r="A152" s="66"/>
      <c r="C152" s="60" t="s">
        <v>247</v>
      </c>
      <c r="D152" s="60" t="s">
        <v>510</v>
      </c>
      <c r="F152" s="42">
        <v>204.9</v>
      </c>
      <c r="L152" s="52"/>
    </row>
    <row r="153" spans="1:75" ht="15" customHeight="1" x14ac:dyDescent="0.25">
      <c r="A153" s="47" t="s">
        <v>510</v>
      </c>
      <c r="B153" s="35" t="s">
        <v>284</v>
      </c>
      <c r="C153" s="70" t="s">
        <v>558</v>
      </c>
      <c r="D153" s="71"/>
      <c r="E153" s="1" t="s">
        <v>686</v>
      </c>
      <c r="F153" s="1" t="s">
        <v>686</v>
      </c>
      <c r="G153" s="1" t="s">
        <v>686</v>
      </c>
      <c r="H153" s="5">
        <f>SUM(H154:H167)</f>
        <v>0</v>
      </c>
      <c r="I153" s="5">
        <f>SUM(I154:I167)</f>
        <v>0</v>
      </c>
      <c r="J153" s="5">
        <f>SUM(J154:J167)</f>
        <v>0</v>
      </c>
      <c r="K153" s="57" t="s">
        <v>510</v>
      </c>
      <c r="L153" s="7" t="s">
        <v>510</v>
      </c>
      <c r="AI153" s="57" t="s">
        <v>510</v>
      </c>
      <c r="AS153" s="5">
        <f>SUM(AJ154:AJ167)</f>
        <v>0</v>
      </c>
      <c r="AT153" s="5">
        <f>SUM(AK154:AK167)</f>
        <v>0</v>
      </c>
      <c r="AU153" s="5">
        <f>SUM(AL154:AL167)</f>
        <v>0</v>
      </c>
    </row>
    <row r="154" spans="1:75" ht="13.5" customHeight="1" x14ac:dyDescent="0.25">
      <c r="A154" s="36" t="s">
        <v>163</v>
      </c>
      <c r="B154" s="53" t="s">
        <v>556</v>
      </c>
      <c r="C154" s="68" t="s">
        <v>580</v>
      </c>
      <c r="D154" s="69"/>
      <c r="E154" s="53" t="s">
        <v>696</v>
      </c>
      <c r="F154" s="50">
        <v>35</v>
      </c>
      <c r="G154" s="50">
        <v>0</v>
      </c>
      <c r="H154" s="50">
        <f t="shared" ref="H154:H167" si="156">F154*AO154</f>
        <v>0</v>
      </c>
      <c r="I154" s="50">
        <f t="shared" ref="I154:I167" si="157">F154*AP154</f>
        <v>0</v>
      </c>
      <c r="J154" s="50">
        <f t="shared" ref="J154:J167" si="158">F154*G154</f>
        <v>0</v>
      </c>
      <c r="K154" s="50">
        <v>0</v>
      </c>
      <c r="L154" s="29">
        <v>1E-3</v>
      </c>
      <c r="Z154" s="50">
        <f t="shared" ref="Z154:Z167" si="159">IF(AQ154="5",BJ154,0)</f>
        <v>0</v>
      </c>
      <c r="AB154" s="50">
        <f t="shared" ref="AB154:AB167" si="160">IF(AQ154="1",BH154,0)</f>
        <v>0</v>
      </c>
      <c r="AC154" s="50">
        <f t="shared" ref="AC154:AC167" si="161">IF(AQ154="1",BI154,0)</f>
        <v>0</v>
      </c>
      <c r="AD154" s="50">
        <f t="shared" ref="AD154:AD167" si="162">IF(AQ154="7",BH154,0)</f>
        <v>0</v>
      </c>
      <c r="AE154" s="50">
        <f t="shared" ref="AE154:AE167" si="163">IF(AQ154="7",BI154,0)</f>
        <v>0</v>
      </c>
      <c r="AF154" s="50">
        <f t="shared" ref="AF154:AF167" si="164">IF(AQ154="2",BH154,0)</f>
        <v>0</v>
      </c>
      <c r="AG154" s="50">
        <f t="shared" ref="AG154:AG167" si="165">IF(AQ154="2",BI154,0)</f>
        <v>0</v>
      </c>
      <c r="AH154" s="50">
        <f t="shared" ref="AH154:AH167" si="166">IF(AQ154="0",BJ154,0)</f>
        <v>0</v>
      </c>
      <c r="AI154" s="57" t="s">
        <v>510</v>
      </c>
      <c r="AJ154" s="50">
        <f t="shared" ref="AJ154:AJ167" si="167">IF(AN154=0,J154,0)</f>
        <v>0</v>
      </c>
      <c r="AK154" s="50">
        <f t="shared" ref="AK154:AK167" si="168">IF(AN154=15,J154,0)</f>
        <v>0</v>
      </c>
      <c r="AL154" s="50">
        <f t="shared" ref="AL154:AL167" si="169">IF(AN154=21,J154,0)</f>
        <v>0</v>
      </c>
      <c r="AN154" s="50">
        <v>21</v>
      </c>
      <c r="AO154" s="50">
        <f>G154*0</f>
        <v>0</v>
      </c>
      <c r="AP154" s="50">
        <f>G154*(1-0)</f>
        <v>0</v>
      </c>
      <c r="AQ154" s="38" t="s">
        <v>725</v>
      </c>
      <c r="AV154" s="50">
        <f t="shared" ref="AV154:AV167" si="170">AW154+AX154</f>
        <v>0</v>
      </c>
      <c r="AW154" s="50">
        <f t="shared" ref="AW154:AW167" si="171">F154*AO154</f>
        <v>0</v>
      </c>
      <c r="AX154" s="50">
        <f t="shared" ref="AX154:AX167" si="172">F154*AP154</f>
        <v>0</v>
      </c>
      <c r="AY154" s="38" t="s">
        <v>445</v>
      </c>
      <c r="AZ154" s="38" t="s">
        <v>258</v>
      </c>
      <c r="BA154" s="57" t="s">
        <v>571</v>
      </c>
      <c r="BC154" s="50">
        <f t="shared" ref="BC154:BC167" si="173">AW154+AX154</f>
        <v>0</v>
      </c>
      <c r="BD154" s="50">
        <f t="shared" ref="BD154:BD167" si="174">G154/(100-BE154)*100</f>
        <v>0</v>
      </c>
      <c r="BE154" s="50">
        <v>0</v>
      </c>
      <c r="BF154" s="50">
        <f>154</f>
        <v>154</v>
      </c>
      <c r="BH154" s="50">
        <f t="shared" ref="BH154:BH167" si="175">F154*AO154</f>
        <v>0</v>
      </c>
      <c r="BI154" s="50">
        <f t="shared" ref="BI154:BI167" si="176">F154*AP154</f>
        <v>0</v>
      </c>
      <c r="BJ154" s="50">
        <f t="shared" ref="BJ154:BJ167" si="177">F154*G154</f>
        <v>0</v>
      </c>
      <c r="BK154" s="50"/>
      <c r="BL154" s="50">
        <v>95</v>
      </c>
      <c r="BW154" s="50">
        <v>21</v>
      </c>
    </row>
    <row r="155" spans="1:75" ht="13.5" customHeight="1" x14ac:dyDescent="0.25">
      <c r="A155" s="36" t="s">
        <v>77</v>
      </c>
      <c r="B155" s="53" t="s">
        <v>822</v>
      </c>
      <c r="C155" s="68" t="s">
        <v>90</v>
      </c>
      <c r="D155" s="69"/>
      <c r="E155" s="53" t="s">
        <v>618</v>
      </c>
      <c r="F155" s="50">
        <v>32</v>
      </c>
      <c r="G155" s="50">
        <v>0</v>
      </c>
      <c r="H155" s="50">
        <f t="shared" si="156"/>
        <v>0</v>
      </c>
      <c r="I155" s="50">
        <f t="shared" si="157"/>
        <v>0</v>
      </c>
      <c r="J155" s="50">
        <f t="shared" si="158"/>
        <v>0</v>
      </c>
      <c r="K155" s="50">
        <v>0</v>
      </c>
      <c r="L155" s="29">
        <v>0</v>
      </c>
      <c r="Z155" s="50">
        <f t="shared" si="159"/>
        <v>0</v>
      </c>
      <c r="AB155" s="50">
        <f t="shared" si="160"/>
        <v>0</v>
      </c>
      <c r="AC155" s="50">
        <f t="shared" si="161"/>
        <v>0</v>
      </c>
      <c r="AD155" s="50">
        <f t="shared" si="162"/>
        <v>0</v>
      </c>
      <c r="AE155" s="50">
        <f t="shared" si="163"/>
        <v>0</v>
      </c>
      <c r="AF155" s="50">
        <f t="shared" si="164"/>
        <v>0</v>
      </c>
      <c r="AG155" s="50">
        <f t="shared" si="165"/>
        <v>0</v>
      </c>
      <c r="AH155" s="50">
        <f t="shared" si="166"/>
        <v>0</v>
      </c>
      <c r="AI155" s="57" t="s">
        <v>510</v>
      </c>
      <c r="AJ155" s="50">
        <f t="shared" si="167"/>
        <v>0</v>
      </c>
      <c r="AK155" s="50">
        <f t="shared" si="168"/>
        <v>0</v>
      </c>
      <c r="AL155" s="50">
        <f t="shared" si="169"/>
        <v>0</v>
      </c>
      <c r="AN155" s="50">
        <v>21</v>
      </c>
      <c r="AO155" s="50">
        <f>G155*0</f>
        <v>0</v>
      </c>
      <c r="AP155" s="50">
        <f>G155*(1-0)</f>
        <v>0</v>
      </c>
      <c r="AQ155" s="38" t="s">
        <v>725</v>
      </c>
      <c r="AV155" s="50">
        <f t="shared" si="170"/>
        <v>0</v>
      </c>
      <c r="AW155" s="50">
        <f t="shared" si="171"/>
        <v>0</v>
      </c>
      <c r="AX155" s="50">
        <f t="shared" si="172"/>
        <v>0</v>
      </c>
      <c r="AY155" s="38" t="s">
        <v>445</v>
      </c>
      <c r="AZ155" s="38" t="s">
        <v>258</v>
      </c>
      <c r="BA155" s="57" t="s">
        <v>571</v>
      </c>
      <c r="BC155" s="50">
        <f t="shared" si="173"/>
        <v>0</v>
      </c>
      <c r="BD155" s="50">
        <f t="shared" si="174"/>
        <v>0</v>
      </c>
      <c r="BE155" s="50">
        <v>0</v>
      </c>
      <c r="BF155" s="50">
        <f>155</f>
        <v>155</v>
      </c>
      <c r="BH155" s="50">
        <f t="shared" si="175"/>
        <v>0</v>
      </c>
      <c r="BI155" s="50">
        <f t="shared" si="176"/>
        <v>0</v>
      </c>
      <c r="BJ155" s="50">
        <f t="shared" si="177"/>
        <v>0</v>
      </c>
      <c r="BK155" s="50"/>
      <c r="BL155" s="50">
        <v>95</v>
      </c>
      <c r="BW155" s="50">
        <v>21</v>
      </c>
    </row>
    <row r="156" spans="1:75" ht="13.5" customHeight="1" x14ac:dyDescent="0.25">
      <c r="A156" s="36" t="s">
        <v>99</v>
      </c>
      <c r="B156" s="53" t="s">
        <v>174</v>
      </c>
      <c r="C156" s="68" t="s">
        <v>345</v>
      </c>
      <c r="D156" s="69"/>
      <c r="E156" s="53" t="s">
        <v>180</v>
      </c>
      <c r="F156" s="50">
        <v>2</v>
      </c>
      <c r="G156" s="50">
        <v>0</v>
      </c>
      <c r="H156" s="50">
        <f t="shared" si="156"/>
        <v>0</v>
      </c>
      <c r="I156" s="50">
        <f t="shared" si="157"/>
        <v>0</v>
      </c>
      <c r="J156" s="50">
        <f t="shared" si="158"/>
        <v>0</v>
      </c>
      <c r="K156" s="50">
        <v>5.0000000000000001E-3</v>
      </c>
      <c r="L156" s="29">
        <v>5.0000000000000001E-3</v>
      </c>
      <c r="Z156" s="50">
        <f t="shared" si="159"/>
        <v>0</v>
      </c>
      <c r="AB156" s="50">
        <f t="shared" si="160"/>
        <v>0</v>
      </c>
      <c r="AC156" s="50">
        <f t="shared" si="161"/>
        <v>0</v>
      </c>
      <c r="AD156" s="50">
        <f t="shared" si="162"/>
        <v>0</v>
      </c>
      <c r="AE156" s="50">
        <f t="shared" si="163"/>
        <v>0</v>
      </c>
      <c r="AF156" s="50">
        <f t="shared" si="164"/>
        <v>0</v>
      </c>
      <c r="AG156" s="50">
        <f t="shared" si="165"/>
        <v>0</v>
      </c>
      <c r="AH156" s="50">
        <f t="shared" si="166"/>
        <v>0</v>
      </c>
      <c r="AI156" s="57" t="s">
        <v>510</v>
      </c>
      <c r="AJ156" s="50">
        <f t="shared" si="167"/>
        <v>0</v>
      </c>
      <c r="AK156" s="50">
        <f t="shared" si="168"/>
        <v>0</v>
      </c>
      <c r="AL156" s="50">
        <f t="shared" si="169"/>
        <v>0</v>
      </c>
      <c r="AN156" s="50">
        <v>21</v>
      </c>
      <c r="AO156" s="50">
        <f t="shared" ref="AO156:AO167" si="178">G156*1</f>
        <v>0</v>
      </c>
      <c r="AP156" s="50">
        <f t="shared" ref="AP156:AP167" si="179">G156*(1-1)</f>
        <v>0</v>
      </c>
      <c r="AQ156" s="38" t="s">
        <v>725</v>
      </c>
      <c r="AV156" s="50">
        <f t="shared" si="170"/>
        <v>0</v>
      </c>
      <c r="AW156" s="50">
        <f t="shared" si="171"/>
        <v>0</v>
      </c>
      <c r="AX156" s="50">
        <f t="shared" si="172"/>
        <v>0</v>
      </c>
      <c r="AY156" s="38" t="s">
        <v>445</v>
      </c>
      <c r="AZ156" s="38" t="s">
        <v>258</v>
      </c>
      <c r="BA156" s="57" t="s">
        <v>571</v>
      </c>
      <c r="BC156" s="50">
        <f t="shared" si="173"/>
        <v>0</v>
      </c>
      <c r="BD156" s="50">
        <f t="shared" si="174"/>
        <v>0</v>
      </c>
      <c r="BE156" s="50">
        <v>0</v>
      </c>
      <c r="BF156" s="50">
        <f>156</f>
        <v>156</v>
      </c>
      <c r="BH156" s="50">
        <f t="shared" si="175"/>
        <v>0</v>
      </c>
      <c r="BI156" s="50">
        <f t="shared" si="176"/>
        <v>0</v>
      </c>
      <c r="BJ156" s="50">
        <f t="shared" si="177"/>
        <v>0</v>
      </c>
      <c r="BK156" s="50"/>
      <c r="BL156" s="50">
        <v>95</v>
      </c>
      <c r="BW156" s="50">
        <v>21</v>
      </c>
    </row>
    <row r="157" spans="1:75" ht="13.5" customHeight="1" x14ac:dyDescent="0.25">
      <c r="A157" s="36" t="s">
        <v>693</v>
      </c>
      <c r="B157" s="53" t="s">
        <v>660</v>
      </c>
      <c r="C157" s="68" t="s">
        <v>524</v>
      </c>
      <c r="D157" s="69"/>
      <c r="E157" s="53" t="s">
        <v>180</v>
      </c>
      <c r="F157" s="50">
        <v>2</v>
      </c>
      <c r="G157" s="50">
        <v>0</v>
      </c>
      <c r="H157" s="50">
        <f t="shared" si="156"/>
        <v>0</v>
      </c>
      <c r="I157" s="50">
        <f t="shared" si="157"/>
        <v>0</v>
      </c>
      <c r="J157" s="50">
        <f t="shared" si="158"/>
        <v>0</v>
      </c>
      <c r="K157" s="50">
        <v>3.0000000000000001E-3</v>
      </c>
      <c r="L157" s="29">
        <v>3.0000000000000001E-3</v>
      </c>
      <c r="Z157" s="50">
        <f t="shared" si="159"/>
        <v>0</v>
      </c>
      <c r="AB157" s="50">
        <f t="shared" si="160"/>
        <v>0</v>
      </c>
      <c r="AC157" s="50">
        <f t="shared" si="161"/>
        <v>0</v>
      </c>
      <c r="AD157" s="50">
        <f t="shared" si="162"/>
        <v>0</v>
      </c>
      <c r="AE157" s="50">
        <f t="shared" si="163"/>
        <v>0</v>
      </c>
      <c r="AF157" s="50">
        <f t="shared" si="164"/>
        <v>0</v>
      </c>
      <c r="AG157" s="50">
        <f t="shared" si="165"/>
        <v>0</v>
      </c>
      <c r="AH157" s="50">
        <f t="shared" si="166"/>
        <v>0</v>
      </c>
      <c r="AI157" s="57" t="s">
        <v>510</v>
      </c>
      <c r="AJ157" s="50">
        <f t="shared" si="167"/>
        <v>0</v>
      </c>
      <c r="AK157" s="50">
        <f t="shared" si="168"/>
        <v>0</v>
      </c>
      <c r="AL157" s="50">
        <f t="shared" si="169"/>
        <v>0</v>
      </c>
      <c r="AN157" s="50">
        <v>21</v>
      </c>
      <c r="AO157" s="50">
        <f t="shared" si="178"/>
        <v>0</v>
      </c>
      <c r="AP157" s="50">
        <f t="shared" si="179"/>
        <v>0</v>
      </c>
      <c r="AQ157" s="38" t="s">
        <v>725</v>
      </c>
      <c r="AV157" s="50">
        <f t="shared" si="170"/>
        <v>0</v>
      </c>
      <c r="AW157" s="50">
        <f t="shared" si="171"/>
        <v>0</v>
      </c>
      <c r="AX157" s="50">
        <f t="shared" si="172"/>
        <v>0</v>
      </c>
      <c r="AY157" s="38" t="s">
        <v>445</v>
      </c>
      <c r="AZ157" s="38" t="s">
        <v>258</v>
      </c>
      <c r="BA157" s="57" t="s">
        <v>571</v>
      </c>
      <c r="BC157" s="50">
        <f t="shared" si="173"/>
        <v>0</v>
      </c>
      <c r="BD157" s="50">
        <f t="shared" si="174"/>
        <v>0</v>
      </c>
      <c r="BE157" s="50">
        <v>0</v>
      </c>
      <c r="BF157" s="50">
        <f>157</f>
        <v>157</v>
      </c>
      <c r="BH157" s="50">
        <f t="shared" si="175"/>
        <v>0</v>
      </c>
      <c r="BI157" s="50">
        <f t="shared" si="176"/>
        <v>0</v>
      </c>
      <c r="BJ157" s="50">
        <f t="shared" si="177"/>
        <v>0</v>
      </c>
      <c r="BK157" s="50"/>
      <c r="BL157" s="50">
        <v>95</v>
      </c>
      <c r="BW157" s="50">
        <v>21</v>
      </c>
    </row>
    <row r="158" spans="1:75" ht="13.5" customHeight="1" x14ac:dyDescent="0.25">
      <c r="A158" s="36" t="s">
        <v>540</v>
      </c>
      <c r="B158" s="53" t="s">
        <v>660</v>
      </c>
      <c r="C158" s="68" t="s">
        <v>387</v>
      </c>
      <c r="D158" s="69"/>
      <c r="E158" s="53" t="s">
        <v>180</v>
      </c>
      <c r="F158" s="50">
        <v>2</v>
      </c>
      <c r="G158" s="50">
        <v>0</v>
      </c>
      <c r="H158" s="50">
        <f t="shared" si="156"/>
        <v>0</v>
      </c>
      <c r="I158" s="50">
        <f t="shared" si="157"/>
        <v>0</v>
      </c>
      <c r="J158" s="50">
        <f t="shared" si="158"/>
        <v>0</v>
      </c>
      <c r="K158" s="50">
        <v>1.2999999999999999E-2</v>
      </c>
      <c r="L158" s="29">
        <v>1.2999999999999999E-2</v>
      </c>
      <c r="Z158" s="50">
        <f t="shared" si="159"/>
        <v>0</v>
      </c>
      <c r="AB158" s="50">
        <f t="shared" si="160"/>
        <v>0</v>
      </c>
      <c r="AC158" s="50">
        <f t="shared" si="161"/>
        <v>0</v>
      </c>
      <c r="AD158" s="50">
        <f t="shared" si="162"/>
        <v>0</v>
      </c>
      <c r="AE158" s="50">
        <f t="shared" si="163"/>
        <v>0</v>
      </c>
      <c r="AF158" s="50">
        <f t="shared" si="164"/>
        <v>0</v>
      </c>
      <c r="AG158" s="50">
        <f t="shared" si="165"/>
        <v>0</v>
      </c>
      <c r="AH158" s="50">
        <f t="shared" si="166"/>
        <v>0</v>
      </c>
      <c r="AI158" s="57" t="s">
        <v>510</v>
      </c>
      <c r="AJ158" s="50">
        <f t="shared" si="167"/>
        <v>0</v>
      </c>
      <c r="AK158" s="50">
        <f t="shared" si="168"/>
        <v>0</v>
      </c>
      <c r="AL158" s="50">
        <f t="shared" si="169"/>
        <v>0</v>
      </c>
      <c r="AN158" s="50">
        <v>21</v>
      </c>
      <c r="AO158" s="50">
        <f t="shared" si="178"/>
        <v>0</v>
      </c>
      <c r="AP158" s="50">
        <f t="shared" si="179"/>
        <v>0</v>
      </c>
      <c r="AQ158" s="38" t="s">
        <v>725</v>
      </c>
      <c r="AV158" s="50">
        <f t="shared" si="170"/>
        <v>0</v>
      </c>
      <c r="AW158" s="50">
        <f t="shared" si="171"/>
        <v>0</v>
      </c>
      <c r="AX158" s="50">
        <f t="shared" si="172"/>
        <v>0</v>
      </c>
      <c r="AY158" s="38" t="s">
        <v>445</v>
      </c>
      <c r="AZ158" s="38" t="s">
        <v>258</v>
      </c>
      <c r="BA158" s="57" t="s">
        <v>571</v>
      </c>
      <c r="BC158" s="50">
        <f t="shared" si="173"/>
        <v>0</v>
      </c>
      <c r="BD158" s="50">
        <f t="shared" si="174"/>
        <v>0</v>
      </c>
      <c r="BE158" s="50">
        <v>0</v>
      </c>
      <c r="BF158" s="50">
        <f>158</f>
        <v>158</v>
      </c>
      <c r="BH158" s="50">
        <f t="shared" si="175"/>
        <v>0</v>
      </c>
      <c r="BI158" s="50">
        <f t="shared" si="176"/>
        <v>0</v>
      </c>
      <c r="BJ158" s="50">
        <f t="shared" si="177"/>
        <v>0</v>
      </c>
      <c r="BK158" s="50"/>
      <c r="BL158" s="50">
        <v>95</v>
      </c>
      <c r="BW158" s="50">
        <v>21</v>
      </c>
    </row>
    <row r="159" spans="1:75" ht="13.5" customHeight="1" x14ac:dyDescent="0.25">
      <c r="A159" s="36" t="s">
        <v>351</v>
      </c>
      <c r="B159" s="53" t="s">
        <v>106</v>
      </c>
      <c r="C159" s="68" t="s">
        <v>344</v>
      </c>
      <c r="D159" s="69"/>
      <c r="E159" s="53" t="s">
        <v>180</v>
      </c>
      <c r="F159" s="50">
        <v>1</v>
      </c>
      <c r="G159" s="50">
        <v>0</v>
      </c>
      <c r="H159" s="50">
        <f t="shared" si="156"/>
        <v>0</v>
      </c>
      <c r="I159" s="50">
        <f t="shared" si="157"/>
        <v>0</v>
      </c>
      <c r="J159" s="50">
        <f t="shared" si="158"/>
        <v>0</v>
      </c>
      <c r="K159" s="50">
        <v>5.0000000000000001E-3</v>
      </c>
      <c r="L159" s="29">
        <v>5.0000000000000001E-3</v>
      </c>
      <c r="Z159" s="50">
        <f t="shared" si="159"/>
        <v>0</v>
      </c>
      <c r="AB159" s="50">
        <f t="shared" si="160"/>
        <v>0</v>
      </c>
      <c r="AC159" s="50">
        <f t="shared" si="161"/>
        <v>0</v>
      </c>
      <c r="AD159" s="50">
        <f t="shared" si="162"/>
        <v>0</v>
      </c>
      <c r="AE159" s="50">
        <f t="shared" si="163"/>
        <v>0</v>
      </c>
      <c r="AF159" s="50">
        <f t="shared" si="164"/>
        <v>0</v>
      </c>
      <c r="AG159" s="50">
        <f t="shared" si="165"/>
        <v>0</v>
      </c>
      <c r="AH159" s="50">
        <f t="shared" si="166"/>
        <v>0</v>
      </c>
      <c r="AI159" s="57" t="s">
        <v>510</v>
      </c>
      <c r="AJ159" s="50">
        <f t="shared" si="167"/>
        <v>0</v>
      </c>
      <c r="AK159" s="50">
        <f t="shared" si="168"/>
        <v>0</v>
      </c>
      <c r="AL159" s="50">
        <f t="shared" si="169"/>
        <v>0</v>
      </c>
      <c r="AN159" s="50">
        <v>21</v>
      </c>
      <c r="AO159" s="50">
        <f t="shared" si="178"/>
        <v>0</v>
      </c>
      <c r="AP159" s="50">
        <f t="shared" si="179"/>
        <v>0</v>
      </c>
      <c r="AQ159" s="38" t="s">
        <v>725</v>
      </c>
      <c r="AV159" s="50">
        <f t="shared" si="170"/>
        <v>0</v>
      </c>
      <c r="AW159" s="50">
        <f t="shared" si="171"/>
        <v>0</v>
      </c>
      <c r="AX159" s="50">
        <f t="shared" si="172"/>
        <v>0</v>
      </c>
      <c r="AY159" s="38" t="s">
        <v>445</v>
      </c>
      <c r="AZ159" s="38" t="s">
        <v>258</v>
      </c>
      <c r="BA159" s="57" t="s">
        <v>571</v>
      </c>
      <c r="BC159" s="50">
        <f t="shared" si="173"/>
        <v>0</v>
      </c>
      <c r="BD159" s="50">
        <f t="shared" si="174"/>
        <v>0</v>
      </c>
      <c r="BE159" s="50">
        <v>0</v>
      </c>
      <c r="BF159" s="50">
        <f>159</f>
        <v>159</v>
      </c>
      <c r="BH159" s="50">
        <f t="shared" si="175"/>
        <v>0</v>
      </c>
      <c r="BI159" s="50">
        <f t="shared" si="176"/>
        <v>0</v>
      </c>
      <c r="BJ159" s="50">
        <f t="shared" si="177"/>
        <v>0</v>
      </c>
      <c r="BK159" s="50"/>
      <c r="BL159" s="50">
        <v>95</v>
      </c>
      <c r="BW159" s="50">
        <v>21</v>
      </c>
    </row>
    <row r="160" spans="1:75" ht="13.5" customHeight="1" x14ac:dyDescent="0.25">
      <c r="A160" s="36" t="s">
        <v>538</v>
      </c>
      <c r="B160" s="53" t="s">
        <v>104</v>
      </c>
      <c r="C160" s="68" t="s">
        <v>509</v>
      </c>
      <c r="D160" s="69"/>
      <c r="E160" s="53" t="s">
        <v>180</v>
      </c>
      <c r="F160" s="50">
        <v>1</v>
      </c>
      <c r="G160" s="50">
        <v>0</v>
      </c>
      <c r="H160" s="50">
        <f t="shared" si="156"/>
        <v>0</v>
      </c>
      <c r="I160" s="50">
        <f t="shared" si="157"/>
        <v>0</v>
      </c>
      <c r="J160" s="50">
        <f t="shared" si="158"/>
        <v>0</v>
      </c>
      <c r="K160" s="50">
        <v>0.02</v>
      </c>
      <c r="L160" s="29">
        <v>0.02</v>
      </c>
      <c r="Z160" s="50">
        <f t="shared" si="159"/>
        <v>0</v>
      </c>
      <c r="AB160" s="50">
        <f t="shared" si="160"/>
        <v>0</v>
      </c>
      <c r="AC160" s="50">
        <f t="shared" si="161"/>
        <v>0</v>
      </c>
      <c r="AD160" s="50">
        <f t="shared" si="162"/>
        <v>0</v>
      </c>
      <c r="AE160" s="50">
        <f t="shared" si="163"/>
        <v>0</v>
      </c>
      <c r="AF160" s="50">
        <f t="shared" si="164"/>
        <v>0</v>
      </c>
      <c r="AG160" s="50">
        <f t="shared" si="165"/>
        <v>0</v>
      </c>
      <c r="AH160" s="50">
        <f t="shared" si="166"/>
        <v>0</v>
      </c>
      <c r="AI160" s="57" t="s">
        <v>510</v>
      </c>
      <c r="AJ160" s="50">
        <f t="shared" si="167"/>
        <v>0</v>
      </c>
      <c r="AK160" s="50">
        <f t="shared" si="168"/>
        <v>0</v>
      </c>
      <c r="AL160" s="50">
        <f t="shared" si="169"/>
        <v>0</v>
      </c>
      <c r="AN160" s="50">
        <v>21</v>
      </c>
      <c r="AO160" s="50">
        <f t="shared" si="178"/>
        <v>0</v>
      </c>
      <c r="AP160" s="50">
        <f t="shared" si="179"/>
        <v>0</v>
      </c>
      <c r="AQ160" s="38" t="s">
        <v>725</v>
      </c>
      <c r="AV160" s="50">
        <f t="shared" si="170"/>
        <v>0</v>
      </c>
      <c r="AW160" s="50">
        <f t="shared" si="171"/>
        <v>0</v>
      </c>
      <c r="AX160" s="50">
        <f t="shared" si="172"/>
        <v>0</v>
      </c>
      <c r="AY160" s="38" t="s">
        <v>445</v>
      </c>
      <c r="AZ160" s="38" t="s">
        <v>258</v>
      </c>
      <c r="BA160" s="57" t="s">
        <v>571</v>
      </c>
      <c r="BC160" s="50">
        <f t="shared" si="173"/>
        <v>0</v>
      </c>
      <c r="BD160" s="50">
        <f t="shared" si="174"/>
        <v>0</v>
      </c>
      <c r="BE160" s="50">
        <v>0</v>
      </c>
      <c r="BF160" s="50">
        <f>160</f>
        <v>160</v>
      </c>
      <c r="BH160" s="50">
        <f t="shared" si="175"/>
        <v>0</v>
      </c>
      <c r="BI160" s="50">
        <f t="shared" si="176"/>
        <v>0</v>
      </c>
      <c r="BJ160" s="50">
        <f t="shared" si="177"/>
        <v>0</v>
      </c>
      <c r="BK160" s="50"/>
      <c r="BL160" s="50">
        <v>95</v>
      </c>
      <c r="BW160" s="50">
        <v>21</v>
      </c>
    </row>
    <row r="161" spans="1:75" ht="13.5" customHeight="1" x14ac:dyDescent="0.25">
      <c r="A161" s="36" t="s">
        <v>233</v>
      </c>
      <c r="B161" s="53" t="s">
        <v>522</v>
      </c>
      <c r="C161" s="68" t="s">
        <v>727</v>
      </c>
      <c r="D161" s="69"/>
      <c r="E161" s="53" t="s">
        <v>180</v>
      </c>
      <c r="F161" s="50">
        <v>1</v>
      </c>
      <c r="G161" s="50">
        <v>0</v>
      </c>
      <c r="H161" s="50">
        <f t="shared" si="156"/>
        <v>0</v>
      </c>
      <c r="I161" s="50">
        <f t="shared" si="157"/>
        <v>0</v>
      </c>
      <c r="J161" s="50">
        <f t="shared" si="158"/>
        <v>0</v>
      </c>
      <c r="K161" s="50">
        <v>5.0000000000000001E-3</v>
      </c>
      <c r="L161" s="29">
        <v>5.0000000000000001E-3</v>
      </c>
      <c r="Z161" s="50">
        <f t="shared" si="159"/>
        <v>0</v>
      </c>
      <c r="AB161" s="50">
        <f t="shared" si="160"/>
        <v>0</v>
      </c>
      <c r="AC161" s="50">
        <f t="shared" si="161"/>
        <v>0</v>
      </c>
      <c r="AD161" s="50">
        <f t="shared" si="162"/>
        <v>0</v>
      </c>
      <c r="AE161" s="50">
        <f t="shared" si="163"/>
        <v>0</v>
      </c>
      <c r="AF161" s="50">
        <f t="shared" si="164"/>
        <v>0</v>
      </c>
      <c r="AG161" s="50">
        <f t="shared" si="165"/>
        <v>0</v>
      </c>
      <c r="AH161" s="50">
        <f t="shared" si="166"/>
        <v>0</v>
      </c>
      <c r="AI161" s="57" t="s">
        <v>510</v>
      </c>
      <c r="AJ161" s="50">
        <f t="shared" si="167"/>
        <v>0</v>
      </c>
      <c r="AK161" s="50">
        <f t="shared" si="168"/>
        <v>0</v>
      </c>
      <c r="AL161" s="50">
        <f t="shared" si="169"/>
        <v>0</v>
      </c>
      <c r="AN161" s="50">
        <v>21</v>
      </c>
      <c r="AO161" s="50">
        <f t="shared" si="178"/>
        <v>0</v>
      </c>
      <c r="AP161" s="50">
        <f t="shared" si="179"/>
        <v>0</v>
      </c>
      <c r="AQ161" s="38" t="s">
        <v>725</v>
      </c>
      <c r="AV161" s="50">
        <f t="shared" si="170"/>
        <v>0</v>
      </c>
      <c r="AW161" s="50">
        <f t="shared" si="171"/>
        <v>0</v>
      </c>
      <c r="AX161" s="50">
        <f t="shared" si="172"/>
        <v>0</v>
      </c>
      <c r="AY161" s="38" t="s">
        <v>445</v>
      </c>
      <c r="AZ161" s="38" t="s">
        <v>258</v>
      </c>
      <c r="BA161" s="57" t="s">
        <v>571</v>
      </c>
      <c r="BC161" s="50">
        <f t="shared" si="173"/>
        <v>0</v>
      </c>
      <c r="BD161" s="50">
        <f t="shared" si="174"/>
        <v>0</v>
      </c>
      <c r="BE161" s="50">
        <v>0</v>
      </c>
      <c r="BF161" s="50">
        <f>161</f>
        <v>161</v>
      </c>
      <c r="BH161" s="50">
        <f t="shared" si="175"/>
        <v>0</v>
      </c>
      <c r="BI161" s="50">
        <f t="shared" si="176"/>
        <v>0</v>
      </c>
      <c r="BJ161" s="50">
        <f t="shared" si="177"/>
        <v>0</v>
      </c>
      <c r="BK161" s="50"/>
      <c r="BL161" s="50">
        <v>95</v>
      </c>
      <c r="BW161" s="50">
        <v>21</v>
      </c>
    </row>
    <row r="162" spans="1:75" ht="13.5" customHeight="1" x14ac:dyDescent="0.25">
      <c r="A162" s="36" t="s">
        <v>324</v>
      </c>
      <c r="B162" s="53" t="s">
        <v>406</v>
      </c>
      <c r="C162" s="68" t="s">
        <v>782</v>
      </c>
      <c r="D162" s="69"/>
      <c r="E162" s="53" t="s">
        <v>180</v>
      </c>
      <c r="F162" s="50">
        <v>1</v>
      </c>
      <c r="G162" s="50">
        <v>0</v>
      </c>
      <c r="H162" s="50">
        <f t="shared" si="156"/>
        <v>0</v>
      </c>
      <c r="I162" s="50">
        <f t="shared" si="157"/>
        <v>0</v>
      </c>
      <c r="J162" s="50">
        <f t="shared" si="158"/>
        <v>0</v>
      </c>
      <c r="K162" s="50">
        <v>8.0000000000000002E-3</v>
      </c>
      <c r="L162" s="29">
        <v>8.0000000000000002E-3</v>
      </c>
      <c r="Z162" s="50">
        <f t="shared" si="159"/>
        <v>0</v>
      </c>
      <c r="AB162" s="50">
        <f t="shared" si="160"/>
        <v>0</v>
      </c>
      <c r="AC162" s="50">
        <f t="shared" si="161"/>
        <v>0</v>
      </c>
      <c r="AD162" s="50">
        <f t="shared" si="162"/>
        <v>0</v>
      </c>
      <c r="AE162" s="50">
        <f t="shared" si="163"/>
        <v>0</v>
      </c>
      <c r="AF162" s="50">
        <f t="shared" si="164"/>
        <v>0</v>
      </c>
      <c r="AG162" s="50">
        <f t="shared" si="165"/>
        <v>0</v>
      </c>
      <c r="AH162" s="50">
        <f t="shared" si="166"/>
        <v>0</v>
      </c>
      <c r="AI162" s="57" t="s">
        <v>510</v>
      </c>
      <c r="AJ162" s="50">
        <f t="shared" si="167"/>
        <v>0</v>
      </c>
      <c r="AK162" s="50">
        <f t="shared" si="168"/>
        <v>0</v>
      </c>
      <c r="AL162" s="50">
        <f t="shared" si="169"/>
        <v>0</v>
      </c>
      <c r="AN162" s="50">
        <v>21</v>
      </c>
      <c r="AO162" s="50">
        <f t="shared" si="178"/>
        <v>0</v>
      </c>
      <c r="AP162" s="50">
        <f t="shared" si="179"/>
        <v>0</v>
      </c>
      <c r="AQ162" s="38" t="s">
        <v>725</v>
      </c>
      <c r="AV162" s="50">
        <f t="shared" si="170"/>
        <v>0</v>
      </c>
      <c r="AW162" s="50">
        <f t="shared" si="171"/>
        <v>0</v>
      </c>
      <c r="AX162" s="50">
        <f t="shared" si="172"/>
        <v>0</v>
      </c>
      <c r="AY162" s="38" t="s">
        <v>445</v>
      </c>
      <c r="AZ162" s="38" t="s">
        <v>258</v>
      </c>
      <c r="BA162" s="57" t="s">
        <v>571</v>
      </c>
      <c r="BC162" s="50">
        <f t="shared" si="173"/>
        <v>0</v>
      </c>
      <c r="BD162" s="50">
        <f t="shared" si="174"/>
        <v>0</v>
      </c>
      <c r="BE162" s="50">
        <v>0</v>
      </c>
      <c r="BF162" s="50">
        <f>162</f>
        <v>162</v>
      </c>
      <c r="BH162" s="50">
        <f t="shared" si="175"/>
        <v>0</v>
      </c>
      <c r="BI162" s="50">
        <f t="shared" si="176"/>
        <v>0</v>
      </c>
      <c r="BJ162" s="50">
        <f t="shared" si="177"/>
        <v>0</v>
      </c>
      <c r="BK162" s="50"/>
      <c r="BL162" s="50">
        <v>95</v>
      </c>
      <c r="BW162" s="50">
        <v>21</v>
      </c>
    </row>
    <row r="163" spans="1:75" ht="13.5" customHeight="1" x14ac:dyDescent="0.25">
      <c r="A163" s="36" t="s">
        <v>209</v>
      </c>
      <c r="B163" s="53" t="s">
        <v>50</v>
      </c>
      <c r="C163" s="68" t="s">
        <v>382</v>
      </c>
      <c r="D163" s="69"/>
      <c r="E163" s="53" t="s">
        <v>180</v>
      </c>
      <c r="F163" s="50">
        <v>1</v>
      </c>
      <c r="G163" s="50">
        <v>0</v>
      </c>
      <c r="H163" s="50">
        <f t="shared" si="156"/>
        <v>0</v>
      </c>
      <c r="I163" s="50">
        <f t="shared" si="157"/>
        <v>0</v>
      </c>
      <c r="J163" s="50">
        <f t="shared" si="158"/>
        <v>0</v>
      </c>
      <c r="K163" s="50">
        <v>8.0000000000000002E-3</v>
      </c>
      <c r="L163" s="29">
        <v>8.0000000000000002E-3</v>
      </c>
      <c r="Z163" s="50">
        <f t="shared" si="159"/>
        <v>0</v>
      </c>
      <c r="AB163" s="50">
        <f t="shared" si="160"/>
        <v>0</v>
      </c>
      <c r="AC163" s="50">
        <f t="shared" si="161"/>
        <v>0</v>
      </c>
      <c r="AD163" s="50">
        <f t="shared" si="162"/>
        <v>0</v>
      </c>
      <c r="AE163" s="50">
        <f t="shared" si="163"/>
        <v>0</v>
      </c>
      <c r="AF163" s="50">
        <f t="shared" si="164"/>
        <v>0</v>
      </c>
      <c r="AG163" s="50">
        <f t="shared" si="165"/>
        <v>0</v>
      </c>
      <c r="AH163" s="50">
        <f t="shared" si="166"/>
        <v>0</v>
      </c>
      <c r="AI163" s="57" t="s">
        <v>510</v>
      </c>
      <c r="AJ163" s="50">
        <f t="shared" si="167"/>
        <v>0</v>
      </c>
      <c r="AK163" s="50">
        <f t="shared" si="168"/>
        <v>0</v>
      </c>
      <c r="AL163" s="50">
        <f t="shared" si="169"/>
        <v>0</v>
      </c>
      <c r="AN163" s="50">
        <v>21</v>
      </c>
      <c r="AO163" s="50">
        <f t="shared" si="178"/>
        <v>0</v>
      </c>
      <c r="AP163" s="50">
        <f t="shared" si="179"/>
        <v>0</v>
      </c>
      <c r="AQ163" s="38" t="s">
        <v>725</v>
      </c>
      <c r="AV163" s="50">
        <f t="shared" si="170"/>
        <v>0</v>
      </c>
      <c r="AW163" s="50">
        <f t="shared" si="171"/>
        <v>0</v>
      </c>
      <c r="AX163" s="50">
        <f t="shared" si="172"/>
        <v>0</v>
      </c>
      <c r="AY163" s="38" t="s">
        <v>445</v>
      </c>
      <c r="AZ163" s="38" t="s">
        <v>258</v>
      </c>
      <c r="BA163" s="57" t="s">
        <v>571</v>
      </c>
      <c r="BC163" s="50">
        <f t="shared" si="173"/>
        <v>0</v>
      </c>
      <c r="BD163" s="50">
        <f t="shared" si="174"/>
        <v>0</v>
      </c>
      <c r="BE163" s="50">
        <v>0</v>
      </c>
      <c r="BF163" s="50">
        <f>163</f>
        <v>163</v>
      </c>
      <c r="BH163" s="50">
        <f t="shared" si="175"/>
        <v>0</v>
      </c>
      <c r="BI163" s="50">
        <f t="shared" si="176"/>
        <v>0</v>
      </c>
      <c r="BJ163" s="50">
        <f t="shared" si="177"/>
        <v>0</v>
      </c>
      <c r="BK163" s="50"/>
      <c r="BL163" s="50">
        <v>95</v>
      </c>
      <c r="BW163" s="50">
        <v>21</v>
      </c>
    </row>
    <row r="164" spans="1:75" ht="13.5" customHeight="1" x14ac:dyDescent="0.25">
      <c r="A164" s="36" t="s">
        <v>196</v>
      </c>
      <c r="B164" s="53" t="s">
        <v>321</v>
      </c>
      <c r="C164" s="68" t="s">
        <v>767</v>
      </c>
      <c r="D164" s="69"/>
      <c r="E164" s="53" t="s">
        <v>180</v>
      </c>
      <c r="F164" s="50">
        <v>21</v>
      </c>
      <c r="G164" s="50">
        <v>0</v>
      </c>
      <c r="H164" s="50">
        <f t="shared" si="156"/>
        <v>0</v>
      </c>
      <c r="I164" s="50">
        <f t="shared" si="157"/>
        <v>0</v>
      </c>
      <c r="J164" s="50">
        <f t="shared" si="158"/>
        <v>0</v>
      </c>
      <c r="K164" s="50">
        <v>0.01</v>
      </c>
      <c r="L164" s="29">
        <v>0.01</v>
      </c>
      <c r="Z164" s="50">
        <f t="shared" si="159"/>
        <v>0</v>
      </c>
      <c r="AB164" s="50">
        <f t="shared" si="160"/>
        <v>0</v>
      </c>
      <c r="AC164" s="50">
        <f t="shared" si="161"/>
        <v>0</v>
      </c>
      <c r="AD164" s="50">
        <f t="shared" si="162"/>
        <v>0</v>
      </c>
      <c r="AE164" s="50">
        <f t="shared" si="163"/>
        <v>0</v>
      </c>
      <c r="AF164" s="50">
        <f t="shared" si="164"/>
        <v>0</v>
      </c>
      <c r="AG164" s="50">
        <f t="shared" si="165"/>
        <v>0</v>
      </c>
      <c r="AH164" s="50">
        <f t="shared" si="166"/>
        <v>0</v>
      </c>
      <c r="AI164" s="57" t="s">
        <v>510</v>
      </c>
      <c r="AJ164" s="50">
        <f t="shared" si="167"/>
        <v>0</v>
      </c>
      <c r="AK164" s="50">
        <f t="shared" si="168"/>
        <v>0</v>
      </c>
      <c r="AL164" s="50">
        <f t="shared" si="169"/>
        <v>0</v>
      </c>
      <c r="AN164" s="50">
        <v>21</v>
      </c>
      <c r="AO164" s="50">
        <f t="shared" si="178"/>
        <v>0</v>
      </c>
      <c r="AP164" s="50">
        <f t="shared" si="179"/>
        <v>0</v>
      </c>
      <c r="AQ164" s="38" t="s">
        <v>725</v>
      </c>
      <c r="AV164" s="50">
        <f t="shared" si="170"/>
        <v>0</v>
      </c>
      <c r="AW164" s="50">
        <f t="shared" si="171"/>
        <v>0</v>
      </c>
      <c r="AX164" s="50">
        <f t="shared" si="172"/>
        <v>0</v>
      </c>
      <c r="AY164" s="38" t="s">
        <v>445</v>
      </c>
      <c r="AZ164" s="38" t="s">
        <v>258</v>
      </c>
      <c r="BA164" s="57" t="s">
        <v>571</v>
      </c>
      <c r="BC164" s="50">
        <f t="shared" si="173"/>
        <v>0</v>
      </c>
      <c r="BD164" s="50">
        <f t="shared" si="174"/>
        <v>0</v>
      </c>
      <c r="BE164" s="50">
        <v>0</v>
      </c>
      <c r="BF164" s="50">
        <f>164</f>
        <v>164</v>
      </c>
      <c r="BH164" s="50">
        <f t="shared" si="175"/>
        <v>0</v>
      </c>
      <c r="BI164" s="50">
        <f t="shared" si="176"/>
        <v>0</v>
      </c>
      <c r="BJ164" s="50">
        <f t="shared" si="177"/>
        <v>0</v>
      </c>
      <c r="BK164" s="50"/>
      <c r="BL164" s="50">
        <v>95</v>
      </c>
      <c r="BW164" s="50">
        <v>21</v>
      </c>
    </row>
    <row r="165" spans="1:75" ht="13.5" customHeight="1" x14ac:dyDescent="0.25">
      <c r="A165" s="36" t="s">
        <v>744</v>
      </c>
      <c r="B165" s="53" t="s">
        <v>240</v>
      </c>
      <c r="C165" s="68" t="s">
        <v>417</v>
      </c>
      <c r="D165" s="69"/>
      <c r="E165" s="53" t="s">
        <v>180</v>
      </c>
      <c r="F165" s="50">
        <v>1</v>
      </c>
      <c r="G165" s="50">
        <v>0</v>
      </c>
      <c r="H165" s="50">
        <f t="shared" si="156"/>
        <v>0</v>
      </c>
      <c r="I165" s="50">
        <f t="shared" si="157"/>
        <v>0</v>
      </c>
      <c r="J165" s="50">
        <f t="shared" si="158"/>
        <v>0</v>
      </c>
      <c r="K165" s="50">
        <v>1.4E-2</v>
      </c>
      <c r="L165" s="29">
        <v>1.4E-2</v>
      </c>
      <c r="Z165" s="50">
        <f t="shared" si="159"/>
        <v>0</v>
      </c>
      <c r="AB165" s="50">
        <f t="shared" si="160"/>
        <v>0</v>
      </c>
      <c r="AC165" s="50">
        <f t="shared" si="161"/>
        <v>0</v>
      </c>
      <c r="AD165" s="50">
        <f t="shared" si="162"/>
        <v>0</v>
      </c>
      <c r="AE165" s="50">
        <f t="shared" si="163"/>
        <v>0</v>
      </c>
      <c r="AF165" s="50">
        <f t="shared" si="164"/>
        <v>0</v>
      </c>
      <c r="AG165" s="50">
        <f t="shared" si="165"/>
        <v>0</v>
      </c>
      <c r="AH165" s="50">
        <f t="shared" si="166"/>
        <v>0</v>
      </c>
      <c r="AI165" s="57" t="s">
        <v>510</v>
      </c>
      <c r="AJ165" s="50">
        <f t="shared" si="167"/>
        <v>0</v>
      </c>
      <c r="AK165" s="50">
        <f t="shared" si="168"/>
        <v>0</v>
      </c>
      <c r="AL165" s="50">
        <f t="shared" si="169"/>
        <v>0</v>
      </c>
      <c r="AN165" s="50">
        <v>21</v>
      </c>
      <c r="AO165" s="50">
        <f t="shared" si="178"/>
        <v>0</v>
      </c>
      <c r="AP165" s="50">
        <f t="shared" si="179"/>
        <v>0</v>
      </c>
      <c r="AQ165" s="38" t="s">
        <v>725</v>
      </c>
      <c r="AV165" s="50">
        <f t="shared" si="170"/>
        <v>0</v>
      </c>
      <c r="AW165" s="50">
        <f t="shared" si="171"/>
        <v>0</v>
      </c>
      <c r="AX165" s="50">
        <f t="shared" si="172"/>
        <v>0</v>
      </c>
      <c r="AY165" s="38" t="s">
        <v>445</v>
      </c>
      <c r="AZ165" s="38" t="s">
        <v>258</v>
      </c>
      <c r="BA165" s="57" t="s">
        <v>571</v>
      </c>
      <c r="BC165" s="50">
        <f t="shared" si="173"/>
        <v>0</v>
      </c>
      <c r="BD165" s="50">
        <f t="shared" si="174"/>
        <v>0</v>
      </c>
      <c r="BE165" s="50">
        <v>0</v>
      </c>
      <c r="BF165" s="50">
        <f>165</f>
        <v>165</v>
      </c>
      <c r="BH165" s="50">
        <f t="shared" si="175"/>
        <v>0</v>
      </c>
      <c r="BI165" s="50">
        <f t="shared" si="176"/>
        <v>0</v>
      </c>
      <c r="BJ165" s="50">
        <f t="shared" si="177"/>
        <v>0</v>
      </c>
      <c r="BK165" s="50"/>
      <c r="BL165" s="50">
        <v>95</v>
      </c>
      <c r="BW165" s="50">
        <v>21</v>
      </c>
    </row>
    <row r="166" spans="1:75" ht="13.5" customHeight="1" x14ac:dyDescent="0.25">
      <c r="A166" s="36" t="s">
        <v>265</v>
      </c>
      <c r="B166" s="53" t="s">
        <v>399</v>
      </c>
      <c r="C166" s="68" t="s">
        <v>218</v>
      </c>
      <c r="D166" s="69"/>
      <c r="E166" s="53" t="s">
        <v>180</v>
      </c>
      <c r="F166" s="50">
        <v>1</v>
      </c>
      <c r="G166" s="50">
        <v>0</v>
      </c>
      <c r="H166" s="50">
        <f t="shared" si="156"/>
        <v>0</v>
      </c>
      <c r="I166" s="50">
        <f t="shared" si="157"/>
        <v>0</v>
      </c>
      <c r="J166" s="50">
        <f t="shared" si="158"/>
        <v>0</v>
      </c>
      <c r="K166" s="50">
        <v>0.03</v>
      </c>
      <c r="L166" s="29">
        <v>0.03</v>
      </c>
      <c r="Z166" s="50">
        <f t="shared" si="159"/>
        <v>0</v>
      </c>
      <c r="AB166" s="50">
        <f t="shared" si="160"/>
        <v>0</v>
      </c>
      <c r="AC166" s="50">
        <f t="shared" si="161"/>
        <v>0</v>
      </c>
      <c r="AD166" s="50">
        <f t="shared" si="162"/>
        <v>0</v>
      </c>
      <c r="AE166" s="50">
        <f t="shared" si="163"/>
        <v>0</v>
      </c>
      <c r="AF166" s="50">
        <f t="shared" si="164"/>
        <v>0</v>
      </c>
      <c r="AG166" s="50">
        <f t="shared" si="165"/>
        <v>0</v>
      </c>
      <c r="AH166" s="50">
        <f t="shared" si="166"/>
        <v>0</v>
      </c>
      <c r="AI166" s="57" t="s">
        <v>510</v>
      </c>
      <c r="AJ166" s="50">
        <f t="shared" si="167"/>
        <v>0</v>
      </c>
      <c r="AK166" s="50">
        <f t="shared" si="168"/>
        <v>0</v>
      </c>
      <c r="AL166" s="50">
        <f t="shared" si="169"/>
        <v>0</v>
      </c>
      <c r="AN166" s="50">
        <v>21</v>
      </c>
      <c r="AO166" s="50">
        <f t="shared" si="178"/>
        <v>0</v>
      </c>
      <c r="AP166" s="50">
        <f t="shared" si="179"/>
        <v>0</v>
      </c>
      <c r="AQ166" s="38" t="s">
        <v>725</v>
      </c>
      <c r="AV166" s="50">
        <f t="shared" si="170"/>
        <v>0</v>
      </c>
      <c r="AW166" s="50">
        <f t="shared" si="171"/>
        <v>0</v>
      </c>
      <c r="AX166" s="50">
        <f t="shared" si="172"/>
        <v>0</v>
      </c>
      <c r="AY166" s="38" t="s">
        <v>445</v>
      </c>
      <c r="AZ166" s="38" t="s">
        <v>258</v>
      </c>
      <c r="BA166" s="57" t="s">
        <v>571</v>
      </c>
      <c r="BC166" s="50">
        <f t="shared" si="173"/>
        <v>0</v>
      </c>
      <c r="BD166" s="50">
        <f t="shared" si="174"/>
        <v>0</v>
      </c>
      <c r="BE166" s="50">
        <v>0</v>
      </c>
      <c r="BF166" s="50">
        <f>166</f>
        <v>166</v>
      </c>
      <c r="BH166" s="50">
        <f t="shared" si="175"/>
        <v>0</v>
      </c>
      <c r="BI166" s="50">
        <f t="shared" si="176"/>
        <v>0</v>
      </c>
      <c r="BJ166" s="50">
        <f t="shared" si="177"/>
        <v>0</v>
      </c>
      <c r="BK166" s="50"/>
      <c r="BL166" s="50">
        <v>95</v>
      </c>
      <c r="BW166" s="50">
        <v>21</v>
      </c>
    </row>
    <row r="167" spans="1:75" ht="13.5" customHeight="1" x14ac:dyDescent="0.25">
      <c r="A167" s="36" t="s">
        <v>199</v>
      </c>
      <c r="B167" s="53" t="s">
        <v>245</v>
      </c>
      <c r="C167" s="68" t="s">
        <v>665</v>
      </c>
      <c r="D167" s="69"/>
      <c r="E167" s="53" t="s">
        <v>180</v>
      </c>
      <c r="F167" s="50">
        <v>1</v>
      </c>
      <c r="G167" s="50">
        <v>0</v>
      </c>
      <c r="H167" s="50">
        <f t="shared" si="156"/>
        <v>0</v>
      </c>
      <c r="I167" s="50">
        <f t="shared" si="157"/>
        <v>0</v>
      </c>
      <c r="J167" s="50">
        <f t="shared" si="158"/>
        <v>0</v>
      </c>
      <c r="K167" s="50">
        <v>2E-3</v>
      </c>
      <c r="L167" s="29">
        <v>2E-3</v>
      </c>
      <c r="Z167" s="50">
        <f t="shared" si="159"/>
        <v>0</v>
      </c>
      <c r="AB167" s="50">
        <f t="shared" si="160"/>
        <v>0</v>
      </c>
      <c r="AC167" s="50">
        <f t="shared" si="161"/>
        <v>0</v>
      </c>
      <c r="AD167" s="50">
        <f t="shared" si="162"/>
        <v>0</v>
      </c>
      <c r="AE167" s="50">
        <f t="shared" si="163"/>
        <v>0</v>
      </c>
      <c r="AF167" s="50">
        <f t="shared" si="164"/>
        <v>0</v>
      </c>
      <c r="AG167" s="50">
        <f t="shared" si="165"/>
        <v>0</v>
      </c>
      <c r="AH167" s="50">
        <f t="shared" si="166"/>
        <v>0</v>
      </c>
      <c r="AI167" s="57" t="s">
        <v>510</v>
      </c>
      <c r="AJ167" s="50">
        <f t="shared" si="167"/>
        <v>0</v>
      </c>
      <c r="AK167" s="50">
        <f t="shared" si="168"/>
        <v>0</v>
      </c>
      <c r="AL167" s="50">
        <f t="shared" si="169"/>
        <v>0</v>
      </c>
      <c r="AN167" s="50">
        <v>21</v>
      </c>
      <c r="AO167" s="50">
        <f t="shared" si="178"/>
        <v>0</v>
      </c>
      <c r="AP167" s="50">
        <f t="shared" si="179"/>
        <v>0</v>
      </c>
      <c r="AQ167" s="38" t="s">
        <v>725</v>
      </c>
      <c r="AV167" s="50">
        <f t="shared" si="170"/>
        <v>0</v>
      </c>
      <c r="AW167" s="50">
        <f t="shared" si="171"/>
        <v>0</v>
      </c>
      <c r="AX167" s="50">
        <f t="shared" si="172"/>
        <v>0</v>
      </c>
      <c r="AY167" s="38" t="s">
        <v>445</v>
      </c>
      <c r="AZ167" s="38" t="s">
        <v>258</v>
      </c>
      <c r="BA167" s="57" t="s">
        <v>571</v>
      </c>
      <c r="BC167" s="50">
        <f t="shared" si="173"/>
        <v>0</v>
      </c>
      <c r="BD167" s="50">
        <f t="shared" si="174"/>
        <v>0</v>
      </c>
      <c r="BE167" s="50">
        <v>0</v>
      </c>
      <c r="BF167" s="50">
        <f>167</f>
        <v>167</v>
      </c>
      <c r="BH167" s="50">
        <f t="shared" si="175"/>
        <v>0</v>
      </c>
      <c r="BI167" s="50">
        <f t="shared" si="176"/>
        <v>0</v>
      </c>
      <c r="BJ167" s="50">
        <f t="shared" si="177"/>
        <v>0</v>
      </c>
      <c r="BK167" s="50"/>
      <c r="BL167" s="50">
        <v>95</v>
      </c>
      <c r="BW167" s="50">
        <v>21</v>
      </c>
    </row>
    <row r="168" spans="1:75" ht="15" customHeight="1" x14ac:dyDescent="0.25">
      <c r="A168" s="47" t="s">
        <v>510</v>
      </c>
      <c r="B168" s="35" t="s">
        <v>407</v>
      </c>
      <c r="C168" s="70" t="s">
        <v>549</v>
      </c>
      <c r="D168" s="71"/>
      <c r="E168" s="1" t="s">
        <v>686</v>
      </c>
      <c r="F168" s="1" t="s">
        <v>686</v>
      </c>
      <c r="G168" s="1" t="s">
        <v>686</v>
      </c>
      <c r="H168" s="5">
        <f>SUM(H169:H169)</f>
        <v>0</v>
      </c>
      <c r="I168" s="5">
        <f>SUM(I169:I169)</f>
        <v>0</v>
      </c>
      <c r="J168" s="5">
        <f>SUM(J169:J169)</f>
        <v>0</v>
      </c>
      <c r="K168" s="57" t="s">
        <v>510</v>
      </c>
      <c r="L168" s="7" t="s">
        <v>510</v>
      </c>
      <c r="AI168" s="57" t="s">
        <v>510</v>
      </c>
      <c r="AS168" s="5">
        <f>SUM(AJ169:AJ169)</f>
        <v>0</v>
      </c>
      <c r="AT168" s="5">
        <f>SUM(AK169:AK169)</f>
        <v>0</v>
      </c>
      <c r="AU168" s="5">
        <f>SUM(AL169:AL169)</f>
        <v>0</v>
      </c>
    </row>
    <row r="169" spans="1:75" ht="13.5" customHeight="1" x14ac:dyDescent="0.25">
      <c r="A169" s="36" t="s">
        <v>554</v>
      </c>
      <c r="B169" s="53" t="s">
        <v>653</v>
      </c>
      <c r="C169" s="68" t="s">
        <v>378</v>
      </c>
      <c r="D169" s="69"/>
      <c r="E169" s="53" t="s">
        <v>710</v>
      </c>
      <c r="F169" s="50">
        <v>0.15</v>
      </c>
      <c r="G169" s="50">
        <v>0</v>
      </c>
      <c r="H169" s="50">
        <f>F169*AO169</f>
        <v>0</v>
      </c>
      <c r="I169" s="50">
        <f>F169*AP169</f>
        <v>0</v>
      </c>
      <c r="J169" s="50">
        <f>F169*G169</f>
        <v>0</v>
      </c>
      <c r="K169" s="50">
        <v>0</v>
      </c>
      <c r="L169" s="29">
        <v>2.2000000000000002</v>
      </c>
      <c r="Z169" s="50">
        <f>IF(AQ169="5",BJ169,0)</f>
        <v>0</v>
      </c>
      <c r="AB169" s="50">
        <f>IF(AQ169="1",BH169,0)</f>
        <v>0</v>
      </c>
      <c r="AC169" s="50">
        <f>IF(AQ169="1",BI169,0)</f>
        <v>0</v>
      </c>
      <c r="AD169" s="50">
        <f>IF(AQ169="7",BH169,0)</f>
        <v>0</v>
      </c>
      <c r="AE169" s="50">
        <f>IF(AQ169="7",BI169,0)</f>
        <v>0</v>
      </c>
      <c r="AF169" s="50">
        <f>IF(AQ169="2",BH169,0)</f>
        <v>0</v>
      </c>
      <c r="AG169" s="50">
        <f>IF(AQ169="2",BI169,0)</f>
        <v>0</v>
      </c>
      <c r="AH169" s="50">
        <f>IF(AQ169="0",BJ169,0)</f>
        <v>0</v>
      </c>
      <c r="AI169" s="57" t="s">
        <v>510</v>
      </c>
      <c r="AJ169" s="50">
        <f>IF(AN169=0,J169,0)</f>
        <v>0</v>
      </c>
      <c r="AK169" s="50">
        <f>IF(AN169=15,J169,0)</f>
        <v>0</v>
      </c>
      <c r="AL169" s="50">
        <f>IF(AN169=21,J169,0)</f>
        <v>0</v>
      </c>
      <c r="AN169" s="50">
        <v>21</v>
      </c>
      <c r="AO169" s="50">
        <f>G169*0</f>
        <v>0</v>
      </c>
      <c r="AP169" s="50">
        <f>G169*(1-0)</f>
        <v>0</v>
      </c>
      <c r="AQ169" s="38" t="s">
        <v>725</v>
      </c>
      <c r="AV169" s="50">
        <f>AW169+AX169</f>
        <v>0</v>
      </c>
      <c r="AW169" s="50">
        <f>F169*AO169</f>
        <v>0</v>
      </c>
      <c r="AX169" s="50">
        <f>F169*AP169</f>
        <v>0</v>
      </c>
      <c r="AY169" s="38" t="s">
        <v>655</v>
      </c>
      <c r="AZ169" s="38" t="s">
        <v>258</v>
      </c>
      <c r="BA169" s="57" t="s">
        <v>571</v>
      </c>
      <c r="BC169" s="50">
        <f>AW169+AX169</f>
        <v>0</v>
      </c>
      <c r="BD169" s="50">
        <f>G169/(100-BE169)*100</f>
        <v>0</v>
      </c>
      <c r="BE169" s="50">
        <v>0</v>
      </c>
      <c r="BF169" s="50">
        <f>169</f>
        <v>169</v>
      </c>
      <c r="BH169" s="50">
        <f>F169*AO169</f>
        <v>0</v>
      </c>
      <c r="BI169" s="50">
        <f>F169*AP169</f>
        <v>0</v>
      </c>
      <c r="BJ169" s="50">
        <f>F169*G169</f>
        <v>0</v>
      </c>
      <c r="BK169" s="50"/>
      <c r="BL169" s="50">
        <v>96</v>
      </c>
      <c r="BW169" s="50">
        <v>21</v>
      </c>
    </row>
    <row r="170" spans="1:75" ht="15" customHeight="1" x14ac:dyDescent="0.25">
      <c r="A170" s="47" t="s">
        <v>510</v>
      </c>
      <c r="B170" s="35" t="s">
        <v>76</v>
      </c>
      <c r="C170" s="70" t="s">
        <v>805</v>
      </c>
      <c r="D170" s="71"/>
      <c r="E170" s="1" t="s">
        <v>686</v>
      </c>
      <c r="F170" s="1" t="s">
        <v>686</v>
      </c>
      <c r="G170" s="1" t="s">
        <v>686</v>
      </c>
      <c r="H170" s="5">
        <f>SUM(H171:H172)</f>
        <v>0</v>
      </c>
      <c r="I170" s="5">
        <f>SUM(I171:I172)</f>
        <v>0</v>
      </c>
      <c r="J170" s="5">
        <f>SUM(J171:J172)</f>
        <v>0</v>
      </c>
      <c r="K170" s="57" t="s">
        <v>510</v>
      </c>
      <c r="L170" s="7" t="s">
        <v>510</v>
      </c>
      <c r="AI170" s="57" t="s">
        <v>510</v>
      </c>
      <c r="AS170" s="5">
        <f>SUM(AJ171:AJ172)</f>
        <v>0</v>
      </c>
      <c r="AT170" s="5">
        <f>SUM(AK171:AK172)</f>
        <v>0</v>
      </c>
      <c r="AU170" s="5">
        <f>SUM(AL171:AL172)</f>
        <v>0</v>
      </c>
    </row>
    <row r="171" spans="1:75" ht="13.5" customHeight="1" x14ac:dyDescent="0.25">
      <c r="A171" s="36" t="s">
        <v>91</v>
      </c>
      <c r="B171" s="53" t="s">
        <v>529</v>
      </c>
      <c r="C171" s="68" t="s">
        <v>550</v>
      </c>
      <c r="D171" s="69"/>
      <c r="E171" s="53" t="s">
        <v>180</v>
      </c>
      <c r="F171" s="50">
        <v>1</v>
      </c>
      <c r="G171" s="50">
        <v>0</v>
      </c>
      <c r="H171" s="50">
        <f>F171*AO171</f>
        <v>0</v>
      </c>
      <c r="I171" s="50">
        <f>F171*AP171</f>
        <v>0</v>
      </c>
      <c r="J171" s="50">
        <f>F171*G171</f>
        <v>0</v>
      </c>
      <c r="K171" s="50">
        <v>3.4000000000000002E-4</v>
      </c>
      <c r="L171" s="29">
        <v>0.13833999999999999</v>
      </c>
      <c r="Z171" s="50">
        <f>IF(AQ171="5",BJ171,0)</f>
        <v>0</v>
      </c>
      <c r="AB171" s="50">
        <f>IF(AQ171="1",BH171,0)</f>
        <v>0</v>
      </c>
      <c r="AC171" s="50">
        <f>IF(AQ171="1",BI171,0)</f>
        <v>0</v>
      </c>
      <c r="AD171" s="50">
        <f>IF(AQ171="7",BH171,0)</f>
        <v>0</v>
      </c>
      <c r="AE171" s="50">
        <f>IF(AQ171="7",BI171,0)</f>
        <v>0</v>
      </c>
      <c r="AF171" s="50">
        <f>IF(AQ171="2",BH171,0)</f>
        <v>0</v>
      </c>
      <c r="AG171" s="50">
        <f>IF(AQ171="2",BI171,0)</f>
        <v>0</v>
      </c>
      <c r="AH171" s="50">
        <f>IF(AQ171="0",BJ171,0)</f>
        <v>0</v>
      </c>
      <c r="AI171" s="57" t="s">
        <v>510</v>
      </c>
      <c r="AJ171" s="50">
        <f>IF(AN171=0,J171,0)</f>
        <v>0</v>
      </c>
      <c r="AK171" s="50">
        <f>IF(AN171=15,J171,0)</f>
        <v>0</v>
      </c>
      <c r="AL171" s="50">
        <f>IF(AN171=21,J171,0)</f>
        <v>0</v>
      </c>
      <c r="AN171" s="50">
        <v>21</v>
      </c>
      <c r="AO171" s="50">
        <f>G171*0.0285131195335277</f>
        <v>0</v>
      </c>
      <c r="AP171" s="50">
        <f>G171*(1-0.0285131195335277)</f>
        <v>0</v>
      </c>
      <c r="AQ171" s="38" t="s">
        <v>725</v>
      </c>
      <c r="AV171" s="50">
        <f>AW171+AX171</f>
        <v>0</v>
      </c>
      <c r="AW171" s="50">
        <f>F171*AO171</f>
        <v>0</v>
      </c>
      <c r="AX171" s="50">
        <f>F171*AP171</f>
        <v>0</v>
      </c>
      <c r="AY171" s="38" t="s">
        <v>220</v>
      </c>
      <c r="AZ171" s="38" t="s">
        <v>258</v>
      </c>
      <c r="BA171" s="57" t="s">
        <v>571</v>
      </c>
      <c r="BC171" s="50">
        <f>AW171+AX171</f>
        <v>0</v>
      </c>
      <c r="BD171" s="50">
        <f>G171/(100-BE171)*100</f>
        <v>0</v>
      </c>
      <c r="BE171" s="50">
        <v>0</v>
      </c>
      <c r="BF171" s="50">
        <f>171</f>
        <v>171</v>
      </c>
      <c r="BH171" s="50">
        <f>F171*AO171</f>
        <v>0</v>
      </c>
      <c r="BI171" s="50">
        <f>F171*AP171</f>
        <v>0</v>
      </c>
      <c r="BJ171" s="50">
        <f>F171*G171</f>
        <v>0</v>
      </c>
      <c r="BK171" s="50"/>
      <c r="BL171" s="50">
        <v>97</v>
      </c>
      <c r="BW171" s="50">
        <v>21</v>
      </c>
    </row>
    <row r="172" spans="1:75" ht="13.5" customHeight="1" x14ac:dyDescent="0.25">
      <c r="A172" s="36" t="s">
        <v>690</v>
      </c>
      <c r="B172" s="53" t="s">
        <v>326</v>
      </c>
      <c r="C172" s="68" t="s">
        <v>221</v>
      </c>
      <c r="D172" s="69"/>
      <c r="E172" s="53" t="s">
        <v>180</v>
      </c>
      <c r="F172" s="50">
        <v>1</v>
      </c>
      <c r="G172" s="50">
        <v>0</v>
      </c>
      <c r="H172" s="50">
        <f>F172*AO172</f>
        <v>0</v>
      </c>
      <c r="I172" s="50">
        <f>F172*AP172</f>
        <v>0</v>
      </c>
      <c r="J172" s="50">
        <f>F172*G172</f>
        <v>0</v>
      </c>
      <c r="K172" s="50">
        <v>3.4000000000000002E-4</v>
      </c>
      <c r="L172" s="29">
        <v>5.4339999999999999E-2</v>
      </c>
      <c r="Z172" s="50">
        <f>IF(AQ172="5",BJ172,0)</f>
        <v>0</v>
      </c>
      <c r="AB172" s="50">
        <f>IF(AQ172="1",BH172,0)</f>
        <v>0</v>
      </c>
      <c r="AC172" s="50">
        <f>IF(AQ172="1",BI172,0)</f>
        <v>0</v>
      </c>
      <c r="AD172" s="50">
        <f>IF(AQ172="7",BH172,0)</f>
        <v>0</v>
      </c>
      <c r="AE172" s="50">
        <f>IF(AQ172="7",BI172,0)</f>
        <v>0</v>
      </c>
      <c r="AF172" s="50">
        <f>IF(AQ172="2",BH172,0)</f>
        <v>0</v>
      </c>
      <c r="AG172" s="50">
        <f>IF(AQ172="2",BI172,0)</f>
        <v>0</v>
      </c>
      <c r="AH172" s="50">
        <f>IF(AQ172="0",BJ172,0)</f>
        <v>0</v>
      </c>
      <c r="AI172" s="57" t="s">
        <v>510</v>
      </c>
      <c r="AJ172" s="50">
        <f>IF(AN172=0,J172,0)</f>
        <v>0</v>
      </c>
      <c r="AK172" s="50">
        <f>IF(AN172=15,J172,0)</f>
        <v>0</v>
      </c>
      <c r="AL172" s="50">
        <f>IF(AN172=21,J172,0)</f>
        <v>0</v>
      </c>
      <c r="AN172" s="50">
        <v>21</v>
      </c>
      <c r="AO172" s="50">
        <f>G172*0.0582142857142857</f>
        <v>0</v>
      </c>
      <c r="AP172" s="50">
        <f>G172*(1-0.0582142857142857)</f>
        <v>0</v>
      </c>
      <c r="AQ172" s="38" t="s">
        <v>725</v>
      </c>
      <c r="AV172" s="50">
        <f>AW172+AX172</f>
        <v>0</v>
      </c>
      <c r="AW172" s="50">
        <f>F172*AO172</f>
        <v>0</v>
      </c>
      <c r="AX172" s="50">
        <f>F172*AP172</f>
        <v>0</v>
      </c>
      <c r="AY172" s="38" t="s">
        <v>220</v>
      </c>
      <c r="AZ172" s="38" t="s">
        <v>258</v>
      </c>
      <c r="BA172" s="57" t="s">
        <v>571</v>
      </c>
      <c r="BC172" s="50">
        <f>AW172+AX172</f>
        <v>0</v>
      </c>
      <c r="BD172" s="50">
        <f>G172/(100-BE172)*100</f>
        <v>0</v>
      </c>
      <c r="BE172" s="50">
        <v>0</v>
      </c>
      <c r="BF172" s="50">
        <f>172</f>
        <v>172</v>
      </c>
      <c r="BH172" s="50">
        <f>F172*AO172</f>
        <v>0</v>
      </c>
      <c r="BI172" s="50">
        <f>F172*AP172</f>
        <v>0</v>
      </c>
      <c r="BJ172" s="50">
        <f>F172*G172</f>
        <v>0</v>
      </c>
      <c r="BK172" s="50"/>
      <c r="BL172" s="50">
        <v>97</v>
      </c>
      <c r="BW172" s="50">
        <v>21</v>
      </c>
    </row>
    <row r="173" spans="1:75" ht="15" customHeight="1" x14ac:dyDescent="0.25">
      <c r="A173" s="47" t="s">
        <v>510</v>
      </c>
      <c r="B173" s="35" t="s">
        <v>484</v>
      </c>
      <c r="C173" s="70" t="s">
        <v>443</v>
      </c>
      <c r="D173" s="71"/>
      <c r="E173" s="1" t="s">
        <v>686</v>
      </c>
      <c r="F173" s="1" t="s">
        <v>686</v>
      </c>
      <c r="G173" s="1" t="s">
        <v>686</v>
      </c>
      <c r="H173" s="5">
        <f>SUM(H174:H175)</f>
        <v>0</v>
      </c>
      <c r="I173" s="5">
        <f>SUM(I174:I175)</f>
        <v>0</v>
      </c>
      <c r="J173" s="5">
        <f>SUM(J174:J175)</f>
        <v>0</v>
      </c>
      <c r="K173" s="57" t="s">
        <v>510</v>
      </c>
      <c r="L173" s="7" t="s">
        <v>510</v>
      </c>
      <c r="AI173" s="57" t="s">
        <v>510</v>
      </c>
      <c r="AS173" s="5">
        <f>SUM(AJ174:AJ175)</f>
        <v>0</v>
      </c>
      <c r="AT173" s="5">
        <f>SUM(AK174:AK175)</f>
        <v>0</v>
      </c>
      <c r="AU173" s="5">
        <f>SUM(AL174:AL175)</f>
        <v>0</v>
      </c>
    </row>
    <row r="174" spans="1:75" ht="13.5" customHeight="1" x14ac:dyDescent="0.25">
      <c r="A174" s="36" t="s">
        <v>172</v>
      </c>
      <c r="B174" s="53" t="s">
        <v>194</v>
      </c>
      <c r="C174" s="68" t="s">
        <v>132</v>
      </c>
      <c r="D174" s="69"/>
      <c r="E174" s="53" t="s">
        <v>331</v>
      </c>
      <c r="F174" s="50">
        <v>0.6</v>
      </c>
      <c r="G174" s="50">
        <v>0</v>
      </c>
      <c r="H174" s="50">
        <f>F174*AO174</f>
        <v>0</v>
      </c>
      <c r="I174" s="50">
        <f>F174*AP174</f>
        <v>0</v>
      </c>
      <c r="J174" s="50">
        <f>F174*G174</f>
        <v>0</v>
      </c>
      <c r="K174" s="50">
        <v>0</v>
      </c>
      <c r="L174" s="29">
        <v>0</v>
      </c>
      <c r="Z174" s="50">
        <f>IF(AQ174="5",BJ174,0)</f>
        <v>0</v>
      </c>
      <c r="AB174" s="50">
        <f>IF(AQ174="1",BH174,0)</f>
        <v>0</v>
      </c>
      <c r="AC174" s="50">
        <f>IF(AQ174="1",BI174,0)</f>
        <v>0</v>
      </c>
      <c r="AD174" s="50">
        <f>IF(AQ174="7",BH174,0)</f>
        <v>0</v>
      </c>
      <c r="AE174" s="50">
        <f>IF(AQ174="7",BI174,0)</f>
        <v>0</v>
      </c>
      <c r="AF174" s="50">
        <f>IF(AQ174="2",BH174,0)</f>
        <v>0</v>
      </c>
      <c r="AG174" s="50">
        <f>IF(AQ174="2",BI174,0)</f>
        <v>0</v>
      </c>
      <c r="AH174" s="50">
        <f>IF(AQ174="0",BJ174,0)</f>
        <v>0</v>
      </c>
      <c r="AI174" s="57" t="s">
        <v>510</v>
      </c>
      <c r="AJ174" s="50">
        <f>IF(AN174=0,J174,0)</f>
        <v>0</v>
      </c>
      <c r="AK174" s="50">
        <f>IF(AN174=15,J174,0)</f>
        <v>0</v>
      </c>
      <c r="AL174" s="50">
        <f>IF(AN174=21,J174,0)</f>
        <v>0</v>
      </c>
      <c r="AN174" s="50">
        <v>21</v>
      </c>
      <c r="AO174" s="50">
        <f>G174*0</f>
        <v>0</v>
      </c>
      <c r="AP174" s="50">
        <f>G174*(1-0)</f>
        <v>0</v>
      </c>
      <c r="AQ174" s="38" t="s">
        <v>390</v>
      </c>
      <c r="AV174" s="50">
        <f>AW174+AX174</f>
        <v>0</v>
      </c>
      <c r="AW174" s="50">
        <f>F174*AO174</f>
        <v>0</v>
      </c>
      <c r="AX174" s="50">
        <f>F174*AP174</f>
        <v>0</v>
      </c>
      <c r="AY174" s="38" t="s">
        <v>745</v>
      </c>
      <c r="AZ174" s="38" t="s">
        <v>258</v>
      </c>
      <c r="BA174" s="57" t="s">
        <v>571</v>
      </c>
      <c r="BC174" s="50">
        <f>AW174+AX174</f>
        <v>0</v>
      </c>
      <c r="BD174" s="50">
        <f>G174/(100-BE174)*100</f>
        <v>0</v>
      </c>
      <c r="BE174" s="50">
        <v>0</v>
      </c>
      <c r="BF174" s="50">
        <f>174</f>
        <v>174</v>
      </c>
      <c r="BH174" s="50">
        <f>F174*AO174</f>
        <v>0</v>
      </c>
      <c r="BI174" s="50">
        <f>F174*AP174</f>
        <v>0</v>
      </c>
      <c r="BJ174" s="50">
        <f>F174*G174</f>
        <v>0</v>
      </c>
      <c r="BK174" s="50"/>
      <c r="BL174" s="50"/>
      <c r="BW174" s="50">
        <v>21</v>
      </c>
    </row>
    <row r="175" spans="1:75" ht="13.5" customHeight="1" x14ac:dyDescent="0.25">
      <c r="A175" s="36" t="s">
        <v>102</v>
      </c>
      <c r="B175" s="53" t="s">
        <v>167</v>
      </c>
      <c r="C175" s="68" t="s">
        <v>227</v>
      </c>
      <c r="D175" s="69"/>
      <c r="E175" s="53" t="s">
        <v>331</v>
      </c>
      <c r="F175" s="50">
        <v>0.6</v>
      </c>
      <c r="G175" s="50">
        <v>0</v>
      </c>
      <c r="H175" s="50">
        <f>F175*AO175</f>
        <v>0</v>
      </c>
      <c r="I175" s="50">
        <f>F175*AP175</f>
        <v>0</v>
      </c>
      <c r="J175" s="50">
        <f>F175*G175</f>
        <v>0</v>
      </c>
      <c r="K175" s="50">
        <v>0</v>
      </c>
      <c r="L175" s="29">
        <v>0</v>
      </c>
      <c r="Z175" s="50">
        <f>IF(AQ175="5",BJ175,0)</f>
        <v>0</v>
      </c>
      <c r="AB175" s="50">
        <f>IF(AQ175="1",BH175,0)</f>
        <v>0</v>
      </c>
      <c r="AC175" s="50">
        <f>IF(AQ175="1",BI175,0)</f>
        <v>0</v>
      </c>
      <c r="AD175" s="50">
        <f>IF(AQ175="7",BH175,0)</f>
        <v>0</v>
      </c>
      <c r="AE175" s="50">
        <f>IF(AQ175="7",BI175,0)</f>
        <v>0</v>
      </c>
      <c r="AF175" s="50">
        <f>IF(AQ175="2",BH175,0)</f>
        <v>0</v>
      </c>
      <c r="AG175" s="50">
        <f>IF(AQ175="2",BI175,0)</f>
        <v>0</v>
      </c>
      <c r="AH175" s="50">
        <f>IF(AQ175="0",BJ175,0)</f>
        <v>0</v>
      </c>
      <c r="AI175" s="57" t="s">
        <v>510</v>
      </c>
      <c r="AJ175" s="50">
        <f>IF(AN175=0,J175,0)</f>
        <v>0</v>
      </c>
      <c r="AK175" s="50">
        <f>IF(AN175=15,J175,0)</f>
        <v>0</v>
      </c>
      <c r="AL175" s="50">
        <f>IF(AN175=21,J175,0)</f>
        <v>0</v>
      </c>
      <c r="AN175" s="50">
        <v>21</v>
      </c>
      <c r="AO175" s="50">
        <f>G175*0</f>
        <v>0</v>
      </c>
      <c r="AP175" s="50">
        <f>G175*(1-0)</f>
        <v>0</v>
      </c>
      <c r="AQ175" s="38" t="s">
        <v>390</v>
      </c>
      <c r="AV175" s="50">
        <f>AW175+AX175</f>
        <v>0</v>
      </c>
      <c r="AW175" s="50">
        <f>F175*AO175</f>
        <v>0</v>
      </c>
      <c r="AX175" s="50">
        <f>F175*AP175</f>
        <v>0</v>
      </c>
      <c r="AY175" s="38" t="s">
        <v>745</v>
      </c>
      <c r="AZ175" s="38" t="s">
        <v>258</v>
      </c>
      <c r="BA175" s="57" t="s">
        <v>571</v>
      </c>
      <c r="BC175" s="50">
        <f>AW175+AX175</f>
        <v>0</v>
      </c>
      <c r="BD175" s="50">
        <f>G175/(100-BE175)*100</f>
        <v>0</v>
      </c>
      <c r="BE175" s="50">
        <v>0</v>
      </c>
      <c r="BF175" s="50">
        <f>175</f>
        <v>175</v>
      </c>
      <c r="BH175" s="50">
        <f>F175*AO175</f>
        <v>0</v>
      </c>
      <c r="BI175" s="50">
        <f>F175*AP175</f>
        <v>0</v>
      </c>
      <c r="BJ175" s="50">
        <f>F175*G175</f>
        <v>0</v>
      </c>
      <c r="BK175" s="50"/>
      <c r="BL175" s="50"/>
      <c r="BW175" s="50">
        <v>21</v>
      </c>
    </row>
    <row r="176" spans="1:75" ht="15" customHeight="1" x14ac:dyDescent="0.25">
      <c r="A176" s="47" t="s">
        <v>510</v>
      </c>
      <c r="B176" s="35" t="s">
        <v>94</v>
      </c>
      <c r="C176" s="70" t="s">
        <v>639</v>
      </c>
      <c r="D176" s="71"/>
      <c r="E176" s="1" t="s">
        <v>686</v>
      </c>
      <c r="F176" s="1" t="s">
        <v>686</v>
      </c>
      <c r="G176" s="1" t="s">
        <v>686</v>
      </c>
      <c r="H176" s="5">
        <f>SUM(H177:H178)</f>
        <v>0</v>
      </c>
      <c r="I176" s="5">
        <f>SUM(I177:I178)</f>
        <v>0</v>
      </c>
      <c r="J176" s="5">
        <f>SUM(J177:J178)</f>
        <v>0</v>
      </c>
      <c r="K176" s="57" t="s">
        <v>510</v>
      </c>
      <c r="L176" s="7" t="s">
        <v>510</v>
      </c>
      <c r="AI176" s="57" t="s">
        <v>510</v>
      </c>
      <c r="AS176" s="5">
        <f>SUM(AJ177:AJ178)</f>
        <v>0</v>
      </c>
      <c r="AT176" s="5">
        <f>SUM(AK177:AK178)</f>
        <v>0</v>
      </c>
      <c r="AU176" s="5">
        <f>SUM(AL177:AL178)</f>
        <v>0</v>
      </c>
    </row>
    <row r="177" spans="1:75" ht="13.5" customHeight="1" x14ac:dyDescent="0.25">
      <c r="A177" s="36" t="s">
        <v>208</v>
      </c>
      <c r="B177" s="53" t="s">
        <v>255</v>
      </c>
      <c r="C177" s="68" t="s">
        <v>687</v>
      </c>
      <c r="D177" s="69"/>
      <c r="E177" s="53" t="s">
        <v>331</v>
      </c>
      <c r="F177" s="50">
        <v>0.04</v>
      </c>
      <c r="G177" s="50">
        <v>0</v>
      </c>
      <c r="H177" s="50">
        <f>F177*AO177</f>
        <v>0</v>
      </c>
      <c r="I177" s="50">
        <f>F177*AP177</f>
        <v>0</v>
      </c>
      <c r="J177" s="50">
        <f>F177*G177</f>
        <v>0</v>
      </c>
      <c r="K177" s="50">
        <v>0</v>
      </c>
      <c r="L177" s="29">
        <v>0</v>
      </c>
      <c r="Z177" s="50">
        <f>IF(AQ177="5",BJ177,0)</f>
        <v>0</v>
      </c>
      <c r="AB177" s="50">
        <f>IF(AQ177="1",BH177,0)</f>
        <v>0</v>
      </c>
      <c r="AC177" s="50">
        <f>IF(AQ177="1",BI177,0)</f>
        <v>0</v>
      </c>
      <c r="AD177" s="50">
        <f>IF(AQ177="7",BH177,0)</f>
        <v>0</v>
      </c>
      <c r="AE177" s="50">
        <f>IF(AQ177="7",BI177,0)</f>
        <v>0</v>
      </c>
      <c r="AF177" s="50">
        <f>IF(AQ177="2",BH177,0)</f>
        <v>0</v>
      </c>
      <c r="AG177" s="50">
        <f>IF(AQ177="2",BI177,0)</f>
        <v>0</v>
      </c>
      <c r="AH177" s="50">
        <f>IF(AQ177="0",BJ177,0)</f>
        <v>0</v>
      </c>
      <c r="AI177" s="57" t="s">
        <v>510</v>
      </c>
      <c r="AJ177" s="50">
        <f>IF(AN177=0,J177,0)</f>
        <v>0</v>
      </c>
      <c r="AK177" s="50">
        <f>IF(AN177=15,J177,0)</f>
        <v>0</v>
      </c>
      <c r="AL177" s="50">
        <f>IF(AN177=21,J177,0)</f>
        <v>0</v>
      </c>
      <c r="AN177" s="50">
        <v>21</v>
      </c>
      <c r="AO177" s="50">
        <f>G177*0</f>
        <v>0</v>
      </c>
      <c r="AP177" s="50">
        <f>G177*(1-0)</f>
        <v>0</v>
      </c>
      <c r="AQ177" s="38" t="s">
        <v>390</v>
      </c>
      <c r="AV177" s="50">
        <f>AW177+AX177</f>
        <v>0</v>
      </c>
      <c r="AW177" s="50">
        <f>F177*AO177</f>
        <v>0</v>
      </c>
      <c r="AX177" s="50">
        <f>F177*AP177</f>
        <v>0</v>
      </c>
      <c r="AY177" s="38" t="s">
        <v>671</v>
      </c>
      <c r="AZ177" s="38" t="s">
        <v>258</v>
      </c>
      <c r="BA177" s="57" t="s">
        <v>571</v>
      </c>
      <c r="BC177" s="50">
        <f>AW177+AX177</f>
        <v>0</v>
      </c>
      <c r="BD177" s="50">
        <f>G177/(100-BE177)*100</f>
        <v>0</v>
      </c>
      <c r="BE177" s="50">
        <v>0</v>
      </c>
      <c r="BF177" s="50">
        <f>177</f>
        <v>177</v>
      </c>
      <c r="BH177" s="50">
        <f>F177*AO177</f>
        <v>0</v>
      </c>
      <c r="BI177" s="50">
        <f>F177*AP177</f>
        <v>0</v>
      </c>
      <c r="BJ177" s="50">
        <f>F177*G177</f>
        <v>0</v>
      </c>
      <c r="BK177" s="50"/>
      <c r="BL177" s="50"/>
      <c r="BW177" s="50">
        <v>21</v>
      </c>
    </row>
    <row r="178" spans="1:75" ht="13.5" customHeight="1" x14ac:dyDescent="0.25">
      <c r="A178" s="36" t="s">
        <v>219</v>
      </c>
      <c r="B178" s="53" t="s">
        <v>567</v>
      </c>
      <c r="C178" s="68" t="s">
        <v>34</v>
      </c>
      <c r="D178" s="69"/>
      <c r="E178" s="53" t="s">
        <v>331</v>
      </c>
      <c r="F178" s="50">
        <v>0.04</v>
      </c>
      <c r="G178" s="50">
        <v>0</v>
      </c>
      <c r="H178" s="50">
        <f>F178*AO178</f>
        <v>0</v>
      </c>
      <c r="I178" s="50">
        <f>F178*AP178</f>
        <v>0</v>
      </c>
      <c r="J178" s="50">
        <f>F178*G178</f>
        <v>0</v>
      </c>
      <c r="K178" s="50">
        <v>0</v>
      </c>
      <c r="L178" s="29">
        <v>0</v>
      </c>
      <c r="Z178" s="50">
        <f>IF(AQ178="5",BJ178,0)</f>
        <v>0</v>
      </c>
      <c r="AB178" s="50">
        <f>IF(AQ178="1",BH178,0)</f>
        <v>0</v>
      </c>
      <c r="AC178" s="50">
        <f>IF(AQ178="1",BI178,0)</f>
        <v>0</v>
      </c>
      <c r="AD178" s="50">
        <f>IF(AQ178="7",BH178,0)</f>
        <v>0</v>
      </c>
      <c r="AE178" s="50">
        <f>IF(AQ178="7",BI178,0)</f>
        <v>0</v>
      </c>
      <c r="AF178" s="50">
        <f>IF(AQ178="2",BH178,0)</f>
        <v>0</v>
      </c>
      <c r="AG178" s="50">
        <f>IF(AQ178="2",BI178,0)</f>
        <v>0</v>
      </c>
      <c r="AH178" s="50">
        <f>IF(AQ178="0",BJ178,0)</f>
        <v>0</v>
      </c>
      <c r="AI178" s="57" t="s">
        <v>510</v>
      </c>
      <c r="AJ178" s="50">
        <f>IF(AN178=0,J178,0)</f>
        <v>0</v>
      </c>
      <c r="AK178" s="50">
        <f>IF(AN178=15,J178,0)</f>
        <v>0</v>
      </c>
      <c r="AL178" s="50">
        <f>IF(AN178=21,J178,0)</f>
        <v>0</v>
      </c>
      <c r="AN178" s="50">
        <v>21</v>
      </c>
      <c r="AO178" s="50">
        <f>G178*0</f>
        <v>0</v>
      </c>
      <c r="AP178" s="50">
        <f>G178*(1-0)</f>
        <v>0</v>
      </c>
      <c r="AQ178" s="38" t="s">
        <v>390</v>
      </c>
      <c r="AV178" s="50">
        <f>AW178+AX178</f>
        <v>0</v>
      </c>
      <c r="AW178" s="50">
        <f>F178*AO178</f>
        <v>0</v>
      </c>
      <c r="AX178" s="50">
        <f>F178*AP178</f>
        <v>0</v>
      </c>
      <c r="AY178" s="38" t="s">
        <v>671</v>
      </c>
      <c r="AZ178" s="38" t="s">
        <v>258</v>
      </c>
      <c r="BA178" s="57" t="s">
        <v>571</v>
      </c>
      <c r="BC178" s="50">
        <f>AW178+AX178</f>
        <v>0</v>
      </c>
      <c r="BD178" s="50">
        <f>G178/(100-BE178)*100</f>
        <v>0</v>
      </c>
      <c r="BE178" s="50">
        <v>0</v>
      </c>
      <c r="BF178" s="50">
        <f>178</f>
        <v>178</v>
      </c>
      <c r="BH178" s="50">
        <f>F178*AO178</f>
        <v>0</v>
      </c>
      <c r="BI178" s="50">
        <f>F178*AP178</f>
        <v>0</v>
      </c>
      <c r="BJ178" s="50">
        <f>F178*G178</f>
        <v>0</v>
      </c>
      <c r="BK178" s="50"/>
      <c r="BL178" s="50"/>
      <c r="BW178" s="50">
        <v>21</v>
      </c>
    </row>
    <row r="179" spans="1:75" ht="15" customHeight="1" x14ac:dyDescent="0.25">
      <c r="A179" s="47" t="s">
        <v>510</v>
      </c>
      <c r="B179" s="35" t="s">
        <v>753</v>
      </c>
      <c r="C179" s="70" t="s">
        <v>826</v>
      </c>
      <c r="D179" s="71"/>
      <c r="E179" s="1" t="s">
        <v>686</v>
      </c>
      <c r="F179" s="1" t="s">
        <v>686</v>
      </c>
      <c r="G179" s="1" t="s">
        <v>686</v>
      </c>
      <c r="H179" s="5">
        <f>SUM(H180:H181)</f>
        <v>0</v>
      </c>
      <c r="I179" s="5">
        <f>SUM(I180:I181)</f>
        <v>0</v>
      </c>
      <c r="J179" s="5">
        <f>SUM(J180:J181)</f>
        <v>0</v>
      </c>
      <c r="K179" s="57" t="s">
        <v>510</v>
      </c>
      <c r="L179" s="7" t="s">
        <v>510</v>
      </c>
      <c r="AI179" s="57" t="s">
        <v>510</v>
      </c>
      <c r="AS179" s="5">
        <f>SUM(AJ180:AJ181)</f>
        <v>0</v>
      </c>
      <c r="AT179" s="5">
        <f>SUM(AK180:AK181)</f>
        <v>0</v>
      </c>
      <c r="AU179" s="5">
        <f>SUM(AL180:AL181)</f>
        <v>0</v>
      </c>
    </row>
    <row r="180" spans="1:75" ht="13.5" customHeight="1" x14ac:dyDescent="0.25">
      <c r="A180" s="36" t="s">
        <v>154</v>
      </c>
      <c r="B180" s="53" t="s">
        <v>19</v>
      </c>
      <c r="C180" s="68" t="s">
        <v>70</v>
      </c>
      <c r="D180" s="69"/>
      <c r="E180" s="53" t="s">
        <v>331</v>
      </c>
      <c r="F180" s="50">
        <v>0.01</v>
      </c>
      <c r="G180" s="50">
        <v>0</v>
      </c>
      <c r="H180" s="50">
        <f>F180*AO180</f>
        <v>0</v>
      </c>
      <c r="I180" s="50">
        <f>F180*AP180</f>
        <v>0</v>
      </c>
      <c r="J180" s="50">
        <f>F180*G180</f>
        <v>0</v>
      </c>
      <c r="K180" s="50">
        <v>0</v>
      </c>
      <c r="L180" s="29">
        <v>0</v>
      </c>
      <c r="Z180" s="50">
        <f>IF(AQ180="5",BJ180,0)</f>
        <v>0</v>
      </c>
      <c r="AB180" s="50">
        <f>IF(AQ180="1",BH180,0)</f>
        <v>0</v>
      </c>
      <c r="AC180" s="50">
        <f>IF(AQ180="1",BI180,0)</f>
        <v>0</v>
      </c>
      <c r="AD180" s="50">
        <f>IF(AQ180="7",BH180,0)</f>
        <v>0</v>
      </c>
      <c r="AE180" s="50">
        <f>IF(AQ180="7",BI180,0)</f>
        <v>0</v>
      </c>
      <c r="AF180" s="50">
        <f>IF(AQ180="2",BH180,0)</f>
        <v>0</v>
      </c>
      <c r="AG180" s="50">
        <f>IF(AQ180="2",BI180,0)</f>
        <v>0</v>
      </c>
      <c r="AH180" s="50">
        <f>IF(AQ180="0",BJ180,0)</f>
        <v>0</v>
      </c>
      <c r="AI180" s="57" t="s">
        <v>510</v>
      </c>
      <c r="AJ180" s="50">
        <f>IF(AN180=0,J180,0)</f>
        <v>0</v>
      </c>
      <c r="AK180" s="50">
        <f>IF(AN180=15,J180,0)</f>
        <v>0</v>
      </c>
      <c r="AL180" s="50">
        <f>IF(AN180=21,J180,0)</f>
        <v>0</v>
      </c>
      <c r="AN180" s="50">
        <v>21</v>
      </c>
      <c r="AO180" s="50">
        <f>G180*0</f>
        <v>0</v>
      </c>
      <c r="AP180" s="50">
        <f>G180*(1-0)</f>
        <v>0</v>
      </c>
      <c r="AQ180" s="38" t="s">
        <v>390</v>
      </c>
      <c r="AV180" s="50">
        <f>AW180+AX180</f>
        <v>0</v>
      </c>
      <c r="AW180" s="50">
        <f>F180*AO180</f>
        <v>0</v>
      </c>
      <c r="AX180" s="50">
        <f>F180*AP180</f>
        <v>0</v>
      </c>
      <c r="AY180" s="38" t="s">
        <v>272</v>
      </c>
      <c r="AZ180" s="38" t="s">
        <v>258</v>
      </c>
      <c r="BA180" s="57" t="s">
        <v>571</v>
      </c>
      <c r="BC180" s="50">
        <f>AW180+AX180</f>
        <v>0</v>
      </c>
      <c r="BD180" s="50">
        <f>G180/(100-BE180)*100</f>
        <v>0</v>
      </c>
      <c r="BE180" s="50">
        <v>0</v>
      </c>
      <c r="BF180" s="50">
        <f>180</f>
        <v>180</v>
      </c>
      <c r="BH180" s="50">
        <f>F180*AO180</f>
        <v>0</v>
      </c>
      <c r="BI180" s="50">
        <f>F180*AP180</f>
        <v>0</v>
      </c>
      <c r="BJ180" s="50">
        <f>F180*G180</f>
        <v>0</v>
      </c>
      <c r="BK180" s="50"/>
      <c r="BL180" s="50"/>
      <c r="BW180" s="50">
        <v>21</v>
      </c>
    </row>
    <row r="181" spans="1:75" ht="13.5" customHeight="1" x14ac:dyDescent="0.25">
      <c r="A181" s="36" t="s">
        <v>292</v>
      </c>
      <c r="B181" s="53" t="s">
        <v>633</v>
      </c>
      <c r="C181" s="68" t="s">
        <v>667</v>
      </c>
      <c r="D181" s="69"/>
      <c r="E181" s="53" t="s">
        <v>331</v>
      </c>
      <c r="F181" s="50">
        <v>0.01</v>
      </c>
      <c r="G181" s="50">
        <v>0</v>
      </c>
      <c r="H181" s="50">
        <f>F181*AO181</f>
        <v>0</v>
      </c>
      <c r="I181" s="50">
        <f>F181*AP181</f>
        <v>0</v>
      </c>
      <c r="J181" s="50">
        <f>F181*G181</f>
        <v>0</v>
      </c>
      <c r="K181" s="50">
        <v>0</v>
      </c>
      <c r="L181" s="29">
        <v>0</v>
      </c>
      <c r="Z181" s="50">
        <f>IF(AQ181="5",BJ181,0)</f>
        <v>0</v>
      </c>
      <c r="AB181" s="50">
        <f>IF(AQ181="1",BH181,0)</f>
        <v>0</v>
      </c>
      <c r="AC181" s="50">
        <f>IF(AQ181="1",BI181,0)</f>
        <v>0</v>
      </c>
      <c r="AD181" s="50">
        <f>IF(AQ181="7",BH181,0)</f>
        <v>0</v>
      </c>
      <c r="AE181" s="50">
        <f>IF(AQ181="7",BI181,0)</f>
        <v>0</v>
      </c>
      <c r="AF181" s="50">
        <f>IF(AQ181="2",BH181,0)</f>
        <v>0</v>
      </c>
      <c r="AG181" s="50">
        <f>IF(AQ181="2",BI181,0)</f>
        <v>0</v>
      </c>
      <c r="AH181" s="50">
        <f>IF(AQ181="0",BJ181,0)</f>
        <v>0</v>
      </c>
      <c r="AI181" s="57" t="s">
        <v>510</v>
      </c>
      <c r="AJ181" s="50">
        <f>IF(AN181=0,J181,0)</f>
        <v>0</v>
      </c>
      <c r="AK181" s="50">
        <f>IF(AN181=15,J181,0)</f>
        <v>0</v>
      </c>
      <c r="AL181" s="50">
        <f>IF(AN181=21,J181,0)</f>
        <v>0</v>
      </c>
      <c r="AN181" s="50">
        <v>21</v>
      </c>
      <c r="AO181" s="50">
        <f>G181*0</f>
        <v>0</v>
      </c>
      <c r="AP181" s="50">
        <f>G181*(1-0)</f>
        <v>0</v>
      </c>
      <c r="AQ181" s="38" t="s">
        <v>390</v>
      </c>
      <c r="AV181" s="50">
        <f>AW181+AX181</f>
        <v>0</v>
      </c>
      <c r="AW181" s="50">
        <f>F181*AO181</f>
        <v>0</v>
      </c>
      <c r="AX181" s="50">
        <f>F181*AP181</f>
        <v>0</v>
      </c>
      <c r="AY181" s="38" t="s">
        <v>272</v>
      </c>
      <c r="AZ181" s="38" t="s">
        <v>258</v>
      </c>
      <c r="BA181" s="57" t="s">
        <v>571</v>
      </c>
      <c r="BC181" s="50">
        <f>AW181+AX181</f>
        <v>0</v>
      </c>
      <c r="BD181" s="50">
        <f>G181/(100-BE181)*100</f>
        <v>0</v>
      </c>
      <c r="BE181" s="50">
        <v>0</v>
      </c>
      <c r="BF181" s="50">
        <f>181</f>
        <v>181</v>
      </c>
      <c r="BH181" s="50">
        <f>F181*AO181</f>
        <v>0</v>
      </c>
      <c r="BI181" s="50">
        <f>F181*AP181</f>
        <v>0</v>
      </c>
      <c r="BJ181" s="50">
        <f>F181*G181</f>
        <v>0</v>
      </c>
      <c r="BK181" s="50"/>
      <c r="BL181" s="50"/>
      <c r="BW181" s="50">
        <v>21</v>
      </c>
    </row>
    <row r="182" spans="1:75" ht="15" customHeight="1" x14ac:dyDescent="0.25">
      <c r="A182" s="47" t="s">
        <v>510</v>
      </c>
      <c r="B182" s="35" t="s">
        <v>701</v>
      </c>
      <c r="C182" s="70" t="s">
        <v>449</v>
      </c>
      <c r="D182" s="71"/>
      <c r="E182" s="1" t="s">
        <v>686</v>
      </c>
      <c r="F182" s="1" t="s">
        <v>686</v>
      </c>
      <c r="G182" s="1" t="s">
        <v>686</v>
      </c>
      <c r="H182" s="5">
        <f>SUM(H183:H184)</f>
        <v>0</v>
      </c>
      <c r="I182" s="5">
        <f>SUM(I183:I184)</f>
        <v>0</v>
      </c>
      <c r="J182" s="5">
        <f>SUM(J183:J184)</f>
        <v>0</v>
      </c>
      <c r="K182" s="57" t="s">
        <v>510</v>
      </c>
      <c r="L182" s="7" t="s">
        <v>510</v>
      </c>
      <c r="AI182" s="57" t="s">
        <v>510</v>
      </c>
      <c r="AS182" s="5">
        <f>SUM(AJ183:AJ184)</f>
        <v>0</v>
      </c>
      <c r="AT182" s="5">
        <f>SUM(AK183:AK184)</f>
        <v>0</v>
      </c>
      <c r="AU182" s="5">
        <f>SUM(AL183:AL184)</f>
        <v>0</v>
      </c>
    </row>
    <row r="183" spans="1:75" ht="13.5" customHeight="1" x14ac:dyDescent="0.25">
      <c r="A183" s="36" t="s">
        <v>279</v>
      </c>
      <c r="B183" s="53" t="s">
        <v>499</v>
      </c>
      <c r="C183" s="68" t="s">
        <v>393</v>
      </c>
      <c r="D183" s="69"/>
      <c r="E183" s="53" t="s">
        <v>331</v>
      </c>
      <c r="F183" s="50">
        <v>0.04</v>
      </c>
      <c r="G183" s="50">
        <v>0</v>
      </c>
      <c r="H183" s="50">
        <f>F183*AO183</f>
        <v>0</v>
      </c>
      <c r="I183" s="50">
        <f>F183*AP183</f>
        <v>0</v>
      </c>
      <c r="J183" s="50">
        <f>F183*G183</f>
        <v>0</v>
      </c>
      <c r="K183" s="50">
        <v>0</v>
      </c>
      <c r="L183" s="29">
        <v>0</v>
      </c>
      <c r="Z183" s="50">
        <f>IF(AQ183="5",BJ183,0)</f>
        <v>0</v>
      </c>
      <c r="AB183" s="50">
        <f>IF(AQ183="1",BH183,0)</f>
        <v>0</v>
      </c>
      <c r="AC183" s="50">
        <f>IF(AQ183="1",BI183,0)</f>
        <v>0</v>
      </c>
      <c r="AD183" s="50">
        <f>IF(AQ183="7",BH183,0)</f>
        <v>0</v>
      </c>
      <c r="AE183" s="50">
        <f>IF(AQ183="7",BI183,0)</f>
        <v>0</v>
      </c>
      <c r="AF183" s="50">
        <f>IF(AQ183="2",BH183,0)</f>
        <v>0</v>
      </c>
      <c r="AG183" s="50">
        <f>IF(AQ183="2",BI183,0)</f>
        <v>0</v>
      </c>
      <c r="AH183" s="50">
        <f>IF(AQ183="0",BJ183,0)</f>
        <v>0</v>
      </c>
      <c r="AI183" s="57" t="s">
        <v>510</v>
      </c>
      <c r="AJ183" s="50">
        <f>IF(AN183=0,J183,0)</f>
        <v>0</v>
      </c>
      <c r="AK183" s="50">
        <f>IF(AN183=15,J183,0)</f>
        <v>0</v>
      </c>
      <c r="AL183" s="50">
        <f>IF(AN183=21,J183,0)</f>
        <v>0</v>
      </c>
      <c r="AN183" s="50">
        <v>21</v>
      </c>
      <c r="AO183" s="50">
        <f>G183*0</f>
        <v>0</v>
      </c>
      <c r="AP183" s="50">
        <f>G183*(1-0)</f>
        <v>0</v>
      </c>
      <c r="AQ183" s="38" t="s">
        <v>390</v>
      </c>
      <c r="AV183" s="50">
        <f>AW183+AX183</f>
        <v>0</v>
      </c>
      <c r="AW183" s="50">
        <f>F183*AO183</f>
        <v>0</v>
      </c>
      <c r="AX183" s="50">
        <f>F183*AP183</f>
        <v>0</v>
      </c>
      <c r="AY183" s="38" t="s">
        <v>823</v>
      </c>
      <c r="AZ183" s="38" t="s">
        <v>258</v>
      </c>
      <c r="BA183" s="57" t="s">
        <v>571</v>
      </c>
      <c r="BC183" s="50">
        <f>AW183+AX183</f>
        <v>0</v>
      </c>
      <c r="BD183" s="50">
        <f>G183/(100-BE183)*100</f>
        <v>0</v>
      </c>
      <c r="BE183" s="50">
        <v>0</v>
      </c>
      <c r="BF183" s="50">
        <f>183</f>
        <v>183</v>
      </c>
      <c r="BH183" s="50">
        <f>F183*AO183</f>
        <v>0</v>
      </c>
      <c r="BI183" s="50">
        <f>F183*AP183</f>
        <v>0</v>
      </c>
      <c r="BJ183" s="50">
        <f>F183*G183</f>
        <v>0</v>
      </c>
      <c r="BK183" s="50"/>
      <c r="BL183" s="50"/>
      <c r="BW183" s="50">
        <v>21</v>
      </c>
    </row>
    <row r="184" spans="1:75" ht="13.5" customHeight="1" x14ac:dyDescent="0.25">
      <c r="A184" s="36" t="s">
        <v>397</v>
      </c>
      <c r="B184" s="53" t="s">
        <v>412</v>
      </c>
      <c r="C184" s="68" t="s">
        <v>285</v>
      </c>
      <c r="D184" s="69"/>
      <c r="E184" s="53" t="s">
        <v>331</v>
      </c>
      <c r="F184" s="50">
        <v>0.04</v>
      </c>
      <c r="G184" s="50">
        <v>0</v>
      </c>
      <c r="H184" s="50">
        <f>F184*AO184</f>
        <v>0</v>
      </c>
      <c r="I184" s="50">
        <f>F184*AP184</f>
        <v>0</v>
      </c>
      <c r="J184" s="50">
        <f>F184*G184</f>
        <v>0</v>
      </c>
      <c r="K184" s="50">
        <v>0</v>
      </c>
      <c r="L184" s="29">
        <v>0</v>
      </c>
      <c r="Z184" s="50">
        <f>IF(AQ184="5",BJ184,0)</f>
        <v>0</v>
      </c>
      <c r="AB184" s="50">
        <f>IF(AQ184="1",BH184,0)</f>
        <v>0</v>
      </c>
      <c r="AC184" s="50">
        <f>IF(AQ184="1",BI184,0)</f>
        <v>0</v>
      </c>
      <c r="AD184" s="50">
        <f>IF(AQ184="7",BH184,0)</f>
        <v>0</v>
      </c>
      <c r="AE184" s="50">
        <f>IF(AQ184="7",BI184,0)</f>
        <v>0</v>
      </c>
      <c r="AF184" s="50">
        <f>IF(AQ184="2",BH184,0)</f>
        <v>0</v>
      </c>
      <c r="AG184" s="50">
        <f>IF(AQ184="2",BI184,0)</f>
        <v>0</v>
      </c>
      <c r="AH184" s="50">
        <f>IF(AQ184="0",BJ184,0)</f>
        <v>0</v>
      </c>
      <c r="AI184" s="57" t="s">
        <v>510</v>
      </c>
      <c r="AJ184" s="50">
        <f>IF(AN184=0,J184,0)</f>
        <v>0</v>
      </c>
      <c r="AK184" s="50">
        <f>IF(AN184=15,J184,0)</f>
        <v>0</v>
      </c>
      <c r="AL184" s="50">
        <f>IF(AN184=21,J184,0)</f>
        <v>0</v>
      </c>
      <c r="AN184" s="50">
        <v>21</v>
      </c>
      <c r="AO184" s="50">
        <f>G184*0</f>
        <v>0</v>
      </c>
      <c r="AP184" s="50">
        <f>G184*(1-0)</f>
        <v>0</v>
      </c>
      <c r="AQ184" s="38" t="s">
        <v>390</v>
      </c>
      <c r="AV184" s="50">
        <f>AW184+AX184</f>
        <v>0</v>
      </c>
      <c r="AW184" s="50">
        <f>F184*AO184</f>
        <v>0</v>
      </c>
      <c r="AX184" s="50">
        <f>F184*AP184</f>
        <v>0</v>
      </c>
      <c r="AY184" s="38" t="s">
        <v>823</v>
      </c>
      <c r="AZ184" s="38" t="s">
        <v>258</v>
      </c>
      <c r="BA184" s="57" t="s">
        <v>571</v>
      </c>
      <c r="BC184" s="50">
        <f>AW184+AX184</f>
        <v>0</v>
      </c>
      <c r="BD184" s="50">
        <f>G184/(100-BE184)*100</f>
        <v>0</v>
      </c>
      <c r="BE184" s="50">
        <v>0</v>
      </c>
      <c r="BF184" s="50">
        <f>184</f>
        <v>184</v>
      </c>
      <c r="BH184" s="50">
        <f>F184*AO184</f>
        <v>0</v>
      </c>
      <c r="BI184" s="50">
        <f>F184*AP184</f>
        <v>0</v>
      </c>
      <c r="BJ184" s="50">
        <f>F184*G184</f>
        <v>0</v>
      </c>
      <c r="BK184" s="50"/>
      <c r="BL184" s="50"/>
      <c r="BW184" s="50">
        <v>21</v>
      </c>
    </row>
    <row r="185" spans="1:75" ht="15" customHeight="1" x14ac:dyDescent="0.25">
      <c r="A185" s="47" t="s">
        <v>510</v>
      </c>
      <c r="B185" s="35" t="s">
        <v>368</v>
      </c>
      <c r="C185" s="70" t="s">
        <v>353</v>
      </c>
      <c r="D185" s="71"/>
      <c r="E185" s="1" t="s">
        <v>686</v>
      </c>
      <c r="F185" s="1" t="s">
        <v>686</v>
      </c>
      <c r="G185" s="1" t="s">
        <v>686</v>
      </c>
      <c r="H185" s="5">
        <f>SUM(H186:H187)</f>
        <v>0</v>
      </c>
      <c r="I185" s="5">
        <f>SUM(I186:I187)</f>
        <v>0</v>
      </c>
      <c r="J185" s="5">
        <f>SUM(J186:J187)</f>
        <v>0</v>
      </c>
      <c r="K185" s="57" t="s">
        <v>510</v>
      </c>
      <c r="L185" s="7" t="s">
        <v>510</v>
      </c>
      <c r="AI185" s="57" t="s">
        <v>510</v>
      </c>
      <c r="AS185" s="5">
        <f>SUM(AJ186:AJ187)</f>
        <v>0</v>
      </c>
      <c r="AT185" s="5">
        <f>SUM(AK186:AK187)</f>
        <v>0</v>
      </c>
      <c r="AU185" s="5">
        <f>SUM(AL186:AL187)</f>
        <v>0</v>
      </c>
    </row>
    <row r="186" spans="1:75" ht="13.5" customHeight="1" x14ac:dyDescent="0.25">
      <c r="A186" s="36" t="s">
        <v>80</v>
      </c>
      <c r="B186" s="53" t="s">
        <v>578</v>
      </c>
      <c r="C186" s="68" t="s">
        <v>81</v>
      </c>
      <c r="D186" s="69"/>
      <c r="E186" s="53" t="s">
        <v>331</v>
      </c>
      <c r="F186" s="50">
        <v>0.3</v>
      </c>
      <c r="G186" s="50">
        <v>0</v>
      </c>
      <c r="H186" s="50">
        <f>F186*AO186</f>
        <v>0</v>
      </c>
      <c r="I186" s="50">
        <f>F186*AP186</f>
        <v>0</v>
      </c>
      <c r="J186" s="50">
        <f>F186*G186</f>
        <v>0</v>
      </c>
      <c r="K186" s="50">
        <v>0</v>
      </c>
      <c r="L186" s="29">
        <v>0</v>
      </c>
      <c r="Z186" s="50">
        <f>IF(AQ186="5",BJ186,0)</f>
        <v>0</v>
      </c>
      <c r="AB186" s="50">
        <f>IF(AQ186="1",BH186,0)</f>
        <v>0</v>
      </c>
      <c r="AC186" s="50">
        <f>IF(AQ186="1",BI186,0)</f>
        <v>0</v>
      </c>
      <c r="AD186" s="50">
        <f>IF(AQ186="7",BH186,0)</f>
        <v>0</v>
      </c>
      <c r="AE186" s="50">
        <f>IF(AQ186="7",BI186,0)</f>
        <v>0</v>
      </c>
      <c r="AF186" s="50">
        <f>IF(AQ186="2",BH186,0)</f>
        <v>0</v>
      </c>
      <c r="AG186" s="50">
        <f>IF(AQ186="2",BI186,0)</f>
        <v>0</v>
      </c>
      <c r="AH186" s="50">
        <f>IF(AQ186="0",BJ186,0)</f>
        <v>0</v>
      </c>
      <c r="AI186" s="57" t="s">
        <v>510</v>
      </c>
      <c r="AJ186" s="50">
        <f>IF(AN186=0,J186,0)</f>
        <v>0</v>
      </c>
      <c r="AK186" s="50">
        <f>IF(AN186=15,J186,0)</f>
        <v>0</v>
      </c>
      <c r="AL186" s="50">
        <f>IF(AN186=21,J186,0)</f>
        <v>0</v>
      </c>
      <c r="AN186" s="50">
        <v>21</v>
      </c>
      <c r="AO186" s="50">
        <f>G186*0</f>
        <v>0</v>
      </c>
      <c r="AP186" s="50">
        <f>G186*(1-0)</f>
        <v>0</v>
      </c>
      <c r="AQ186" s="38" t="s">
        <v>390</v>
      </c>
      <c r="AV186" s="50">
        <f>AW186+AX186</f>
        <v>0</v>
      </c>
      <c r="AW186" s="50">
        <f>F186*AO186</f>
        <v>0</v>
      </c>
      <c r="AX186" s="50">
        <f>F186*AP186</f>
        <v>0</v>
      </c>
      <c r="AY186" s="38" t="s">
        <v>824</v>
      </c>
      <c r="AZ186" s="38" t="s">
        <v>258</v>
      </c>
      <c r="BA186" s="57" t="s">
        <v>571</v>
      </c>
      <c r="BC186" s="50">
        <f>AW186+AX186</f>
        <v>0</v>
      </c>
      <c r="BD186" s="50">
        <f>G186/(100-BE186)*100</f>
        <v>0</v>
      </c>
      <c r="BE186" s="50">
        <v>0</v>
      </c>
      <c r="BF186" s="50">
        <f>186</f>
        <v>186</v>
      </c>
      <c r="BH186" s="50">
        <f>F186*AO186</f>
        <v>0</v>
      </c>
      <c r="BI186" s="50">
        <f>F186*AP186</f>
        <v>0</v>
      </c>
      <c r="BJ186" s="50">
        <f>F186*G186</f>
        <v>0</v>
      </c>
      <c r="BK186" s="50"/>
      <c r="BL186" s="50"/>
      <c r="BW186" s="50">
        <v>21</v>
      </c>
    </row>
    <row r="187" spans="1:75" ht="13.5" customHeight="1" x14ac:dyDescent="0.25">
      <c r="A187" s="36" t="s">
        <v>385</v>
      </c>
      <c r="B187" s="53" t="s">
        <v>79</v>
      </c>
      <c r="C187" s="68" t="s">
        <v>432</v>
      </c>
      <c r="D187" s="69"/>
      <c r="E187" s="53" t="s">
        <v>331</v>
      </c>
      <c r="F187" s="50">
        <v>0.3</v>
      </c>
      <c r="G187" s="50">
        <v>0</v>
      </c>
      <c r="H187" s="50">
        <f>F187*AO187</f>
        <v>0</v>
      </c>
      <c r="I187" s="50">
        <f>F187*AP187</f>
        <v>0</v>
      </c>
      <c r="J187" s="50">
        <f>F187*G187</f>
        <v>0</v>
      </c>
      <c r="K187" s="50">
        <v>0</v>
      </c>
      <c r="L187" s="29">
        <v>0</v>
      </c>
      <c r="Z187" s="50">
        <f>IF(AQ187="5",BJ187,0)</f>
        <v>0</v>
      </c>
      <c r="AB187" s="50">
        <f>IF(AQ187="1",BH187,0)</f>
        <v>0</v>
      </c>
      <c r="AC187" s="50">
        <f>IF(AQ187="1",BI187,0)</f>
        <v>0</v>
      </c>
      <c r="AD187" s="50">
        <f>IF(AQ187="7",BH187,0)</f>
        <v>0</v>
      </c>
      <c r="AE187" s="50">
        <f>IF(AQ187="7",BI187,0)</f>
        <v>0</v>
      </c>
      <c r="AF187" s="50">
        <f>IF(AQ187="2",BH187,0)</f>
        <v>0</v>
      </c>
      <c r="AG187" s="50">
        <f>IF(AQ187="2",BI187,0)</f>
        <v>0</v>
      </c>
      <c r="AH187" s="50">
        <f>IF(AQ187="0",BJ187,0)</f>
        <v>0</v>
      </c>
      <c r="AI187" s="57" t="s">
        <v>510</v>
      </c>
      <c r="AJ187" s="50">
        <f>IF(AN187=0,J187,0)</f>
        <v>0</v>
      </c>
      <c r="AK187" s="50">
        <f>IF(AN187=15,J187,0)</f>
        <v>0</v>
      </c>
      <c r="AL187" s="50">
        <f>IF(AN187=21,J187,0)</f>
        <v>0</v>
      </c>
      <c r="AN187" s="50">
        <v>21</v>
      </c>
      <c r="AO187" s="50">
        <f>G187*0</f>
        <v>0</v>
      </c>
      <c r="AP187" s="50">
        <f>G187*(1-0)</f>
        <v>0</v>
      </c>
      <c r="AQ187" s="38" t="s">
        <v>390</v>
      </c>
      <c r="AV187" s="50">
        <f>AW187+AX187</f>
        <v>0</v>
      </c>
      <c r="AW187" s="50">
        <f>F187*AO187</f>
        <v>0</v>
      </c>
      <c r="AX187" s="50">
        <f>F187*AP187</f>
        <v>0</v>
      </c>
      <c r="AY187" s="38" t="s">
        <v>824</v>
      </c>
      <c r="AZ187" s="38" t="s">
        <v>258</v>
      </c>
      <c r="BA187" s="57" t="s">
        <v>571</v>
      </c>
      <c r="BC187" s="50">
        <f>AW187+AX187</f>
        <v>0</v>
      </c>
      <c r="BD187" s="50">
        <f>G187/(100-BE187)*100</f>
        <v>0</v>
      </c>
      <c r="BE187" s="50">
        <v>0</v>
      </c>
      <c r="BF187" s="50">
        <f>187</f>
        <v>187</v>
      </c>
      <c r="BH187" s="50">
        <f>F187*AO187</f>
        <v>0</v>
      </c>
      <c r="BI187" s="50">
        <f>F187*AP187</f>
        <v>0</v>
      </c>
      <c r="BJ187" s="50">
        <f>F187*G187</f>
        <v>0</v>
      </c>
      <c r="BK187" s="50"/>
      <c r="BL187" s="50"/>
      <c r="BW187" s="50">
        <v>21</v>
      </c>
    </row>
    <row r="188" spans="1:75" ht="15" customHeight="1" x14ac:dyDescent="0.25">
      <c r="A188" s="47" t="s">
        <v>510</v>
      </c>
      <c r="B188" s="35" t="s">
        <v>569</v>
      </c>
      <c r="C188" s="70" t="s">
        <v>315</v>
      </c>
      <c r="D188" s="71"/>
      <c r="E188" s="1" t="s">
        <v>686</v>
      </c>
      <c r="F188" s="1" t="s">
        <v>686</v>
      </c>
      <c r="G188" s="1" t="s">
        <v>686</v>
      </c>
      <c r="H188" s="5">
        <f>SUM(H189:H190)</f>
        <v>0</v>
      </c>
      <c r="I188" s="5">
        <f>SUM(I189:I190)</f>
        <v>0</v>
      </c>
      <c r="J188" s="5">
        <f>SUM(J189:J190)</f>
        <v>0</v>
      </c>
      <c r="K188" s="57" t="s">
        <v>510</v>
      </c>
      <c r="L188" s="7" t="s">
        <v>510</v>
      </c>
      <c r="AI188" s="57" t="s">
        <v>510</v>
      </c>
      <c r="AS188" s="5">
        <f>SUM(AJ189:AJ190)</f>
        <v>0</v>
      </c>
      <c r="AT188" s="5">
        <f>SUM(AK189:AK190)</f>
        <v>0</v>
      </c>
      <c r="AU188" s="5">
        <f>SUM(AL189:AL190)</f>
        <v>0</v>
      </c>
    </row>
    <row r="189" spans="1:75" ht="13.5" customHeight="1" x14ac:dyDescent="0.25">
      <c r="A189" s="36" t="s">
        <v>47</v>
      </c>
      <c r="B189" s="53" t="s">
        <v>151</v>
      </c>
      <c r="C189" s="68" t="s">
        <v>749</v>
      </c>
      <c r="D189" s="69"/>
      <c r="E189" s="53" t="s">
        <v>331</v>
      </c>
      <c r="F189" s="50">
        <v>1.1000000000000001</v>
      </c>
      <c r="G189" s="50">
        <v>0</v>
      </c>
      <c r="H189" s="50">
        <f>F189*AO189</f>
        <v>0</v>
      </c>
      <c r="I189" s="50">
        <f>F189*AP189</f>
        <v>0</v>
      </c>
      <c r="J189" s="50">
        <f>F189*G189</f>
        <v>0</v>
      </c>
      <c r="K189" s="50">
        <v>0</v>
      </c>
      <c r="L189" s="29">
        <v>0</v>
      </c>
      <c r="Z189" s="50">
        <f>IF(AQ189="5",BJ189,0)</f>
        <v>0</v>
      </c>
      <c r="AB189" s="50">
        <f>IF(AQ189="1",BH189,0)</f>
        <v>0</v>
      </c>
      <c r="AC189" s="50">
        <f>IF(AQ189="1",BI189,0)</f>
        <v>0</v>
      </c>
      <c r="AD189" s="50">
        <f>IF(AQ189="7",BH189,0)</f>
        <v>0</v>
      </c>
      <c r="AE189" s="50">
        <f>IF(AQ189="7",BI189,0)</f>
        <v>0</v>
      </c>
      <c r="AF189" s="50">
        <f>IF(AQ189="2",BH189,0)</f>
        <v>0</v>
      </c>
      <c r="AG189" s="50">
        <f>IF(AQ189="2",BI189,0)</f>
        <v>0</v>
      </c>
      <c r="AH189" s="50">
        <f>IF(AQ189="0",BJ189,0)</f>
        <v>0</v>
      </c>
      <c r="AI189" s="57" t="s">
        <v>510</v>
      </c>
      <c r="AJ189" s="50">
        <f>IF(AN189=0,J189,0)</f>
        <v>0</v>
      </c>
      <c r="AK189" s="50">
        <f>IF(AN189=15,J189,0)</f>
        <v>0</v>
      </c>
      <c r="AL189" s="50">
        <f>IF(AN189=21,J189,0)</f>
        <v>0</v>
      </c>
      <c r="AN189" s="50">
        <v>21</v>
      </c>
      <c r="AO189" s="50">
        <f>G189*0</f>
        <v>0</v>
      </c>
      <c r="AP189" s="50">
        <f>G189*(1-0)</f>
        <v>0</v>
      </c>
      <c r="AQ189" s="38" t="s">
        <v>390</v>
      </c>
      <c r="AV189" s="50">
        <f>AW189+AX189</f>
        <v>0</v>
      </c>
      <c r="AW189" s="50">
        <f>F189*AO189</f>
        <v>0</v>
      </c>
      <c r="AX189" s="50">
        <f>F189*AP189</f>
        <v>0</v>
      </c>
      <c r="AY189" s="38" t="s">
        <v>796</v>
      </c>
      <c r="AZ189" s="38" t="s">
        <v>258</v>
      </c>
      <c r="BA189" s="57" t="s">
        <v>571</v>
      </c>
      <c r="BC189" s="50">
        <f>AW189+AX189</f>
        <v>0</v>
      </c>
      <c r="BD189" s="50">
        <f>G189/(100-BE189)*100</f>
        <v>0</v>
      </c>
      <c r="BE189" s="50">
        <v>0</v>
      </c>
      <c r="BF189" s="50">
        <f>189</f>
        <v>189</v>
      </c>
      <c r="BH189" s="50">
        <f>F189*AO189</f>
        <v>0</v>
      </c>
      <c r="BI189" s="50">
        <f>F189*AP189</f>
        <v>0</v>
      </c>
      <c r="BJ189" s="50">
        <f>F189*G189</f>
        <v>0</v>
      </c>
      <c r="BK189" s="50"/>
      <c r="BL189" s="50"/>
      <c r="BW189" s="50">
        <v>21</v>
      </c>
    </row>
    <row r="190" spans="1:75" ht="13.5" customHeight="1" x14ac:dyDescent="0.25">
      <c r="A190" s="36" t="s">
        <v>789</v>
      </c>
      <c r="B190" s="53" t="s">
        <v>781</v>
      </c>
      <c r="C190" s="68" t="s">
        <v>662</v>
      </c>
      <c r="D190" s="69"/>
      <c r="E190" s="53" t="s">
        <v>331</v>
      </c>
      <c r="F190" s="50">
        <v>1.1000000000000001</v>
      </c>
      <c r="G190" s="50">
        <v>0</v>
      </c>
      <c r="H190" s="50">
        <f>F190*AO190</f>
        <v>0</v>
      </c>
      <c r="I190" s="50">
        <f>F190*AP190</f>
        <v>0</v>
      </c>
      <c r="J190" s="50">
        <f>F190*G190</f>
        <v>0</v>
      </c>
      <c r="K190" s="50">
        <v>0</v>
      </c>
      <c r="L190" s="29">
        <v>0</v>
      </c>
      <c r="Z190" s="50">
        <f>IF(AQ190="5",BJ190,0)</f>
        <v>0</v>
      </c>
      <c r="AB190" s="50">
        <f>IF(AQ190="1",BH190,0)</f>
        <v>0</v>
      </c>
      <c r="AC190" s="50">
        <f>IF(AQ190="1",BI190,0)</f>
        <v>0</v>
      </c>
      <c r="AD190" s="50">
        <f>IF(AQ190="7",BH190,0)</f>
        <v>0</v>
      </c>
      <c r="AE190" s="50">
        <f>IF(AQ190="7",BI190,0)</f>
        <v>0</v>
      </c>
      <c r="AF190" s="50">
        <f>IF(AQ190="2",BH190,0)</f>
        <v>0</v>
      </c>
      <c r="AG190" s="50">
        <f>IF(AQ190="2",BI190,0)</f>
        <v>0</v>
      </c>
      <c r="AH190" s="50">
        <f>IF(AQ190="0",BJ190,0)</f>
        <v>0</v>
      </c>
      <c r="AI190" s="57" t="s">
        <v>510</v>
      </c>
      <c r="AJ190" s="50">
        <f>IF(AN190=0,J190,0)</f>
        <v>0</v>
      </c>
      <c r="AK190" s="50">
        <f>IF(AN190=15,J190,0)</f>
        <v>0</v>
      </c>
      <c r="AL190" s="50">
        <f>IF(AN190=21,J190,0)</f>
        <v>0</v>
      </c>
      <c r="AN190" s="50">
        <v>21</v>
      </c>
      <c r="AO190" s="50">
        <f>G190*0</f>
        <v>0</v>
      </c>
      <c r="AP190" s="50">
        <f>G190*(1-0)</f>
        <v>0</v>
      </c>
      <c r="AQ190" s="38" t="s">
        <v>390</v>
      </c>
      <c r="AV190" s="50">
        <f>AW190+AX190</f>
        <v>0</v>
      </c>
      <c r="AW190" s="50">
        <f>F190*AO190</f>
        <v>0</v>
      </c>
      <c r="AX190" s="50">
        <f>F190*AP190</f>
        <v>0</v>
      </c>
      <c r="AY190" s="38" t="s">
        <v>796</v>
      </c>
      <c r="AZ190" s="38" t="s">
        <v>258</v>
      </c>
      <c r="BA190" s="57" t="s">
        <v>571</v>
      </c>
      <c r="BC190" s="50">
        <f>AW190+AX190</f>
        <v>0</v>
      </c>
      <c r="BD190" s="50">
        <f>G190/(100-BE190)*100</f>
        <v>0</v>
      </c>
      <c r="BE190" s="50">
        <v>0</v>
      </c>
      <c r="BF190" s="50">
        <f>190</f>
        <v>190</v>
      </c>
      <c r="BH190" s="50">
        <f>F190*AO190</f>
        <v>0</v>
      </c>
      <c r="BI190" s="50">
        <f>F190*AP190</f>
        <v>0</v>
      </c>
      <c r="BJ190" s="50">
        <f>F190*G190</f>
        <v>0</v>
      </c>
      <c r="BK190" s="50"/>
      <c r="BL190" s="50"/>
      <c r="BW190" s="50">
        <v>21</v>
      </c>
    </row>
    <row r="191" spans="1:75" ht="15" customHeight="1" x14ac:dyDescent="0.25">
      <c r="A191" s="47" t="s">
        <v>510</v>
      </c>
      <c r="B191" s="35" t="s">
        <v>442</v>
      </c>
      <c r="C191" s="70" t="s">
        <v>729</v>
      </c>
      <c r="D191" s="71"/>
      <c r="E191" s="1" t="s">
        <v>686</v>
      </c>
      <c r="F191" s="1" t="s">
        <v>686</v>
      </c>
      <c r="G191" s="1" t="s">
        <v>686</v>
      </c>
      <c r="H191" s="5">
        <f>SUM(H192:H193)</f>
        <v>0</v>
      </c>
      <c r="I191" s="5">
        <f>SUM(I192:I193)</f>
        <v>0</v>
      </c>
      <c r="J191" s="5">
        <f>SUM(J192:J193)</f>
        <v>0</v>
      </c>
      <c r="K191" s="57" t="s">
        <v>510</v>
      </c>
      <c r="L191" s="7" t="s">
        <v>510</v>
      </c>
      <c r="AI191" s="57" t="s">
        <v>510</v>
      </c>
      <c r="AS191" s="5">
        <f>SUM(AJ192:AJ193)</f>
        <v>0</v>
      </c>
      <c r="AT191" s="5">
        <f>SUM(AK192:AK193)</f>
        <v>0</v>
      </c>
      <c r="AU191" s="5">
        <f>SUM(AL192:AL193)</f>
        <v>0</v>
      </c>
    </row>
    <row r="192" spans="1:75" ht="13.5" customHeight="1" x14ac:dyDescent="0.25">
      <c r="A192" s="36" t="s">
        <v>419</v>
      </c>
      <c r="B192" s="53" t="s">
        <v>402</v>
      </c>
      <c r="C192" s="68" t="s">
        <v>607</v>
      </c>
      <c r="D192" s="69"/>
      <c r="E192" s="53" t="s">
        <v>331</v>
      </c>
      <c r="F192" s="50">
        <v>0.22</v>
      </c>
      <c r="G192" s="50">
        <v>0</v>
      </c>
      <c r="H192" s="50">
        <f>F192*AO192</f>
        <v>0</v>
      </c>
      <c r="I192" s="50">
        <f>F192*AP192</f>
        <v>0</v>
      </c>
      <c r="J192" s="50">
        <f>F192*G192</f>
        <v>0</v>
      </c>
      <c r="K192" s="50">
        <v>0</v>
      </c>
      <c r="L192" s="29">
        <v>0</v>
      </c>
      <c r="Z192" s="50">
        <f>IF(AQ192="5",BJ192,0)</f>
        <v>0</v>
      </c>
      <c r="AB192" s="50">
        <f>IF(AQ192="1",BH192,0)</f>
        <v>0</v>
      </c>
      <c r="AC192" s="50">
        <f>IF(AQ192="1",BI192,0)</f>
        <v>0</v>
      </c>
      <c r="AD192" s="50">
        <f>IF(AQ192="7",BH192,0)</f>
        <v>0</v>
      </c>
      <c r="AE192" s="50">
        <f>IF(AQ192="7",BI192,0)</f>
        <v>0</v>
      </c>
      <c r="AF192" s="50">
        <f>IF(AQ192="2",BH192,0)</f>
        <v>0</v>
      </c>
      <c r="AG192" s="50">
        <f>IF(AQ192="2",BI192,0)</f>
        <v>0</v>
      </c>
      <c r="AH192" s="50">
        <f>IF(AQ192="0",BJ192,0)</f>
        <v>0</v>
      </c>
      <c r="AI192" s="57" t="s">
        <v>510</v>
      </c>
      <c r="AJ192" s="50">
        <f>IF(AN192=0,J192,0)</f>
        <v>0</v>
      </c>
      <c r="AK192" s="50">
        <f>IF(AN192=15,J192,0)</f>
        <v>0</v>
      </c>
      <c r="AL192" s="50">
        <f>IF(AN192=21,J192,0)</f>
        <v>0</v>
      </c>
      <c r="AN192" s="50">
        <v>21</v>
      </c>
      <c r="AO192" s="50">
        <f>G192*0</f>
        <v>0</v>
      </c>
      <c r="AP192" s="50">
        <f>G192*(1-0)</f>
        <v>0</v>
      </c>
      <c r="AQ192" s="38" t="s">
        <v>390</v>
      </c>
      <c r="AV192" s="50">
        <f>AW192+AX192</f>
        <v>0</v>
      </c>
      <c r="AW192" s="50">
        <f>F192*AO192</f>
        <v>0</v>
      </c>
      <c r="AX192" s="50">
        <f>F192*AP192</f>
        <v>0</v>
      </c>
      <c r="AY192" s="38" t="s">
        <v>762</v>
      </c>
      <c r="AZ192" s="38" t="s">
        <v>258</v>
      </c>
      <c r="BA192" s="57" t="s">
        <v>571</v>
      </c>
      <c r="BC192" s="50">
        <f>AW192+AX192</f>
        <v>0</v>
      </c>
      <c r="BD192" s="50">
        <f>G192/(100-BE192)*100</f>
        <v>0</v>
      </c>
      <c r="BE192" s="50">
        <v>0</v>
      </c>
      <c r="BF192" s="50">
        <f>192</f>
        <v>192</v>
      </c>
      <c r="BH192" s="50">
        <f>F192*AO192</f>
        <v>0</v>
      </c>
      <c r="BI192" s="50">
        <f>F192*AP192</f>
        <v>0</v>
      </c>
      <c r="BJ192" s="50">
        <f>F192*G192</f>
        <v>0</v>
      </c>
      <c r="BK192" s="50"/>
      <c r="BL192" s="50"/>
      <c r="BW192" s="50">
        <v>21</v>
      </c>
    </row>
    <row r="193" spans="1:75" ht="13.5" customHeight="1" x14ac:dyDescent="0.25">
      <c r="A193" s="36" t="s">
        <v>297</v>
      </c>
      <c r="B193" s="53" t="s">
        <v>131</v>
      </c>
      <c r="C193" s="68" t="s">
        <v>303</v>
      </c>
      <c r="D193" s="69"/>
      <c r="E193" s="53" t="s">
        <v>331</v>
      </c>
      <c r="F193" s="50">
        <v>0.22</v>
      </c>
      <c r="G193" s="50">
        <v>0</v>
      </c>
      <c r="H193" s="50">
        <f>F193*AO193</f>
        <v>0</v>
      </c>
      <c r="I193" s="50">
        <f>F193*AP193</f>
        <v>0</v>
      </c>
      <c r="J193" s="50">
        <f>F193*G193</f>
        <v>0</v>
      </c>
      <c r="K193" s="50">
        <v>0</v>
      </c>
      <c r="L193" s="29">
        <v>0</v>
      </c>
      <c r="Z193" s="50">
        <f>IF(AQ193="5",BJ193,0)</f>
        <v>0</v>
      </c>
      <c r="AB193" s="50">
        <f>IF(AQ193="1",BH193,0)</f>
        <v>0</v>
      </c>
      <c r="AC193" s="50">
        <f>IF(AQ193="1",BI193,0)</f>
        <v>0</v>
      </c>
      <c r="AD193" s="50">
        <f>IF(AQ193="7",BH193,0)</f>
        <v>0</v>
      </c>
      <c r="AE193" s="50">
        <f>IF(AQ193="7",BI193,0)</f>
        <v>0</v>
      </c>
      <c r="AF193" s="50">
        <f>IF(AQ193="2",BH193,0)</f>
        <v>0</v>
      </c>
      <c r="AG193" s="50">
        <f>IF(AQ193="2",BI193,0)</f>
        <v>0</v>
      </c>
      <c r="AH193" s="50">
        <f>IF(AQ193="0",BJ193,0)</f>
        <v>0</v>
      </c>
      <c r="AI193" s="57" t="s">
        <v>510</v>
      </c>
      <c r="AJ193" s="50">
        <f>IF(AN193=0,J193,0)</f>
        <v>0</v>
      </c>
      <c r="AK193" s="50">
        <f>IF(AN193=15,J193,0)</f>
        <v>0</v>
      </c>
      <c r="AL193" s="50">
        <f>IF(AN193=21,J193,0)</f>
        <v>0</v>
      </c>
      <c r="AN193" s="50">
        <v>21</v>
      </c>
      <c r="AO193" s="50">
        <f>G193*0</f>
        <v>0</v>
      </c>
      <c r="AP193" s="50">
        <f>G193*(1-0)</f>
        <v>0</v>
      </c>
      <c r="AQ193" s="38" t="s">
        <v>390</v>
      </c>
      <c r="AV193" s="50">
        <f>AW193+AX193</f>
        <v>0</v>
      </c>
      <c r="AW193" s="50">
        <f>F193*AO193</f>
        <v>0</v>
      </c>
      <c r="AX193" s="50">
        <f>F193*AP193</f>
        <v>0</v>
      </c>
      <c r="AY193" s="38" t="s">
        <v>762</v>
      </c>
      <c r="AZ193" s="38" t="s">
        <v>258</v>
      </c>
      <c r="BA193" s="57" t="s">
        <v>571</v>
      </c>
      <c r="BC193" s="50">
        <f>AW193+AX193</f>
        <v>0</v>
      </c>
      <c r="BD193" s="50">
        <f>G193/(100-BE193)*100</f>
        <v>0</v>
      </c>
      <c r="BE193" s="50">
        <v>0</v>
      </c>
      <c r="BF193" s="50">
        <f>193</f>
        <v>193</v>
      </c>
      <c r="BH193" s="50">
        <f>F193*AO193</f>
        <v>0</v>
      </c>
      <c r="BI193" s="50">
        <f>F193*AP193</f>
        <v>0</v>
      </c>
      <c r="BJ193" s="50">
        <f>F193*G193</f>
        <v>0</v>
      </c>
      <c r="BK193" s="50"/>
      <c r="BL193" s="50"/>
      <c r="BW193" s="50">
        <v>21</v>
      </c>
    </row>
    <row r="194" spans="1:75" ht="15" customHeight="1" x14ac:dyDescent="0.25">
      <c r="A194" s="47" t="s">
        <v>510</v>
      </c>
      <c r="B194" s="35" t="s">
        <v>620</v>
      </c>
      <c r="C194" s="70" t="s">
        <v>627</v>
      </c>
      <c r="D194" s="71"/>
      <c r="E194" s="1" t="s">
        <v>686</v>
      </c>
      <c r="F194" s="1" t="s">
        <v>686</v>
      </c>
      <c r="G194" s="1" t="s">
        <v>686</v>
      </c>
      <c r="H194" s="5">
        <f>SUM(H195:H196)</f>
        <v>0</v>
      </c>
      <c r="I194" s="5">
        <f>SUM(I195:I196)</f>
        <v>0</v>
      </c>
      <c r="J194" s="5">
        <f>SUM(J195:J196)</f>
        <v>0</v>
      </c>
      <c r="K194" s="57" t="s">
        <v>510</v>
      </c>
      <c r="L194" s="7" t="s">
        <v>510</v>
      </c>
      <c r="AI194" s="57" t="s">
        <v>510</v>
      </c>
      <c r="AS194" s="5">
        <f>SUM(AJ195:AJ196)</f>
        <v>0</v>
      </c>
      <c r="AT194" s="5">
        <f>SUM(AK195:AK196)</f>
        <v>0</v>
      </c>
      <c r="AU194" s="5">
        <f>SUM(AL195:AL196)</f>
        <v>0</v>
      </c>
    </row>
    <row r="195" spans="1:75" ht="13.5" customHeight="1" x14ac:dyDescent="0.25">
      <c r="A195" s="36" t="s">
        <v>210</v>
      </c>
      <c r="B195" s="53" t="s">
        <v>676</v>
      </c>
      <c r="C195" s="68" t="s">
        <v>646</v>
      </c>
      <c r="D195" s="69"/>
      <c r="E195" s="53" t="s">
        <v>331</v>
      </c>
      <c r="F195" s="50">
        <v>0.82</v>
      </c>
      <c r="G195" s="50">
        <v>0</v>
      </c>
      <c r="H195" s="50">
        <f>F195*AO195</f>
        <v>0</v>
      </c>
      <c r="I195" s="50">
        <f>F195*AP195</f>
        <v>0</v>
      </c>
      <c r="J195" s="50">
        <f>F195*G195</f>
        <v>0</v>
      </c>
      <c r="K195" s="50">
        <v>0</v>
      </c>
      <c r="L195" s="29">
        <v>0</v>
      </c>
      <c r="Z195" s="50">
        <f>IF(AQ195="5",BJ195,0)</f>
        <v>0</v>
      </c>
      <c r="AB195" s="50">
        <f>IF(AQ195="1",BH195,0)</f>
        <v>0</v>
      </c>
      <c r="AC195" s="50">
        <f>IF(AQ195="1",BI195,0)</f>
        <v>0</v>
      </c>
      <c r="AD195" s="50">
        <f>IF(AQ195="7",BH195,0)</f>
        <v>0</v>
      </c>
      <c r="AE195" s="50">
        <f>IF(AQ195="7",BI195,0)</f>
        <v>0</v>
      </c>
      <c r="AF195" s="50">
        <f>IF(AQ195="2",BH195,0)</f>
        <v>0</v>
      </c>
      <c r="AG195" s="50">
        <f>IF(AQ195="2",BI195,0)</f>
        <v>0</v>
      </c>
      <c r="AH195" s="50">
        <f>IF(AQ195="0",BJ195,0)</f>
        <v>0</v>
      </c>
      <c r="AI195" s="57" t="s">
        <v>510</v>
      </c>
      <c r="AJ195" s="50">
        <f>IF(AN195=0,J195,0)</f>
        <v>0</v>
      </c>
      <c r="AK195" s="50">
        <f>IF(AN195=15,J195,0)</f>
        <v>0</v>
      </c>
      <c r="AL195" s="50">
        <f>IF(AN195=21,J195,0)</f>
        <v>0</v>
      </c>
      <c r="AN195" s="50">
        <v>21</v>
      </c>
      <c r="AO195" s="50">
        <f>G195*0</f>
        <v>0</v>
      </c>
      <c r="AP195" s="50">
        <f>G195*(1-0)</f>
        <v>0</v>
      </c>
      <c r="AQ195" s="38" t="s">
        <v>390</v>
      </c>
      <c r="AV195" s="50">
        <f>AW195+AX195</f>
        <v>0</v>
      </c>
      <c r="AW195" s="50">
        <f>F195*AO195</f>
        <v>0</v>
      </c>
      <c r="AX195" s="50">
        <f>F195*AP195</f>
        <v>0</v>
      </c>
      <c r="AY195" s="38" t="s">
        <v>553</v>
      </c>
      <c r="AZ195" s="38" t="s">
        <v>258</v>
      </c>
      <c r="BA195" s="57" t="s">
        <v>571</v>
      </c>
      <c r="BC195" s="50">
        <f>AW195+AX195</f>
        <v>0</v>
      </c>
      <c r="BD195" s="50">
        <f>G195/(100-BE195)*100</f>
        <v>0</v>
      </c>
      <c r="BE195" s="50">
        <v>0</v>
      </c>
      <c r="BF195" s="50">
        <f>195</f>
        <v>195</v>
      </c>
      <c r="BH195" s="50">
        <f>F195*AO195</f>
        <v>0</v>
      </c>
      <c r="BI195" s="50">
        <f>F195*AP195</f>
        <v>0</v>
      </c>
      <c r="BJ195" s="50">
        <f>F195*G195</f>
        <v>0</v>
      </c>
      <c r="BK195" s="50"/>
      <c r="BL195" s="50"/>
      <c r="BW195" s="50">
        <v>21</v>
      </c>
    </row>
    <row r="196" spans="1:75" ht="13.5" customHeight="1" x14ac:dyDescent="0.25">
      <c r="A196" s="36" t="s">
        <v>515</v>
      </c>
      <c r="B196" s="53" t="s">
        <v>322</v>
      </c>
      <c r="C196" s="68" t="s">
        <v>10</v>
      </c>
      <c r="D196" s="69"/>
      <c r="E196" s="53" t="s">
        <v>331</v>
      </c>
      <c r="F196" s="50">
        <v>0.82</v>
      </c>
      <c r="G196" s="50">
        <v>0</v>
      </c>
      <c r="H196" s="50">
        <f>F196*AO196</f>
        <v>0</v>
      </c>
      <c r="I196" s="50">
        <f>F196*AP196</f>
        <v>0</v>
      </c>
      <c r="J196" s="50">
        <f>F196*G196</f>
        <v>0</v>
      </c>
      <c r="K196" s="50">
        <v>0</v>
      </c>
      <c r="L196" s="29">
        <v>0</v>
      </c>
      <c r="Z196" s="50">
        <f>IF(AQ196="5",BJ196,0)</f>
        <v>0</v>
      </c>
      <c r="AB196" s="50">
        <f>IF(AQ196="1",BH196,0)</f>
        <v>0</v>
      </c>
      <c r="AC196" s="50">
        <f>IF(AQ196="1",BI196,0)</f>
        <v>0</v>
      </c>
      <c r="AD196" s="50">
        <f>IF(AQ196="7",BH196,0)</f>
        <v>0</v>
      </c>
      <c r="AE196" s="50">
        <f>IF(AQ196="7",BI196,0)</f>
        <v>0</v>
      </c>
      <c r="AF196" s="50">
        <f>IF(AQ196="2",BH196,0)</f>
        <v>0</v>
      </c>
      <c r="AG196" s="50">
        <f>IF(AQ196="2",BI196,0)</f>
        <v>0</v>
      </c>
      <c r="AH196" s="50">
        <f>IF(AQ196="0",BJ196,0)</f>
        <v>0</v>
      </c>
      <c r="AI196" s="57" t="s">
        <v>510</v>
      </c>
      <c r="AJ196" s="50">
        <f>IF(AN196=0,J196,0)</f>
        <v>0</v>
      </c>
      <c r="AK196" s="50">
        <f>IF(AN196=15,J196,0)</f>
        <v>0</v>
      </c>
      <c r="AL196" s="50">
        <f>IF(AN196=21,J196,0)</f>
        <v>0</v>
      </c>
      <c r="AN196" s="50">
        <v>21</v>
      </c>
      <c r="AO196" s="50">
        <f>G196*0</f>
        <v>0</v>
      </c>
      <c r="AP196" s="50">
        <f>G196*(1-0)</f>
        <v>0</v>
      </c>
      <c r="AQ196" s="38" t="s">
        <v>390</v>
      </c>
      <c r="AV196" s="50">
        <f>AW196+AX196</f>
        <v>0</v>
      </c>
      <c r="AW196" s="50">
        <f>F196*AO196</f>
        <v>0</v>
      </c>
      <c r="AX196" s="50">
        <f>F196*AP196</f>
        <v>0</v>
      </c>
      <c r="AY196" s="38" t="s">
        <v>553</v>
      </c>
      <c r="AZ196" s="38" t="s">
        <v>258</v>
      </c>
      <c r="BA196" s="57" t="s">
        <v>571</v>
      </c>
      <c r="BC196" s="50">
        <f>AW196+AX196</f>
        <v>0</v>
      </c>
      <c r="BD196" s="50">
        <f>G196/(100-BE196)*100</f>
        <v>0</v>
      </c>
      <c r="BE196" s="50">
        <v>0</v>
      </c>
      <c r="BF196" s="50">
        <f>196</f>
        <v>196</v>
      </c>
      <c r="BH196" s="50">
        <f>F196*AO196</f>
        <v>0</v>
      </c>
      <c r="BI196" s="50">
        <f>F196*AP196</f>
        <v>0</v>
      </c>
      <c r="BJ196" s="50">
        <f>F196*G196</f>
        <v>0</v>
      </c>
      <c r="BK196" s="50"/>
      <c r="BL196" s="50"/>
      <c r="BW196" s="50">
        <v>21</v>
      </c>
    </row>
    <row r="197" spans="1:75" ht="15" customHeight="1" x14ac:dyDescent="0.25">
      <c r="A197" s="47" t="s">
        <v>510</v>
      </c>
      <c r="B197" s="35" t="s">
        <v>69</v>
      </c>
      <c r="C197" s="70" t="s">
        <v>490</v>
      </c>
      <c r="D197" s="71"/>
      <c r="E197" s="1" t="s">
        <v>686</v>
      </c>
      <c r="F197" s="1" t="s">
        <v>686</v>
      </c>
      <c r="G197" s="1" t="s">
        <v>686</v>
      </c>
      <c r="H197" s="5">
        <f>SUM(H198:H199)</f>
        <v>0</v>
      </c>
      <c r="I197" s="5">
        <f>SUM(I198:I199)</f>
        <v>0</v>
      </c>
      <c r="J197" s="5">
        <f>SUM(J198:J199)</f>
        <v>0</v>
      </c>
      <c r="K197" s="57" t="s">
        <v>510</v>
      </c>
      <c r="L197" s="7" t="s">
        <v>510</v>
      </c>
      <c r="AI197" s="57" t="s">
        <v>510</v>
      </c>
      <c r="AS197" s="5">
        <f>SUM(AJ198:AJ199)</f>
        <v>0</v>
      </c>
      <c r="AT197" s="5">
        <f>SUM(AK198:AK199)</f>
        <v>0</v>
      </c>
      <c r="AU197" s="5">
        <f>SUM(AL198:AL199)</f>
        <v>0</v>
      </c>
    </row>
    <row r="198" spans="1:75" ht="13.5" customHeight="1" x14ac:dyDescent="0.25">
      <c r="A198" s="36" t="s">
        <v>691</v>
      </c>
      <c r="B198" s="53" t="s">
        <v>23</v>
      </c>
      <c r="C198" s="68" t="s">
        <v>557</v>
      </c>
      <c r="D198" s="69"/>
      <c r="E198" s="53" t="s">
        <v>331</v>
      </c>
      <c r="F198" s="50">
        <v>0.15</v>
      </c>
      <c r="G198" s="50">
        <v>0</v>
      </c>
      <c r="H198" s="50">
        <f>F198*AO198</f>
        <v>0</v>
      </c>
      <c r="I198" s="50">
        <f>F198*AP198</f>
        <v>0</v>
      </c>
      <c r="J198" s="50">
        <f>F198*G198</f>
        <v>0</v>
      </c>
      <c r="K198" s="50">
        <v>0</v>
      </c>
      <c r="L198" s="29">
        <v>0</v>
      </c>
      <c r="Z198" s="50">
        <f>IF(AQ198="5",BJ198,0)</f>
        <v>0</v>
      </c>
      <c r="AB198" s="50">
        <f>IF(AQ198="1",BH198,0)</f>
        <v>0</v>
      </c>
      <c r="AC198" s="50">
        <f>IF(AQ198="1",BI198,0)</f>
        <v>0</v>
      </c>
      <c r="AD198" s="50">
        <f>IF(AQ198="7",BH198,0)</f>
        <v>0</v>
      </c>
      <c r="AE198" s="50">
        <f>IF(AQ198="7",BI198,0)</f>
        <v>0</v>
      </c>
      <c r="AF198" s="50">
        <f>IF(AQ198="2",BH198,0)</f>
        <v>0</v>
      </c>
      <c r="AG198" s="50">
        <f>IF(AQ198="2",BI198,0)</f>
        <v>0</v>
      </c>
      <c r="AH198" s="50">
        <f>IF(AQ198="0",BJ198,0)</f>
        <v>0</v>
      </c>
      <c r="AI198" s="57" t="s">
        <v>510</v>
      </c>
      <c r="AJ198" s="50">
        <f>IF(AN198=0,J198,0)</f>
        <v>0</v>
      </c>
      <c r="AK198" s="50">
        <f>IF(AN198=15,J198,0)</f>
        <v>0</v>
      </c>
      <c r="AL198" s="50">
        <f>IF(AN198=21,J198,0)</f>
        <v>0</v>
      </c>
      <c r="AN198" s="50">
        <v>21</v>
      </c>
      <c r="AO198" s="50">
        <f>G198*0</f>
        <v>0</v>
      </c>
      <c r="AP198" s="50">
        <f>G198*(1-0)</f>
        <v>0</v>
      </c>
      <c r="AQ198" s="38" t="s">
        <v>390</v>
      </c>
      <c r="AV198" s="50">
        <f>AW198+AX198</f>
        <v>0</v>
      </c>
      <c r="AW198" s="50">
        <f>F198*AO198</f>
        <v>0</v>
      </c>
      <c r="AX198" s="50">
        <f>F198*AP198</f>
        <v>0</v>
      </c>
      <c r="AY198" s="38" t="s">
        <v>692</v>
      </c>
      <c r="AZ198" s="38" t="s">
        <v>258</v>
      </c>
      <c r="BA198" s="57" t="s">
        <v>571</v>
      </c>
      <c r="BC198" s="50">
        <f>AW198+AX198</f>
        <v>0</v>
      </c>
      <c r="BD198" s="50">
        <f>G198/(100-BE198)*100</f>
        <v>0</v>
      </c>
      <c r="BE198" s="50">
        <v>0</v>
      </c>
      <c r="BF198" s="50">
        <f>198</f>
        <v>198</v>
      </c>
      <c r="BH198" s="50">
        <f>F198*AO198</f>
        <v>0</v>
      </c>
      <c r="BI198" s="50">
        <f>F198*AP198</f>
        <v>0</v>
      </c>
      <c r="BJ198" s="50">
        <f>F198*G198</f>
        <v>0</v>
      </c>
      <c r="BK198" s="50"/>
      <c r="BL198" s="50"/>
      <c r="BW198" s="50">
        <v>21</v>
      </c>
    </row>
    <row r="199" spans="1:75" ht="13.5" customHeight="1" x14ac:dyDescent="0.25">
      <c r="A199" s="36" t="s">
        <v>169</v>
      </c>
      <c r="B199" s="53" t="s">
        <v>774</v>
      </c>
      <c r="C199" s="68" t="s">
        <v>477</v>
      </c>
      <c r="D199" s="69"/>
      <c r="E199" s="53" t="s">
        <v>331</v>
      </c>
      <c r="F199" s="50">
        <v>0.15</v>
      </c>
      <c r="G199" s="50">
        <v>0</v>
      </c>
      <c r="H199" s="50">
        <f>F199*AO199</f>
        <v>0</v>
      </c>
      <c r="I199" s="50">
        <f>F199*AP199</f>
        <v>0</v>
      </c>
      <c r="J199" s="50">
        <f>F199*G199</f>
        <v>0</v>
      </c>
      <c r="K199" s="50">
        <v>0</v>
      </c>
      <c r="L199" s="29">
        <v>0</v>
      </c>
      <c r="Z199" s="50">
        <f>IF(AQ199="5",BJ199,0)</f>
        <v>0</v>
      </c>
      <c r="AB199" s="50">
        <f>IF(AQ199="1",BH199,0)</f>
        <v>0</v>
      </c>
      <c r="AC199" s="50">
        <f>IF(AQ199="1",BI199,0)</f>
        <v>0</v>
      </c>
      <c r="AD199" s="50">
        <f>IF(AQ199="7",BH199,0)</f>
        <v>0</v>
      </c>
      <c r="AE199" s="50">
        <f>IF(AQ199="7",BI199,0)</f>
        <v>0</v>
      </c>
      <c r="AF199" s="50">
        <f>IF(AQ199="2",BH199,0)</f>
        <v>0</v>
      </c>
      <c r="AG199" s="50">
        <f>IF(AQ199="2",BI199,0)</f>
        <v>0</v>
      </c>
      <c r="AH199" s="50">
        <f>IF(AQ199="0",BJ199,0)</f>
        <v>0</v>
      </c>
      <c r="AI199" s="57" t="s">
        <v>510</v>
      </c>
      <c r="AJ199" s="50">
        <f>IF(AN199=0,J199,0)</f>
        <v>0</v>
      </c>
      <c r="AK199" s="50">
        <f>IF(AN199=15,J199,0)</f>
        <v>0</v>
      </c>
      <c r="AL199" s="50">
        <f>IF(AN199=21,J199,0)</f>
        <v>0</v>
      </c>
      <c r="AN199" s="50">
        <v>21</v>
      </c>
      <c r="AO199" s="50">
        <f>G199*0</f>
        <v>0</v>
      </c>
      <c r="AP199" s="50">
        <f>G199*(1-0)</f>
        <v>0</v>
      </c>
      <c r="AQ199" s="38" t="s">
        <v>390</v>
      </c>
      <c r="AV199" s="50">
        <f>AW199+AX199</f>
        <v>0</v>
      </c>
      <c r="AW199" s="50">
        <f>F199*AO199</f>
        <v>0</v>
      </c>
      <c r="AX199" s="50">
        <f>F199*AP199</f>
        <v>0</v>
      </c>
      <c r="AY199" s="38" t="s">
        <v>692</v>
      </c>
      <c r="AZ199" s="38" t="s">
        <v>258</v>
      </c>
      <c r="BA199" s="57" t="s">
        <v>571</v>
      </c>
      <c r="BC199" s="50">
        <f>AW199+AX199</f>
        <v>0</v>
      </c>
      <c r="BD199" s="50">
        <f>G199/(100-BE199)*100</f>
        <v>0</v>
      </c>
      <c r="BE199" s="50">
        <v>0</v>
      </c>
      <c r="BF199" s="50">
        <f>199</f>
        <v>199</v>
      </c>
      <c r="BH199" s="50">
        <f>F199*AO199</f>
        <v>0</v>
      </c>
      <c r="BI199" s="50">
        <f>F199*AP199</f>
        <v>0</v>
      </c>
      <c r="BJ199" s="50">
        <f>F199*G199</f>
        <v>0</v>
      </c>
      <c r="BK199" s="50"/>
      <c r="BL199" s="50"/>
      <c r="BW199" s="50">
        <v>21</v>
      </c>
    </row>
    <row r="200" spans="1:75" ht="15" customHeight="1" x14ac:dyDescent="0.25">
      <c r="A200" s="47" t="s">
        <v>510</v>
      </c>
      <c r="B200" s="35" t="s">
        <v>145</v>
      </c>
      <c r="C200" s="70" t="s">
        <v>197</v>
      </c>
      <c r="D200" s="71"/>
      <c r="E200" s="1" t="s">
        <v>686</v>
      </c>
      <c r="F200" s="1" t="s">
        <v>686</v>
      </c>
      <c r="G200" s="1" t="s">
        <v>686</v>
      </c>
      <c r="H200" s="5">
        <f>SUM(H201:H202)</f>
        <v>0</v>
      </c>
      <c r="I200" s="5">
        <f>SUM(I201:I202)</f>
        <v>0</v>
      </c>
      <c r="J200" s="5">
        <f>SUM(J201:J202)</f>
        <v>0</v>
      </c>
      <c r="K200" s="57" t="s">
        <v>510</v>
      </c>
      <c r="L200" s="7" t="s">
        <v>510</v>
      </c>
      <c r="AI200" s="57" t="s">
        <v>510</v>
      </c>
      <c r="AS200" s="5">
        <f>SUM(AJ201:AJ202)</f>
        <v>0</v>
      </c>
      <c r="AT200" s="5">
        <f>SUM(AK201:AK202)</f>
        <v>0</v>
      </c>
      <c r="AU200" s="5">
        <f>SUM(AL201:AL202)</f>
        <v>0</v>
      </c>
    </row>
    <row r="201" spans="1:75" ht="13.5" customHeight="1" x14ac:dyDescent="0.25">
      <c r="A201" s="36" t="s">
        <v>775</v>
      </c>
      <c r="B201" s="53" t="s">
        <v>568</v>
      </c>
      <c r="C201" s="68" t="s">
        <v>171</v>
      </c>
      <c r="D201" s="69"/>
      <c r="E201" s="53" t="s">
        <v>331</v>
      </c>
      <c r="F201" s="50">
        <v>0.15</v>
      </c>
      <c r="G201" s="50">
        <v>0</v>
      </c>
      <c r="H201" s="50">
        <f>F201*AO201</f>
        <v>0</v>
      </c>
      <c r="I201" s="50">
        <f>F201*AP201</f>
        <v>0</v>
      </c>
      <c r="J201" s="50">
        <f>F201*G201</f>
        <v>0</v>
      </c>
      <c r="K201" s="50">
        <v>0</v>
      </c>
      <c r="L201" s="29">
        <v>0</v>
      </c>
      <c r="Z201" s="50">
        <f>IF(AQ201="5",BJ201,0)</f>
        <v>0</v>
      </c>
      <c r="AB201" s="50">
        <f>IF(AQ201="1",BH201,0)</f>
        <v>0</v>
      </c>
      <c r="AC201" s="50">
        <f>IF(AQ201="1",BI201,0)</f>
        <v>0</v>
      </c>
      <c r="AD201" s="50">
        <f>IF(AQ201="7",BH201,0)</f>
        <v>0</v>
      </c>
      <c r="AE201" s="50">
        <f>IF(AQ201="7",BI201,0)</f>
        <v>0</v>
      </c>
      <c r="AF201" s="50">
        <f>IF(AQ201="2",BH201,0)</f>
        <v>0</v>
      </c>
      <c r="AG201" s="50">
        <f>IF(AQ201="2",BI201,0)</f>
        <v>0</v>
      </c>
      <c r="AH201" s="50">
        <f>IF(AQ201="0",BJ201,0)</f>
        <v>0</v>
      </c>
      <c r="AI201" s="57" t="s">
        <v>510</v>
      </c>
      <c r="AJ201" s="50">
        <f>IF(AN201=0,J201,0)</f>
        <v>0</v>
      </c>
      <c r="AK201" s="50">
        <f>IF(AN201=15,J201,0)</f>
        <v>0</v>
      </c>
      <c r="AL201" s="50">
        <f>IF(AN201=21,J201,0)</f>
        <v>0</v>
      </c>
      <c r="AN201" s="50">
        <v>21</v>
      </c>
      <c r="AO201" s="50">
        <f>G201*0</f>
        <v>0</v>
      </c>
      <c r="AP201" s="50">
        <f>G201*(1-0)</f>
        <v>0</v>
      </c>
      <c r="AQ201" s="38" t="s">
        <v>390</v>
      </c>
      <c r="AV201" s="50">
        <f>AW201+AX201</f>
        <v>0</v>
      </c>
      <c r="AW201" s="50">
        <f>F201*AO201</f>
        <v>0</v>
      </c>
      <c r="AX201" s="50">
        <f>F201*AP201</f>
        <v>0</v>
      </c>
      <c r="AY201" s="38" t="s">
        <v>168</v>
      </c>
      <c r="AZ201" s="38" t="s">
        <v>258</v>
      </c>
      <c r="BA201" s="57" t="s">
        <v>571</v>
      </c>
      <c r="BC201" s="50">
        <f>AW201+AX201</f>
        <v>0</v>
      </c>
      <c r="BD201" s="50">
        <f>G201/(100-BE201)*100</f>
        <v>0</v>
      </c>
      <c r="BE201" s="50">
        <v>0</v>
      </c>
      <c r="BF201" s="50">
        <f>201</f>
        <v>201</v>
      </c>
      <c r="BH201" s="50">
        <f>F201*AO201</f>
        <v>0</v>
      </c>
      <c r="BI201" s="50">
        <f>F201*AP201</f>
        <v>0</v>
      </c>
      <c r="BJ201" s="50">
        <f>F201*G201</f>
        <v>0</v>
      </c>
      <c r="BK201" s="50"/>
      <c r="BL201" s="50"/>
      <c r="BW201" s="50">
        <v>21</v>
      </c>
    </row>
    <row r="202" spans="1:75" ht="13.5" customHeight="1" x14ac:dyDescent="0.25">
      <c r="A202" s="36" t="s">
        <v>294</v>
      </c>
      <c r="B202" s="53" t="s">
        <v>307</v>
      </c>
      <c r="C202" s="68" t="s">
        <v>277</v>
      </c>
      <c r="D202" s="69"/>
      <c r="E202" s="53" t="s">
        <v>331</v>
      </c>
      <c r="F202" s="50">
        <v>0.15</v>
      </c>
      <c r="G202" s="50">
        <v>0</v>
      </c>
      <c r="H202" s="50">
        <f>F202*AO202</f>
        <v>0</v>
      </c>
      <c r="I202" s="50">
        <f>F202*AP202</f>
        <v>0</v>
      </c>
      <c r="J202" s="50">
        <f>F202*G202</f>
        <v>0</v>
      </c>
      <c r="K202" s="50">
        <v>0</v>
      </c>
      <c r="L202" s="29">
        <v>0</v>
      </c>
      <c r="Z202" s="50">
        <f>IF(AQ202="5",BJ202,0)</f>
        <v>0</v>
      </c>
      <c r="AB202" s="50">
        <f>IF(AQ202="1",BH202,0)</f>
        <v>0</v>
      </c>
      <c r="AC202" s="50">
        <f>IF(AQ202="1",BI202,0)</f>
        <v>0</v>
      </c>
      <c r="AD202" s="50">
        <f>IF(AQ202="7",BH202,0)</f>
        <v>0</v>
      </c>
      <c r="AE202" s="50">
        <f>IF(AQ202="7",BI202,0)</f>
        <v>0</v>
      </c>
      <c r="AF202" s="50">
        <f>IF(AQ202="2",BH202,0)</f>
        <v>0</v>
      </c>
      <c r="AG202" s="50">
        <f>IF(AQ202="2",BI202,0)</f>
        <v>0</v>
      </c>
      <c r="AH202" s="50">
        <f>IF(AQ202="0",BJ202,0)</f>
        <v>0</v>
      </c>
      <c r="AI202" s="57" t="s">
        <v>510</v>
      </c>
      <c r="AJ202" s="50">
        <f>IF(AN202=0,J202,0)</f>
        <v>0</v>
      </c>
      <c r="AK202" s="50">
        <f>IF(AN202=15,J202,0)</f>
        <v>0</v>
      </c>
      <c r="AL202" s="50">
        <f>IF(AN202=21,J202,0)</f>
        <v>0</v>
      </c>
      <c r="AN202" s="50">
        <v>21</v>
      </c>
      <c r="AO202" s="50">
        <f>G202*0</f>
        <v>0</v>
      </c>
      <c r="AP202" s="50">
        <f>G202*(1-0)</f>
        <v>0</v>
      </c>
      <c r="AQ202" s="38" t="s">
        <v>390</v>
      </c>
      <c r="AV202" s="50">
        <f>AW202+AX202</f>
        <v>0</v>
      </c>
      <c r="AW202" s="50">
        <f>F202*AO202</f>
        <v>0</v>
      </c>
      <c r="AX202" s="50">
        <f>F202*AP202</f>
        <v>0</v>
      </c>
      <c r="AY202" s="38" t="s">
        <v>168</v>
      </c>
      <c r="AZ202" s="38" t="s">
        <v>258</v>
      </c>
      <c r="BA202" s="57" t="s">
        <v>571</v>
      </c>
      <c r="BC202" s="50">
        <f>AW202+AX202</f>
        <v>0</v>
      </c>
      <c r="BD202" s="50">
        <f>G202/(100-BE202)*100</f>
        <v>0</v>
      </c>
      <c r="BE202" s="50">
        <v>0</v>
      </c>
      <c r="BF202" s="50">
        <f>202</f>
        <v>202</v>
      </c>
      <c r="BH202" s="50">
        <f>F202*AO202</f>
        <v>0</v>
      </c>
      <c r="BI202" s="50">
        <f>F202*AP202</f>
        <v>0</v>
      </c>
      <c r="BJ202" s="50">
        <f>F202*G202</f>
        <v>0</v>
      </c>
      <c r="BK202" s="50"/>
      <c r="BL202" s="50"/>
      <c r="BW202" s="50">
        <v>21</v>
      </c>
    </row>
    <row r="203" spans="1:75" ht="15" customHeight="1" x14ac:dyDescent="0.25">
      <c r="A203" s="47" t="s">
        <v>510</v>
      </c>
      <c r="B203" s="35" t="s">
        <v>24</v>
      </c>
      <c r="C203" s="70" t="s">
        <v>146</v>
      </c>
      <c r="D203" s="71"/>
      <c r="E203" s="1" t="s">
        <v>686</v>
      </c>
      <c r="F203" s="1" t="s">
        <v>686</v>
      </c>
      <c r="G203" s="1" t="s">
        <v>686</v>
      </c>
      <c r="H203" s="5">
        <f>SUM(H204:H206)</f>
        <v>0</v>
      </c>
      <c r="I203" s="5">
        <f>SUM(I204:I206)</f>
        <v>0</v>
      </c>
      <c r="J203" s="5">
        <f>SUM(J204:J206)</f>
        <v>0</v>
      </c>
      <c r="K203" s="57" t="s">
        <v>510</v>
      </c>
      <c r="L203" s="7" t="s">
        <v>510</v>
      </c>
      <c r="AI203" s="57" t="s">
        <v>510</v>
      </c>
      <c r="AS203" s="5">
        <f>SUM(AJ204:AJ206)</f>
        <v>0</v>
      </c>
      <c r="AT203" s="5">
        <f>SUM(AK204:AK206)</f>
        <v>0</v>
      </c>
      <c r="AU203" s="5">
        <f>SUM(AL204:AL206)</f>
        <v>0</v>
      </c>
    </row>
    <row r="204" spans="1:75" ht="13.5" customHeight="1" x14ac:dyDescent="0.25">
      <c r="A204" s="36" t="s">
        <v>682</v>
      </c>
      <c r="B204" s="53" t="s">
        <v>699</v>
      </c>
      <c r="C204" s="68" t="s">
        <v>514</v>
      </c>
      <c r="D204" s="69"/>
      <c r="E204" s="53" t="s">
        <v>316</v>
      </c>
      <c r="F204" s="50">
        <v>16</v>
      </c>
      <c r="G204" s="50">
        <v>0</v>
      </c>
      <c r="H204" s="50">
        <f>F204*AO204</f>
        <v>0</v>
      </c>
      <c r="I204" s="50">
        <f>F204*AP204</f>
        <v>0</v>
      </c>
      <c r="J204" s="50">
        <f>F204*G204</f>
        <v>0</v>
      </c>
      <c r="K204" s="50">
        <v>0</v>
      </c>
      <c r="L204" s="29">
        <v>0</v>
      </c>
      <c r="Z204" s="50">
        <f>IF(AQ204="5",BJ204,0)</f>
        <v>0</v>
      </c>
      <c r="AB204" s="50">
        <f>IF(AQ204="1",BH204,0)</f>
        <v>0</v>
      </c>
      <c r="AC204" s="50">
        <f>IF(AQ204="1",BI204,0)</f>
        <v>0</v>
      </c>
      <c r="AD204" s="50">
        <f>IF(AQ204="7",BH204,0)</f>
        <v>0</v>
      </c>
      <c r="AE204" s="50">
        <f>IF(AQ204="7",BI204,0)</f>
        <v>0</v>
      </c>
      <c r="AF204" s="50">
        <f>IF(AQ204="2",BH204,0)</f>
        <v>0</v>
      </c>
      <c r="AG204" s="50">
        <f>IF(AQ204="2",BI204,0)</f>
        <v>0</v>
      </c>
      <c r="AH204" s="50">
        <f>IF(AQ204="0",BJ204,0)</f>
        <v>0</v>
      </c>
      <c r="AI204" s="57" t="s">
        <v>510</v>
      </c>
      <c r="AJ204" s="50">
        <f>IF(AN204=0,J204,0)</f>
        <v>0</v>
      </c>
      <c r="AK204" s="50">
        <f>IF(AN204=15,J204,0)</f>
        <v>0</v>
      </c>
      <c r="AL204" s="50">
        <f>IF(AN204=21,J204,0)</f>
        <v>0</v>
      </c>
      <c r="AN204" s="50">
        <v>21</v>
      </c>
      <c r="AO204" s="50">
        <f>G204*0</f>
        <v>0</v>
      </c>
      <c r="AP204" s="50">
        <f>G204*(1-0)</f>
        <v>0</v>
      </c>
      <c r="AQ204" s="38" t="s">
        <v>390</v>
      </c>
      <c r="AV204" s="50">
        <f>AW204+AX204</f>
        <v>0</v>
      </c>
      <c r="AW204" s="50">
        <f>F204*AO204</f>
        <v>0</v>
      </c>
      <c r="AX204" s="50">
        <f>F204*AP204</f>
        <v>0</v>
      </c>
      <c r="AY204" s="38" t="s">
        <v>156</v>
      </c>
      <c r="AZ204" s="38" t="s">
        <v>258</v>
      </c>
      <c r="BA204" s="57" t="s">
        <v>571</v>
      </c>
      <c r="BC204" s="50">
        <f>AW204+AX204</f>
        <v>0</v>
      </c>
      <c r="BD204" s="50">
        <f>G204/(100-BE204)*100</f>
        <v>0</v>
      </c>
      <c r="BE204" s="50">
        <v>0</v>
      </c>
      <c r="BF204" s="50">
        <f>204</f>
        <v>204</v>
      </c>
      <c r="BH204" s="50">
        <f>F204*AO204</f>
        <v>0</v>
      </c>
      <c r="BI204" s="50">
        <f>F204*AP204</f>
        <v>0</v>
      </c>
      <c r="BJ204" s="50">
        <f>F204*G204</f>
        <v>0</v>
      </c>
      <c r="BK204" s="50"/>
      <c r="BL204" s="50"/>
      <c r="BW204" s="50">
        <v>21</v>
      </c>
    </row>
    <row r="205" spans="1:75" ht="13.5" customHeight="1" x14ac:dyDescent="0.25">
      <c r="A205" s="36" t="s">
        <v>541</v>
      </c>
      <c r="B205" s="53" t="s">
        <v>270</v>
      </c>
      <c r="C205" s="68" t="s">
        <v>348</v>
      </c>
      <c r="D205" s="69"/>
      <c r="E205" s="53" t="s">
        <v>626</v>
      </c>
      <c r="F205" s="50">
        <v>10</v>
      </c>
      <c r="G205" s="50">
        <v>0</v>
      </c>
      <c r="H205" s="50">
        <f>F205*AO205</f>
        <v>0</v>
      </c>
      <c r="I205" s="50">
        <f>F205*AP205</f>
        <v>0</v>
      </c>
      <c r="J205" s="50">
        <f>F205*G205</f>
        <v>0</v>
      </c>
      <c r="K205" s="50">
        <v>0</v>
      </c>
      <c r="L205" s="29">
        <v>0</v>
      </c>
      <c r="Z205" s="50">
        <f>IF(AQ205="5",BJ205,0)</f>
        <v>0</v>
      </c>
      <c r="AB205" s="50">
        <f>IF(AQ205="1",BH205,0)</f>
        <v>0</v>
      </c>
      <c r="AC205" s="50">
        <f>IF(AQ205="1",BI205,0)</f>
        <v>0</v>
      </c>
      <c r="AD205" s="50">
        <f>IF(AQ205="7",BH205,0)</f>
        <v>0</v>
      </c>
      <c r="AE205" s="50">
        <f>IF(AQ205="7",BI205,0)</f>
        <v>0</v>
      </c>
      <c r="AF205" s="50">
        <f>IF(AQ205="2",BH205,0)</f>
        <v>0</v>
      </c>
      <c r="AG205" s="50">
        <f>IF(AQ205="2",BI205,0)</f>
        <v>0</v>
      </c>
      <c r="AH205" s="50">
        <f>IF(AQ205="0",BJ205,0)</f>
        <v>0</v>
      </c>
      <c r="AI205" s="57" t="s">
        <v>510</v>
      </c>
      <c r="AJ205" s="50">
        <f>IF(AN205=0,J205,0)</f>
        <v>0</v>
      </c>
      <c r="AK205" s="50">
        <f>IF(AN205=15,J205,0)</f>
        <v>0</v>
      </c>
      <c r="AL205" s="50">
        <f>IF(AN205=21,J205,0)</f>
        <v>0</v>
      </c>
      <c r="AN205" s="50">
        <v>21</v>
      </c>
      <c r="AO205" s="50">
        <f>G205*0</f>
        <v>0</v>
      </c>
      <c r="AP205" s="50">
        <f>G205*(1-0)</f>
        <v>0</v>
      </c>
      <c r="AQ205" s="38" t="s">
        <v>390</v>
      </c>
      <c r="AV205" s="50">
        <f>AW205+AX205</f>
        <v>0</v>
      </c>
      <c r="AW205" s="50">
        <f>F205*AO205</f>
        <v>0</v>
      </c>
      <c r="AX205" s="50">
        <f>F205*AP205</f>
        <v>0</v>
      </c>
      <c r="AY205" s="38" t="s">
        <v>156</v>
      </c>
      <c r="AZ205" s="38" t="s">
        <v>258</v>
      </c>
      <c r="BA205" s="57" t="s">
        <v>571</v>
      </c>
      <c r="BC205" s="50">
        <f>AW205+AX205</f>
        <v>0</v>
      </c>
      <c r="BD205" s="50">
        <f>G205/(100-BE205)*100</f>
        <v>0</v>
      </c>
      <c r="BE205" s="50">
        <v>0</v>
      </c>
      <c r="BF205" s="50">
        <f>205</f>
        <v>205</v>
      </c>
      <c r="BH205" s="50">
        <f>F205*AO205</f>
        <v>0</v>
      </c>
      <c r="BI205" s="50">
        <f>F205*AP205</f>
        <v>0</v>
      </c>
      <c r="BJ205" s="50">
        <f>F205*G205</f>
        <v>0</v>
      </c>
      <c r="BK205" s="50"/>
      <c r="BL205" s="50"/>
      <c r="BW205" s="50">
        <v>21</v>
      </c>
    </row>
    <row r="206" spans="1:75" ht="13.5" customHeight="1" x14ac:dyDescent="0.25">
      <c r="A206" s="36" t="s">
        <v>694</v>
      </c>
      <c r="B206" s="53" t="s">
        <v>189</v>
      </c>
      <c r="C206" s="68" t="s">
        <v>369</v>
      </c>
      <c r="D206" s="69"/>
      <c r="E206" s="53" t="s">
        <v>331</v>
      </c>
      <c r="F206" s="50">
        <v>1</v>
      </c>
      <c r="G206" s="50">
        <v>0</v>
      </c>
      <c r="H206" s="50">
        <f>F206*AO206</f>
        <v>0</v>
      </c>
      <c r="I206" s="50">
        <f>F206*AP206</f>
        <v>0</v>
      </c>
      <c r="J206" s="50">
        <f>F206*G206</f>
        <v>0</v>
      </c>
      <c r="K206" s="50">
        <v>0</v>
      </c>
      <c r="L206" s="29">
        <v>0</v>
      </c>
      <c r="Z206" s="50">
        <f>IF(AQ206="5",BJ206,0)</f>
        <v>0</v>
      </c>
      <c r="AB206" s="50">
        <f>IF(AQ206="1",BH206,0)</f>
        <v>0</v>
      </c>
      <c r="AC206" s="50">
        <f>IF(AQ206="1",BI206,0)</f>
        <v>0</v>
      </c>
      <c r="AD206" s="50">
        <f>IF(AQ206="7",BH206,0)</f>
        <v>0</v>
      </c>
      <c r="AE206" s="50">
        <f>IF(AQ206="7",BI206,0)</f>
        <v>0</v>
      </c>
      <c r="AF206" s="50">
        <f>IF(AQ206="2",BH206,0)</f>
        <v>0</v>
      </c>
      <c r="AG206" s="50">
        <f>IF(AQ206="2",BI206,0)</f>
        <v>0</v>
      </c>
      <c r="AH206" s="50">
        <f>IF(AQ206="0",BJ206,0)</f>
        <v>0</v>
      </c>
      <c r="AI206" s="57" t="s">
        <v>510</v>
      </c>
      <c r="AJ206" s="50">
        <f>IF(AN206=0,J206,0)</f>
        <v>0</v>
      </c>
      <c r="AK206" s="50">
        <f>IF(AN206=15,J206,0)</f>
        <v>0</v>
      </c>
      <c r="AL206" s="50">
        <f>IF(AN206=21,J206,0)</f>
        <v>0</v>
      </c>
      <c r="AN206" s="50">
        <v>21</v>
      </c>
      <c r="AO206" s="50">
        <f>G206*0</f>
        <v>0</v>
      </c>
      <c r="AP206" s="50">
        <f>G206*(1-0)</f>
        <v>0</v>
      </c>
      <c r="AQ206" s="38" t="s">
        <v>390</v>
      </c>
      <c r="AV206" s="50">
        <f>AW206+AX206</f>
        <v>0</v>
      </c>
      <c r="AW206" s="50">
        <f>F206*AO206</f>
        <v>0</v>
      </c>
      <c r="AX206" s="50">
        <f>F206*AP206</f>
        <v>0</v>
      </c>
      <c r="AY206" s="38" t="s">
        <v>156</v>
      </c>
      <c r="AZ206" s="38" t="s">
        <v>258</v>
      </c>
      <c r="BA206" s="57" t="s">
        <v>571</v>
      </c>
      <c r="BC206" s="50">
        <f>AW206+AX206</f>
        <v>0</v>
      </c>
      <c r="BD206" s="50">
        <f>G206/(100-BE206)*100</f>
        <v>0</v>
      </c>
      <c r="BE206" s="50">
        <v>0</v>
      </c>
      <c r="BF206" s="50">
        <f>206</f>
        <v>206</v>
      </c>
      <c r="BH206" s="50">
        <f>F206*AO206</f>
        <v>0</v>
      </c>
      <c r="BI206" s="50">
        <f>F206*AP206</f>
        <v>0</v>
      </c>
      <c r="BJ206" s="50">
        <f>F206*G206</f>
        <v>0</v>
      </c>
      <c r="BK206" s="50"/>
      <c r="BL206" s="50"/>
      <c r="BW206" s="50">
        <v>21</v>
      </c>
    </row>
    <row r="207" spans="1:75" ht="15" customHeight="1" x14ac:dyDescent="0.25">
      <c r="A207" s="47" t="s">
        <v>510</v>
      </c>
      <c r="B207" s="35" t="s">
        <v>273</v>
      </c>
      <c r="C207" s="70" t="s">
        <v>283</v>
      </c>
      <c r="D207" s="71"/>
      <c r="E207" s="1" t="s">
        <v>686</v>
      </c>
      <c r="F207" s="1" t="s">
        <v>686</v>
      </c>
      <c r="G207" s="1" t="s">
        <v>686</v>
      </c>
      <c r="H207" s="5">
        <f>SUM(H208:H211)</f>
        <v>0</v>
      </c>
      <c r="I207" s="5">
        <f>SUM(I208:I211)</f>
        <v>0</v>
      </c>
      <c r="J207" s="5">
        <f>SUM(J208:J211)</f>
        <v>0</v>
      </c>
      <c r="K207" s="57" t="s">
        <v>510</v>
      </c>
      <c r="L207" s="7" t="s">
        <v>510</v>
      </c>
      <c r="AI207" s="57" t="s">
        <v>510</v>
      </c>
      <c r="AS207" s="5">
        <f>SUM(AJ208:AJ211)</f>
        <v>0</v>
      </c>
      <c r="AT207" s="5">
        <f>SUM(AK208:AK211)</f>
        <v>0</v>
      </c>
      <c r="AU207" s="5">
        <f>SUM(AL208:AL211)</f>
        <v>0</v>
      </c>
    </row>
    <row r="208" spans="1:75" ht="13.5" customHeight="1" x14ac:dyDescent="0.25">
      <c r="A208" s="36" t="s">
        <v>128</v>
      </c>
      <c r="B208" s="53" t="s">
        <v>27</v>
      </c>
      <c r="C208" s="68" t="s">
        <v>563</v>
      </c>
      <c r="D208" s="69"/>
      <c r="E208" s="53" t="s">
        <v>180</v>
      </c>
      <c r="F208" s="50">
        <v>2</v>
      </c>
      <c r="G208" s="50">
        <v>0</v>
      </c>
      <c r="H208" s="50">
        <f>F208*AO208</f>
        <v>0</v>
      </c>
      <c r="I208" s="50">
        <f>F208*AP208</f>
        <v>0</v>
      </c>
      <c r="J208" s="50">
        <f>F208*G208</f>
        <v>0</v>
      </c>
      <c r="K208" s="50">
        <v>0</v>
      </c>
      <c r="L208" s="29">
        <v>0</v>
      </c>
      <c r="Z208" s="50">
        <f>IF(AQ208="5",BJ208,0)</f>
        <v>0</v>
      </c>
      <c r="AB208" s="50">
        <f>IF(AQ208="1",BH208,0)</f>
        <v>0</v>
      </c>
      <c r="AC208" s="50">
        <f>IF(AQ208="1",BI208,0)</f>
        <v>0</v>
      </c>
      <c r="AD208" s="50">
        <f>IF(AQ208="7",BH208,0)</f>
        <v>0</v>
      </c>
      <c r="AE208" s="50">
        <f>IF(AQ208="7",BI208,0)</f>
        <v>0</v>
      </c>
      <c r="AF208" s="50">
        <f>IF(AQ208="2",BH208,0)</f>
        <v>0</v>
      </c>
      <c r="AG208" s="50">
        <f>IF(AQ208="2",BI208,0)</f>
        <v>0</v>
      </c>
      <c r="AH208" s="50">
        <f>IF(AQ208="0",BJ208,0)</f>
        <v>0</v>
      </c>
      <c r="AI208" s="57" t="s">
        <v>510</v>
      </c>
      <c r="AJ208" s="50">
        <f>IF(AN208=0,J208,0)</f>
        <v>0</v>
      </c>
      <c r="AK208" s="50">
        <f>IF(AN208=15,J208,0)</f>
        <v>0</v>
      </c>
      <c r="AL208" s="50">
        <f>IF(AN208=21,J208,0)</f>
        <v>0</v>
      </c>
      <c r="AN208" s="50">
        <v>21</v>
      </c>
      <c r="AO208" s="50">
        <f>G208*0</f>
        <v>0</v>
      </c>
      <c r="AP208" s="50">
        <f>G208*(1-0)</f>
        <v>0</v>
      </c>
      <c r="AQ208" s="38" t="s">
        <v>507</v>
      </c>
      <c r="AV208" s="50">
        <f>AW208+AX208</f>
        <v>0</v>
      </c>
      <c r="AW208" s="50">
        <f>F208*AO208</f>
        <v>0</v>
      </c>
      <c r="AX208" s="50">
        <f>F208*AP208</f>
        <v>0</v>
      </c>
      <c r="AY208" s="38" t="s">
        <v>73</v>
      </c>
      <c r="AZ208" s="38" t="s">
        <v>258</v>
      </c>
      <c r="BA208" s="57" t="s">
        <v>571</v>
      </c>
      <c r="BC208" s="50">
        <f>AW208+AX208</f>
        <v>0</v>
      </c>
      <c r="BD208" s="50">
        <f>G208/(100-BE208)*100</f>
        <v>0</v>
      </c>
      <c r="BE208" s="50">
        <v>0</v>
      </c>
      <c r="BF208" s="50">
        <f>208</f>
        <v>208</v>
      </c>
      <c r="BH208" s="50">
        <f>F208*AO208</f>
        <v>0</v>
      </c>
      <c r="BI208" s="50">
        <f>F208*AP208</f>
        <v>0</v>
      </c>
      <c r="BJ208" s="50">
        <f>F208*G208</f>
        <v>0</v>
      </c>
      <c r="BK208" s="50"/>
      <c r="BL208" s="50"/>
      <c r="BW208" s="50">
        <v>21</v>
      </c>
    </row>
    <row r="209" spans="1:75" ht="13.5" customHeight="1" x14ac:dyDescent="0.25">
      <c r="A209" s="36" t="s">
        <v>342</v>
      </c>
      <c r="B209" s="53" t="s">
        <v>17</v>
      </c>
      <c r="C209" s="68" t="s">
        <v>113</v>
      </c>
      <c r="D209" s="69"/>
      <c r="E209" s="53" t="s">
        <v>180</v>
      </c>
      <c r="F209" s="50">
        <v>1</v>
      </c>
      <c r="G209" s="50">
        <v>0</v>
      </c>
      <c r="H209" s="50">
        <f>F209*AO209</f>
        <v>0</v>
      </c>
      <c r="I209" s="50">
        <f>F209*AP209</f>
        <v>0</v>
      </c>
      <c r="J209" s="50">
        <f>F209*G209</f>
        <v>0</v>
      </c>
      <c r="K209" s="50">
        <v>0</v>
      </c>
      <c r="L209" s="29">
        <v>0</v>
      </c>
      <c r="Z209" s="50">
        <f>IF(AQ209="5",BJ209,0)</f>
        <v>0</v>
      </c>
      <c r="AB209" s="50">
        <f>IF(AQ209="1",BH209,0)</f>
        <v>0</v>
      </c>
      <c r="AC209" s="50">
        <f>IF(AQ209="1",BI209,0)</f>
        <v>0</v>
      </c>
      <c r="AD209" s="50">
        <f>IF(AQ209="7",BH209,0)</f>
        <v>0</v>
      </c>
      <c r="AE209" s="50">
        <f>IF(AQ209="7",BI209,0)</f>
        <v>0</v>
      </c>
      <c r="AF209" s="50">
        <f>IF(AQ209="2",BH209,0)</f>
        <v>0</v>
      </c>
      <c r="AG209" s="50">
        <f>IF(AQ209="2",BI209,0)</f>
        <v>0</v>
      </c>
      <c r="AH209" s="50">
        <f>IF(AQ209="0",BJ209,0)</f>
        <v>0</v>
      </c>
      <c r="AI209" s="57" t="s">
        <v>510</v>
      </c>
      <c r="AJ209" s="50">
        <f>IF(AN209=0,J209,0)</f>
        <v>0</v>
      </c>
      <c r="AK209" s="50">
        <f>IF(AN209=15,J209,0)</f>
        <v>0</v>
      </c>
      <c r="AL209" s="50">
        <f>IF(AN209=21,J209,0)</f>
        <v>0</v>
      </c>
      <c r="AN209" s="50">
        <v>21</v>
      </c>
      <c r="AO209" s="50">
        <f>G209*0</f>
        <v>0</v>
      </c>
      <c r="AP209" s="50">
        <f>G209*(1-0)</f>
        <v>0</v>
      </c>
      <c r="AQ209" s="38" t="s">
        <v>507</v>
      </c>
      <c r="AV209" s="50">
        <f>AW209+AX209</f>
        <v>0</v>
      </c>
      <c r="AW209" s="50">
        <f>F209*AO209</f>
        <v>0</v>
      </c>
      <c r="AX209" s="50">
        <f>F209*AP209</f>
        <v>0</v>
      </c>
      <c r="AY209" s="38" t="s">
        <v>73</v>
      </c>
      <c r="AZ209" s="38" t="s">
        <v>258</v>
      </c>
      <c r="BA209" s="57" t="s">
        <v>571</v>
      </c>
      <c r="BC209" s="50">
        <f>AW209+AX209</f>
        <v>0</v>
      </c>
      <c r="BD209" s="50">
        <f>G209/(100-BE209)*100</f>
        <v>0</v>
      </c>
      <c r="BE209" s="50">
        <v>0</v>
      </c>
      <c r="BF209" s="50">
        <f>209</f>
        <v>209</v>
      </c>
      <c r="BH209" s="50">
        <f>F209*AO209</f>
        <v>0</v>
      </c>
      <c r="BI209" s="50">
        <f>F209*AP209</f>
        <v>0</v>
      </c>
      <c r="BJ209" s="50">
        <f>F209*G209</f>
        <v>0</v>
      </c>
      <c r="BK209" s="50"/>
      <c r="BL209" s="50"/>
      <c r="BW209" s="50">
        <v>21</v>
      </c>
    </row>
    <row r="210" spans="1:75" ht="13.5" customHeight="1" x14ac:dyDescent="0.25">
      <c r="A210" s="36" t="s">
        <v>401</v>
      </c>
      <c r="B210" s="53" t="s">
        <v>645</v>
      </c>
      <c r="C210" s="68" t="s">
        <v>317</v>
      </c>
      <c r="D210" s="69"/>
      <c r="E210" s="53" t="s">
        <v>180</v>
      </c>
      <c r="F210" s="50">
        <v>1</v>
      </c>
      <c r="G210" s="50">
        <v>0</v>
      </c>
      <c r="H210" s="50">
        <f>F210*AO210</f>
        <v>0</v>
      </c>
      <c r="I210" s="50">
        <f>F210*AP210</f>
        <v>0</v>
      </c>
      <c r="J210" s="50">
        <f>F210*G210</f>
        <v>0</v>
      </c>
      <c r="K210" s="50">
        <v>0</v>
      </c>
      <c r="L210" s="29">
        <v>0</v>
      </c>
      <c r="Z210" s="50">
        <f>IF(AQ210="5",BJ210,0)</f>
        <v>0</v>
      </c>
      <c r="AB210" s="50">
        <f>IF(AQ210="1",BH210,0)</f>
        <v>0</v>
      </c>
      <c r="AC210" s="50">
        <f>IF(AQ210="1",BI210,0)</f>
        <v>0</v>
      </c>
      <c r="AD210" s="50">
        <f>IF(AQ210="7",BH210,0)</f>
        <v>0</v>
      </c>
      <c r="AE210" s="50">
        <f>IF(AQ210="7",BI210,0)</f>
        <v>0</v>
      </c>
      <c r="AF210" s="50">
        <f>IF(AQ210="2",BH210,0)</f>
        <v>0</v>
      </c>
      <c r="AG210" s="50">
        <f>IF(AQ210="2",BI210,0)</f>
        <v>0</v>
      </c>
      <c r="AH210" s="50">
        <f>IF(AQ210="0",BJ210,0)</f>
        <v>0</v>
      </c>
      <c r="AI210" s="57" t="s">
        <v>510</v>
      </c>
      <c r="AJ210" s="50">
        <f>IF(AN210=0,J210,0)</f>
        <v>0</v>
      </c>
      <c r="AK210" s="50">
        <f>IF(AN210=15,J210,0)</f>
        <v>0</v>
      </c>
      <c r="AL210" s="50">
        <f>IF(AN210=21,J210,0)</f>
        <v>0</v>
      </c>
      <c r="AN210" s="50">
        <v>21</v>
      </c>
      <c r="AO210" s="50">
        <f>G210*0</f>
        <v>0</v>
      </c>
      <c r="AP210" s="50">
        <f>G210*(1-0)</f>
        <v>0</v>
      </c>
      <c r="AQ210" s="38" t="s">
        <v>507</v>
      </c>
      <c r="AV210" s="50">
        <f>AW210+AX210</f>
        <v>0</v>
      </c>
      <c r="AW210" s="50">
        <f>F210*AO210</f>
        <v>0</v>
      </c>
      <c r="AX210" s="50">
        <f>F210*AP210</f>
        <v>0</v>
      </c>
      <c r="AY210" s="38" t="s">
        <v>73</v>
      </c>
      <c r="AZ210" s="38" t="s">
        <v>258</v>
      </c>
      <c r="BA210" s="57" t="s">
        <v>571</v>
      </c>
      <c r="BC210" s="50">
        <f>AW210+AX210</f>
        <v>0</v>
      </c>
      <c r="BD210" s="50">
        <f>G210/(100-BE210)*100</f>
        <v>0</v>
      </c>
      <c r="BE210" s="50">
        <v>0</v>
      </c>
      <c r="BF210" s="50">
        <f>210</f>
        <v>210</v>
      </c>
      <c r="BH210" s="50">
        <f>F210*AO210</f>
        <v>0</v>
      </c>
      <c r="BI210" s="50">
        <f>F210*AP210</f>
        <v>0</v>
      </c>
      <c r="BJ210" s="50">
        <f>F210*G210</f>
        <v>0</v>
      </c>
      <c r="BK210" s="50"/>
      <c r="BL210" s="50"/>
      <c r="BW210" s="50">
        <v>21</v>
      </c>
    </row>
    <row r="211" spans="1:75" ht="13.5" customHeight="1" x14ac:dyDescent="0.25">
      <c r="A211" s="36" t="s">
        <v>674</v>
      </c>
      <c r="B211" s="53" t="s">
        <v>747</v>
      </c>
      <c r="C211" s="68" t="s">
        <v>751</v>
      </c>
      <c r="D211" s="69"/>
      <c r="E211" s="53" t="s">
        <v>180</v>
      </c>
      <c r="F211" s="50">
        <v>1</v>
      </c>
      <c r="G211" s="50">
        <v>0</v>
      </c>
      <c r="H211" s="50">
        <f>F211*AO211</f>
        <v>0</v>
      </c>
      <c r="I211" s="50">
        <f>F211*AP211</f>
        <v>0</v>
      </c>
      <c r="J211" s="50">
        <f>F211*G211</f>
        <v>0</v>
      </c>
      <c r="K211" s="50">
        <v>0</v>
      </c>
      <c r="L211" s="29">
        <v>0</v>
      </c>
      <c r="Z211" s="50">
        <f>IF(AQ211="5",BJ211,0)</f>
        <v>0</v>
      </c>
      <c r="AB211" s="50">
        <f>IF(AQ211="1",BH211,0)</f>
        <v>0</v>
      </c>
      <c r="AC211" s="50">
        <f>IF(AQ211="1",BI211,0)</f>
        <v>0</v>
      </c>
      <c r="AD211" s="50">
        <f>IF(AQ211="7",BH211,0)</f>
        <v>0</v>
      </c>
      <c r="AE211" s="50">
        <f>IF(AQ211="7",BI211,0)</f>
        <v>0</v>
      </c>
      <c r="AF211" s="50">
        <f>IF(AQ211="2",BH211,0)</f>
        <v>0</v>
      </c>
      <c r="AG211" s="50">
        <f>IF(AQ211="2",BI211,0)</f>
        <v>0</v>
      </c>
      <c r="AH211" s="50">
        <f>IF(AQ211="0",BJ211,0)</f>
        <v>0</v>
      </c>
      <c r="AI211" s="57" t="s">
        <v>510</v>
      </c>
      <c r="AJ211" s="50">
        <f>IF(AN211=0,J211,0)</f>
        <v>0</v>
      </c>
      <c r="AK211" s="50">
        <f>IF(AN211=15,J211,0)</f>
        <v>0</v>
      </c>
      <c r="AL211" s="50">
        <f>IF(AN211=21,J211,0)</f>
        <v>0</v>
      </c>
      <c r="AN211" s="50">
        <v>21</v>
      </c>
      <c r="AO211" s="50">
        <f>G211*0</f>
        <v>0</v>
      </c>
      <c r="AP211" s="50">
        <f>G211*(1-0)</f>
        <v>0</v>
      </c>
      <c r="AQ211" s="38" t="s">
        <v>725</v>
      </c>
      <c r="AV211" s="50">
        <f>AW211+AX211</f>
        <v>0</v>
      </c>
      <c r="AW211" s="50">
        <f>F211*AO211</f>
        <v>0</v>
      </c>
      <c r="AX211" s="50">
        <f>F211*AP211</f>
        <v>0</v>
      </c>
      <c r="AY211" s="38" t="s">
        <v>73</v>
      </c>
      <c r="AZ211" s="38" t="s">
        <v>258</v>
      </c>
      <c r="BA211" s="57" t="s">
        <v>571</v>
      </c>
      <c r="BC211" s="50">
        <f>AW211+AX211</f>
        <v>0</v>
      </c>
      <c r="BD211" s="50">
        <f>G211/(100-BE211)*100</f>
        <v>0</v>
      </c>
      <c r="BE211" s="50">
        <v>0</v>
      </c>
      <c r="BF211" s="50">
        <f>211</f>
        <v>211</v>
      </c>
      <c r="BH211" s="50">
        <f>F211*AO211</f>
        <v>0</v>
      </c>
      <c r="BI211" s="50">
        <f>F211*AP211</f>
        <v>0</v>
      </c>
      <c r="BJ211" s="50">
        <f>F211*G211</f>
        <v>0</v>
      </c>
      <c r="BK211" s="50"/>
      <c r="BL211" s="50"/>
      <c r="BW211" s="50">
        <v>21</v>
      </c>
    </row>
    <row r="212" spans="1:75" ht="15" customHeight="1" x14ac:dyDescent="0.25">
      <c r="A212" s="47" t="s">
        <v>510</v>
      </c>
      <c r="B212" s="35" t="s">
        <v>103</v>
      </c>
      <c r="C212" s="70" t="s">
        <v>565</v>
      </c>
      <c r="D212" s="71"/>
      <c r="E212" s="1" t="s">
        <v>686</v>
      </c>
      <c r="F212" s="1" t="s">
        <v>686</v>
      </c>
      <c r="G212" s="1" t="s">
        <v>686</v>
      </c>
      <c r="H212" s="5">
        <f>SUM(H213:H242)</f>
        <v>0</v>
      </c>
      <c r="I212" s="5">
        <f>SUM(I213:I242)</f>
        <v>0</v>
      </c>
      <c r="J212" s="5">
        <f>SUM(J213:J242)</f>
        <v>0</v>
      </c>
      <c r="K212" s="57" t="s">
        <v>510</v>
      </c>
      <c r="L212" s="7" t="s">
        <v>510</v>
      </c>
      <c r="AI212" s="57" t="s">
        <v>510</v>
      </c>
      <c r="AS212" s="5">
        <f>SUM(AJ213:AJ242)</f>
        <v>0</v>
      </c>
      <c r="AT212" s="5">
        <f>SUM(AK213:AK242)</f>
        <v>0</v>
      </c>
      <c r="AU212" s="5">
        <f>SUM(AL213:AL242)</f>
        <v>0</v>
      </c>
    </row>
    <row r="213" spans="1:75" ht="13.5" customHeight="1" x14ac:dyDescent="0.25">
      <c r="A213" s="36" t="s">
        <v>743</v>
      </c>
      <c r="B213" s="53" t="s">
        <v>116</v>
      </c>
      <c r="C213" s="68" t="s">
        <v>666</v>
      </c>
      <c r="D213" s="69"/>
      <c r="E213" s="53" t="s">
        <v>180</v>
      </c>
      <c r="F213" s="50">
        <v>1</v>
      </c>
      <c r="G213" s="50">
        <v>0</v>
      </c>
      <c r="H213" s="50">
        <f t="shared" ref="H213:H242" si="180">F213*AO213</f>
        <v>0</v>
      </c>
      <c r="I213" s="50">
        <f t="shared" ref="I213:I242" si="181">F213*AP213</f>
        <v>0</v>
      </c>
      <c r="J213" s="50">
        <f t="shared" ref="J213:J242" si="182">F213*G213</f>
        <v>0</v>
      </c>
      <c r="K213" s="50">
        <v>0</v>
      </c>
      <c r="L213" s="29">
        <v>0</v>
      </c>
      <c r="Z213" s="50">
        <f t="shared" ref="Z213:Z242" si="183">IF(AQ213="5",BJ213,0)</f>
        <v>0</v>
      </c>
      <c r="AB213" s="50">
        <f t="shared" ref="AB213:AB242" si="184">IF(AQ213="1",BH213,0)</f>
        <v>0</v>
      </c>
      <c r="AC213" s="50">
        <f t="shared" ref="AC213:AC242" si="185">IF(AQ213="1",BI213,0)</f>
        <v>0</v>
      </c>
      <c r="AD213" s="50">
        <f t="shared" ref="AD213:AD242" si="186">IF(AQ213="7",BH213,0)</f>
        <v>0</v>
      </c>
      <c r="AE213" s="50">
        <f t="shared" ref="AE213:AE242" si="187">IF(AQ213="7",BI213,0)</f>
        <v>0</v>
      </c>
      <c r="AF213" s="50">
        <f t="shared" ref="AF213:AF242" si="188">IF(AQ213="2",BH213,0)</f>
        <v>0</v>
      </c>
      <c r="AG213" s="50">
        <f t="shared" ref="AG213:AG242" si="189">IF(AQ213="2",BI213,0)</f>
        <v>0</v>
      </c>
      <c r="AH213" s="50">
        <f t="shared" ref="AH213:AH242" si="190">IF(AQ213="0",BJ213,0)</f>
        <v>0</v>
      </c>
      <c r="AI213" s="57" t="s">
        <v>510</v>
      </c>
      <c r="AJ213" s="50">
        <f t="shared" ref="AJ213:AJ242" si="191">IF(AN213=0,J213,0)</f>
        <v>0</v>
      </c>
      <c r="AK213" s="50">
        <f t="shared" ref="AK213:AK242" si="192">IF(AN213=15,J213,0)</f>
        <v>0</v>
      </c>
      <c r="AL213" s="50">
        <f t="shared" ref="AL213:AL242" si="193">IF(AN213=21,J213,0)</f>
        <v>0</v>
      </c>
      <c r="AN213" s="50">
        <v>21</v>
      </c>
      <c r="AO213" s="50">
        <f>G213*0.600681044267877</f>
        <v>0</v>
      </c>
      <c r="AP213" s="50">
        <f>G213*(1-0.600681044267877)</f>
        <v>0</v>
      </c>
      <c r="AQ213" s="38" t="s">
        <v>507</v>
      </c>
      <c r="AV213" s="50">
        <f t="shared" ref="AV213:AV242" si="194">AW213+AX213</f>
        <v>0</v>
      </c>
      <c r="AW213" s="50">
        <f t="shared" ref="AW213:AW242" si="195">F213*AO213</f>
        <v>0</v>
      </c>
      <c r="AX213" s="50">
        <f t="shared" ref="AX213:AX242" si="196">F213*AP213</f>
        <v>0</v>
      </c>
      <c r="AY213" s="38" t="s">
        <v>758</v>
      </c>
      <c r="AZ213" s="38" t="s">
        <v>258</v>
      </c>
      <c r="BA213" s="57" t="s">
        <v>571</v>
      </c>
      <c r="BC213" s="50">
        <f t="shared" ref="BC213:BC242" si="197">AW213+AX213</f>
        <v>0</v>
      </c>
      <c r="BD213" s="50">
        <f t="shared" ref="BD213:BD242" si="198">G213/(100-BE213)*100</f>
        <v>0</v>
      </c>
      <c r="BE213" s="50">
        <v>0</v>
      </c>
      <c r="BF213" s="50">
        <f>213</f>
        <v>213</v>
      </c>
      <c r="BH213" s="50">
        <f t="shared" ref="BH213:BH242" si="199">F213*AO213</f>
        <v>0</v>
      </c>
      <c r="BI213" s="50">
        <f t="shared" ref="BI213:BI242" si="200">F213*AP213</f>
        <v>0</v>
      </c>
      <c r="BJ213" s="50">
        <f t="shared" ref="BJ213:BJ242" si="201">F213*G213</f>
        <v>0</v>
      </c>
      <c r="BK213" s="50"/>
      <c r="BL213" s="50"/>
      <c r="BW213" s="50">
        <v>21</v>
      </c>
    </row>
    <row r="214" spans="1:75" ht="13.5" customHeight="1" x14ac:dyDescent="0.25">
      <c r="A214" s="36" t="s">
        <v>2</v>
      </c>
      <c r="B214" s="53" t="s">
        <v>217</v>
      </c>
      <c r="C214" s="68" t="s">
        <v>361</v>
      </c>
      <c r="D214" s="69"/>
      <c r="E214" s="53" t="s">
        <v>180</v>
      </c>
      <c r="F214" s="50">
        <v>1</v>
      </c>
      <c r="G214" s="50">
        <v>0</v>
      </c>
      <c r="H214" s="50">
        <f t="shared" si="180"/>
        <v>0</v>
      </c>
      <c r="I214" s="50">
        <f t="shared" si="181"/>
        <v>0</v>
      </c>
      <c r="J214" s="50">
        <f t="shared" si="182"/>
        <v>0</v>
      </c>
      <c r="K214" s="50">
        <v>0</v>
      </c>
      <c r="L214" s="29">
        <v>0</v>
      </c>
      <c r="Z214" s="50">
        <f t="shared" si="183"/>
        <v>0</v>
      </c>
      <c r="AB214" s="50">
        <f t="shared" si="184"/>
        <v>0</v>
      </c>
      <c r="AC214" s="50">
        <f t="shared" si="185"/>
        <v>0</v>
      </c>
      <c r="AD214" s="50">
        <f t="shared" si="186"/>
        <v>0</v>
      </c>
      <c r="AE214" s="50">
        <f t="shared" si="187"/>
        <v>0</v>
      </c>
      <c r="AF214" s="50">
        <f t="shared" si="188"/>
        <v>0</v>
      </c>
      <c r="AG214" s="50">
        <f t="shared" si="189"/>
        <v>0</v>
      </c>
      <c r="AH214" s="50">
        <f t="shared" si="190"/>
        <v>0</v>
      </c>
      <c r="AI214" s="57" t="s">
        <v>510</v>
      </c>
      <c r="AJ214" s="50">
        <f t="shared" si="191"/>
        <v>0</v>
      </c>
      <c r="AK214" s="50">
        <f t="shared" si="192"/>
        <v>0</v>
      </c>
      <c r="AL214" s="50">
        <f t="shared" si="193"/>
        <v>0</v>
      </c>
      <c r="AN214" s="50">
        <v>21</v>
      </c>
      <c r="AO214" s="50">
        <f>G214*0.41497005988024</f>
        <v>0</v>
      </c>
      <c r="AP214" s="50">
        <f>G214*(1-0.41497005988024)</f>
        <v>0</v>
      </c>
      <c r="AQ214" s="38" t="s">
        <v>507</v>
      </c>
      <c r="AV214" s="50">
        <f t="shared" si="194"/>
        <v>0</v>
      </c>
      <c r="AW214" s="50">
        <f t="shared" si="195"/>
        <v>0</v>
      </c>
      <c r="AX214" s="50">
        <f t="shared" si="196"/>
        <v>0</v>
      </c>
      <c r="AY214" s="38" t="s">
        <v>758</v>
      </c>
      <c r="AZ214" s="38" t="s">
        <v>258</v>
      </c>
      <c r="BA214" s="57" t="s">
        <v>571</v>
      </c>
      <c r="BC214" s="50">
        <f t="shared" si="197"/>
        <v>0</v>
      </c>
      <c r="BD214" s="50">
        <f t="shared" si="198"/>
        <v>0</v>
      </c>
      <c r="BE214" s="50">
        <v>0</v>
      </c>
      <c r="BF214" s="50">
        <f>214</f>
        <v>214</v>
      </c>
      <c r="BH214" s="50">
        <f t="shared" si="199"/>
        <v>0</v>
      </c>
      <c r="BI214" s="50">
        <f t="shared" si="200"/>
        <v>0</v>
      </c>
      <c r="BJ214" s="50">
        <f t="shared" si="201"/>
        <v>0</v>
      </c>
      <c r="BK214" s="50"/>
      <c r="BL214" s="50"/>
      <c r="BW214" s="50">
        <v>21</v>
      </c>
    </row>
    <row r="215" spans="1:75" ht="13.5" customHeight="1" x14ac:dyDescent="0.25">
      <c r="A215" s="36" t="s">
        <v>21</v>
      </c>
      <c r="B215" s="53" t="s">
        <v>374</v>
      </c>
      <c r="C215" s="68" t="s">
        <v>739</v>
      </c>
      <c r="D215" s="69"/>
      <c r="E215" s="53" t="s">
        <v>180</v>
      </c>
      <c r="F215" s="50">
        <v>9</v>
      </c>
      <c r="G215" s="50">
        <v>0</v>
      </c>
      <c r="H215" s="50">
        <f t="shared" si="180"/>
        <v>0</v>
      </c>
      <c r="I215" s="50">
        <f t="shared" si="181"/>
        <v>0</v>
      </c>
      <c r="J215" s="50">
        <f t="shared" si="182"/>
        <v>0</v>
      </c>
      <c r="K215" s="50">
        <v>2.0000000000000001E-4</v>
      </c>
      <c r="L215" s="29">
        <v>2.0000000000000001E-4</v>
      </c>
      <c r="Z215" s="50">
        <f t="shared" si="183"/>
        <v>0</v>
      </c>
      <c r="AB215" s="50">
        <f t="shared" si="184"/>
        <v>0</v>
      </c>
      <c r="AC215" s="50">
        <f t="shared" si="185"/>
        <v>0</v>
      </c>
      <c r="AD215" s="50">
        <f t="shared" si="186"/>
        <v>0</v>
      </c>
      <c r="AE215" s="50">
        <f t="shared" si="187"/>
        <v>0</v>
      </c>
      <c r="AF215" s="50">
        <f t="shared" si="188"/>
        <v>0</v>
      </c>
      <c r="AG215" s="50">
        <f t="shared" si="189"/>
        <v>0</v>
      </c>
      <c r="AH215" s="50">
        <f t="shared" si="190"/>
        <v>0</v>
      </c>
      <c r="AI215" s="57" t="s">
        <v>510</v>
      </c>
      <c r="AJ215" s="50">
        <f t="shared" si="191"/>
        <v>0</v>
      </c>
      <c r="AK215" s="50">
        <f t="shared" si="192"/>
        <v>0</v>
      </c>
      <c r="AL215" s="50">
        <f t="shared" si="193"/>
        <v>0</v>
      </c>
      <c r="AN215" s="50">
        <v>21</v>
      </c>
      <c r="AO215" s="50">
        <f>G215*0.313682856223866</f>
        <v>0</v>
      </c>
      <c r="AP215" s="50">
        <f>G215*(1-0.313682856223866)</f>
        <v>0</v>
      </c>
      <c r="AQ215" s="38" t="s">
        <v>507</v>
      </c>
      <c r="AV215" s="50">
        <f t="shared" si="194"/>
        <v>0</v>
      </c>
      <c r="AW215" s="50">
        <f t="shared" si="195"/>
        <v>0</v>
      </c>
      <c r="AX215" s="50">
        <f t="shared" si="196"/>
        <v>0</v>
      </c>
      <c r="AY215" s="38" t="s">
        <v>758</v>
      </c>
      <c r="AZ215" s="38" t="s">
        <v>258</v>
      </c>
      <c r="BA215" s="57" t="s">
        <v>571</v>
      </c>
      <c r="BC215" s="50">
        <f t="shared" si="197"/>
        <v>0</v>
      </c>
      <c r="BD215" s="50">
        <f t="shared" si="198"/>
        <v>0</v>
      </c>
      <c r="BE215" s="50">
        <v>0</v>
      </c>
      <c r="BF215" s="50">
        <f>215</f>
        <v>215</v>
      </c>
      <c r="BH215" s="50">
        <f t="shared" si="199"/>
        <v>0</v>
      </c>
      <c r="BI215" s="50">
        <f t="shared" si="200"/>
        <v>0</v>
      </c>
      <c r="BJ215" s="50">
        <f t="shared" si="201"/>
        <v>0</v>
      </c>
      <c r="BK215" s="50"/>
      <c r="BL215" s="50"/>
      <c r="BW215" s="50">
        <v>21</v>
      </c>
    </row>
    <row r="216" spans="1:75" ht="13.5" customHeight="1" x14ac:dyDescent="0.25">
      <c r="A216" s="36" t="s">
        <v>38</v>
      </c>
      <c r="B216" s="53" t="s">
        <v>374</v>
      </c>
      <c r="C216" s="68" t="s">
        <v>82</v>
      </c>
      <c r="D216" s="69"/>
      <c r="E216" s="53" t="s">
        <v>180</v>
      </c>
      <c r="F216" s="50">
        <v>1</v>
      </c>
      <c r="G216" s="50">
        <v>0</v>
      </c>
      <c r="H216" s="50">
        <f t="shared" si="180"/>
        <v>0</v>
      </c>
      <c r="I216" s="50">
        <f t="shared" si="181"/>
        <v>0</v>
      </c>
      <c r="J216" s="50">
        <f t="shared" si="182"/>
        <v>0</v>
      </c>
      <c r="K216" s="50">
        <v>2.0000000000000001E-4</v>
      </c>
      <c r="L216" s="29">
        <v>2.0000000000000001E-4</v>
      </c>
      <c r="Z216" s="50">
        <f t="shared" si="183"/>
        <v>0</v>
      </c>
      <c r="AB216" s="50">
        <f t="shared" si="184"/>
        <v>0</v>
      </c>
      <c r="AC216" s="50">
        <f t="shared" si="185"/>
        <v>0</v>
      </c>
      <c r="AD216" s="50">
        <f t="shared" si="186"/>
        <v>0</v>
      </c>
      <c r="AE216" s="50">
        <f t="shared" si="187"/>
        <v>0</v>
      </c>
      <c r="AF216" s="50">
        <f t="shared" si="188"/>
        <v>0</v>
      </c>
      <c r="AG216" s="50">
        <f t="shared" si="189"/>
        <v>0</v>
      </c>
      <c r="AH216" s="50">
        <f t="shared" si="190"/>
        <v>0</v>
      </c>
      <c r="AI216" s="57" t="s">
        <v>510</v>
      </c>
      <c r="AJ216" s="50">
        <f t="shared" si="191"/>
        <v>0</v>
      </c>
      <c r="AK216" s="50">
        <f t="shared" si="192"/>
        <v>0</v>
      </c>
      <c r="AL216" s="50">
        <f t="shared" si="193"/>
        <v>0</v>
      </c>
      <c r="AN216" s="50">
        <v>21</v>
      </c>
      <c r="AO216" s="50">
        <f>G216*0.417936117936118</f>
        <v>0</v>
      </c>
      <c r="AP216" s="50">
        <f>G216*(1-0.417936117936118)</f>
        <v>0</v>
      </c>
      <c r="AQ216" s="38" t="s">
        <v>507</v>
      </c>
      <c r="AV216" s="50">
        <f t="shared" si="194"/>
        <v>0</v>
      </c>
      <c r="AW216" s="50">
        <f t="shared" si="195"/>
        <v>0</v>
      </c>
      <c r="AX216" s="50">
        <f t="shared" si="196"/>
        <v>0</v>
      </c>
      <c r="AY216" s="38" t="s">
        <v>758</v>
      </c>
      <c r="AZ216" s="38" t="s">
        <v>258</v>
      </c>
      <c r="BA216" s="57" t="s">
        <v>571</v>
      </c>
      <c r="BC216" s="50">
        <f t="shared" si="197"/>
        <v>0</v>
      </c>
      <c r="BD216" s="50">
        <f t="shared" si="198"/>
        <v>0</v>
      </c>
      <c r="BE216" s="50">
        <v>0</v>
      </c>
      <c r="BF216" s="50">
        <f>216</f>
        <v>216</v>
      </c>
      <c r="BH216" s="50">
        <f t="shared" si="199"/>
        <v>0</v>
      </c>
      <c r="BI216" s="50">
        <f t="shared" si="200"/>
        <v>0</v>
      </c>
      <c r="BJ216" s="50">
        <f t="shared" si="201"/>
        <v>0</v>
      </c>
      <c r="BK216" s="50"/>
      <c r="BL216" s="50"/>
      <c r="BW216" s="50">
        <v>21</v>
      </c>
    </row>
    <row r="217" spans="1:75" ht="13.5" customHeight="1" x14ac:dyDescent="0.25">
      <c r="A217" s="36" t="s">
        <v>548</v>
      </c>
      <c r="B217" s="53" t="s">
        <v>374</v>
      </c>
      <c r="C217" s="68" t="s">
        <v>726</v>
      </c>
      <c r="D217" s="69"/>
      <c r="E217" s="53" t="s">
        <v>518</v>
      </c>
      <c r="F217" s="50">
        <v>1</v>
      </c>
      <c r="G217" s="50">
        <v>0</v>
      </c>
      <c r="H217" s="50">
        <f t="shared" si="180"/>
        <v>0</v>
      </c>
      <c r="I217" s="50">
        <f t="shared" si="181"/>
        <v>0</v>
      </c>
      <c r="J217" s="50">
        <f t="shared" si="182"/>
        <v>0</v>
      </c>
      <c r="K217" s="50">
        <v>2.0000000000000001E-4</v>
      </c>
      <c r="L217" s="29">
        <v>2.0000000000000001E-4</v>
      </c>
      <c r="Z217" s="50">
        <f t="shared" si="183"/>
        <v>0</v>
      </c>
      <c r="AB217" s="50">
        <f t="shared" si="184"/>
        <v>0</v>
      </c>
      <c r="AC217" s="50">
        <f t="shared" si="185"/>
        <v>0</v>
      </c>
      <c r="AD217" s="50">
        <f t="shared" si="186"/>
        <v>0</v>
      </c>
      <c r="AE217" s="50">
        <f t="shared" si="187"/>
        <v>0</v>
      </c>
      <c r="AF217" s="50">
        <f t="shared" si="188"/>
        <v>0</v>
      </c>
      <c r="AG217" s="50">
        <f t="shared" si="189"/>
        <v>0</v>
      </c>
      <c r="AH217" s="50">
        <f t="shared" si="190"/>
        <v>0</v>
      </c>
      <c r="AI217" s="57" t="s">
        <v>510</v>
      </c>
      <c r="AJ217" s="50">
        <f t="shared" si="191"/>
        <v>0</v>
      </c>
      <c r="AK217" s="50">
        <f t="shared" si="192"/>
        <v>0</v>
      </c>
      <c r="AL217" s="50">
        <f t="shared" si="193"/>
        <v>0</v>
      </c>
      <c r="AN217" s="50">
        <v>21</v>
      </c>
      <c r="AO217" s="50">
        <f>G217*0.557262569832402</f>
        <v>0</v>
      </c>
      <c r="AP217" s="50">
        <f>G217*(1-0.557262569832402)</f>
        <v>0</v>
      </c>
      <c r="AQ217" s="38" t="s">
        <v>507</v>
      </c>
      <c r="AV217" s="50">
        <f t="shared" si="194"/>
        <v>0</v>
      </c>
      <c r="AW217" s="50">
        <f t="shared" si="195"/>
        <v>0</v>
      </c>
      <c r="AX217" s="50">
        <f t="shared" si="196"/>
        <v>0</v>
      </c>
      <c r="AY217" s="38" t="s">
        <v>758</v>
      </c>
      <c r="AZ217" s="38" t="s">
        <v>258</v>
      </c>
      <c r="BA217" s="57" t="s">
        <v>571</v>
      </c>
      <c r="BC217" s="50">
        <f t="shared" si="197"/>
        <v>0</v>
      </c>
      <c r="BD217" s="50">
        <f t="shared" si="198"/>
        <v>0</v>
      </c>
      <c r="BE217" s="50">
        <v>0</v>
      </c>
      <c r="BF217" s="50">
        <f>217</f>
        <v>217</v>
      </c>
      <c r="BH217" s="50">
        <f t="shared" si="199"/>
        <v>0</v>
      </c>
      <c r="BI217" s="50">
        <f t="shared" si="200"/>
        <v>0</v>
      </c>
      <c r="BJ217" s="50">
        <f t="shared" si="201"/>
        <v>0</v>
      </c>
      <c r="BK217" s="50"/>
      <c r="BL217" s="50"/>
      <c r="BW217" s="50">
        <v>21</v>
      </c>
    </row>
    <row r="218" spans="1:75" ht="13.5" customHeight="1" x14ac:dyDescent="0.25">
      <c r="A218" s="36" t="s">
        <v>807</v>
      </c>
      <c r="B218" s="53" t="s">
        <v>501</v>
      </c>
      <c r="C218" s="68" t="s">
        <v>806</v>
      </c>
      <c r="D218" s="69"/>
      <c r="E218" s="53" t="s">
        <v>618</v>
      </c>
      <c r="F218" s="50">
        <v>6</v>
      </c>
      <c r="G218" s="50">
        <v>0</v>
      </c>
      <c r="H218" s="50">
        <f t="shared" si="180"/>
        <v>0</v>
      </c>
      <c r="I218" s="50">
        <f t="shared" si="181"/>
        <v>0</v>
      </c>
      <c r="J218" s="50">
        <f t="shared" si="182"/>
        <v>0</v>
      </c>
      <c r="K218" s="50">
        <v>1.41E-3</v>
      </c>
      <c r="L218" s="29">
        <v>1.41E-3</v>
      </c>
      <c r="Z218" s="50">
        <f t="shared" si="183"/>
        <v>0</v>
      </c>
      <c r="AB218" s="50">
        <f t="shared" si="184"/>
        <v>0</v>
      </c>
      <c r="AC218" s="50">
        <f t="shared" si="185"/>
        <v>0</v>
      </c>
      <c r="AD218" s="50">
        <f t="shared" si="186"/>
        <v>0</v>
      </c>
      <c r="AE218" s="50">
        <f t="shared" si="187"/>
        <v>0</v>
      </c>
      <c r="AF218" s="50">
        <f t="shared" si="188"/>
        <v>0</v>
      </c>
      <c r="AG218" s="50">
        <f t="shared" si="189"/>
        <v>0</v>
      </c>
      <c r="AH218" s="50">
        <f t="shared" si="190"/>
        <v>0</v>
      </c>
      <c r="AI218" s="57" t="s">
        <v>510</v>
      </c>
      <c r="AJ218" s="50">
        <f t="shared" si="191"/>
        <v>0</v>
      </c>
      <c r="AK218" s="50">
        <f t="shared" si="192"/>
        <v>0</v>
      </c>
      <c r="AL218" s="50">
        <f t="shared" si="193"/>
        <v>0</v>
      </c>
      <c r="AN218" s="50">
        <v>21</v>
      </c>
      <c r="AO218" s="50">
        <f>G218*0.615588177339901</f>
        <v>0</v>
      </c>
      <c r="AP218" s="50">
        <f>G218*(1-0.615588177339901)</f>
        <v>0</v>
      </c>
      <c r="AQ218" s="38" t="s">
        <v>507</v>
      </c>
      <c r="AV218" s="50">
        <f t="shared" si="194"/>
        <v>0</v>
      </c>
      <c r="AW218" s="50">
        <f t="shared" si="195"/>
        <v>0</v>
      </c>
      <c r="AX218" s="50">
        <f t="shared" si="196"/>
        <v>0</v>
      </c>
      <c r="AY218" s="38" t="s">
        <v>758</v>
      </c>
      <c r="AZ218" s="38" t="s">
        <v>258</v>
      </c>
      <c r="BA218" s="57" t="s">
        <v>571</v>
      </c>
      <c r="BC218" s="50">
        <f t="shared" si="197"/>
        <v>0</v>
      </c>
      <c r="BD218" s="50">
        <f t="shared" si="198"/>
        <v>0</v>
      </c>
      <c r="BE218" s="50">
        <v>0</v>
      </c>
      <c r="BF218" s="50">
        <f>218</f>
        <v>218</v>
      </c>
      <c r="BH218" s="50">
        <f t="shared" si="199"/>
        <v>0</v>
      </c>
      <c r="BI218" s="50">
        <f t="shared" si="200"/>
        <v>0</v>
      </c>
      <c r="BJ218" s="50">
        <f t="shared" si="201"/>
        <v>0</v>
      </c>
      <c r="BK218" s="50"/>
      <c r="BL218" s="50"/>
      <c r="BW218" s="50">
        <v>21</v>
      </c>
    </row>
    <row r="219" spans="1:75" ht="13.5" customHeight="1" x14ac:dyDescent="0.25">
      <c r="A219" s="36" t="s">
        <v>202</v>
      </c>
      <c r="B219" s="53" t="s">
        <v>286</v>
      </c>
      <c r="C219" s="68" t="s">
        <v>688</v>
      </c>
      <c r="D219" s="69"/>
      <c r="E219" s="53" t="s">
        <v>618</v>
      </c>
      <c r="F219" s="50">
        <v>3</v>
      </c>
      <c r="G219" s="50">
        <v>0</v>
      </c>
      <c r="H219" s="50">
        <f t="shared" si="180"/>
        <v>0</v>
      </c>
      <c r="I219" s="50">
        <f t="shared" si="181"/>
        <v>0</v>
      </c>
      <c r="J219" s="50">
        <f t="shared" si="182"/>
        <v>0</v>
      </c>
      <c r="K219" s="50">
        <v>2.3000000000000001E-4</v>
      </c>
      <c r="L219" s="29">
        <v>2.3000000000000001E-4</v>
      </c>
      <c r="Z219" s="50">
        <f t="shared" si="183"/>
        <v>0</v>
      </c>
      <c r="AB219" s="50">
        <f t="shared" si="184"/>
        <v>0</v>
      </c>
      <c r="AC219" s="50">
        <f t="shared" si="185"/>
        <v>0</v>
      </c>
      <c r="AD219" s="50">
        <f t="shared" si="186"/>
        <v>0</v>
      </c>
      <c r="AE219" s="50">
        <f t="shared" si="187"/>
        <v>0</v>
      </c>
      <c r="AF219" s="50">
        <f t="shared" si="188"/>
        <v>0</v>
      </c>
      <c r="AG219" s="50">
        <f t="shared" si="189"/>
        <v>0</v>
      </c>
      <c r="AH219" s="50">
        <f t="shared" si="190"/>
        <v>0</v>
      </c>
      <c r="AI219" s="57" t="s">
        <v>510</v>
      </c>
      <c r="AJ219" s="50">
        <f t="shared" si="191"/>
        <v>0</v>
      </c>
      <c r="AK219" s="50">
        <f t="shared" si="192"/>
        <v>0</v>
      </c>
      <c r="AL219" s="50">
        <f t="shared" si="193"/>
        <v>0</v>
      </c>
      <c r="AN219" s="50">
        <v>21</v>
      </c>
      <c r="AO219" s="50">
        <f>G219*0.442228412256267</f>
        <v>0</v>
      </c>
      <c r="AP219" s="50">
        <f>G219*(1-0.442228412256267)</f>
        <v>0</v>
      </c>
      <c r="AQ219" s="38" t="s">
        <v>507</v>
      </c>
      <c r="AV219" s="50">
        <f t="shared" si="194"/>
        <v>0</v>
      </c>
      <c r="AW219" s="50">
        <f t="shared" si="195"/>
        <v>0</v>
      </c>
      <c r="AX219" s="50">
        <f t="shared" si="196"/>
        <v>0</v>
      </c>
      <c r="AY219" s="38" t="s">
        <v>758</v>
      </c>
      <c r="AZ219" s="38" t="s">
        <v>258</v>
      </c>
      <c r="BA219" s="57" t="s">
        <v>571</v>
      </c>
      <c r="BC219" s="50">
        <f t="shared" si="197"/>
        <v>0</v>
      </c>
      <c r="BD219" s="50">
        <f t="shared" si="198"/>
        <v>0</v>
      </c>
      <c r="BE219" s="50">
        <v>0</v>
      </c>
      <c r="BF219" s="50">
        <f>219</f>
        <v>219</v>
      </c>
      <c r="BH219" s="50">
        <f t="shared" si="199"/>
        <v>0</v>
      </c>
      <c r="BI219" s="50">
        <f t="shared" si="200"/>
        <v>0</v>
      </c>
      <c r="BJ219" s="50">
        <f t="shared" si="201"/>
        <v>0</v>
      </c>
      <c r="BK219" s="50"/>
      <c r="BL219" s="50"/>
      <c r="BW219" s="50">
        <v>21</v>
      </c>
    </row>
    <row r="220" spans="1:75" ht="13.5" customHeight="1" x14ac:dyDescent="0.25">
      <c r="A220" s="36" t="s">
        <v>46</v>
      </c>
      <c r="B220" s="53" t="s">
        <v>610</v>
      </c>
      <c r="C220" s="68" t="s">
        <v>614</v>
      </c>
      <c r="D220" s="69"/>
      <c r="E220" s="53" t="s">
        <v>618</v>
      </c>
      <c r="F220" s="50">
        <v>70</v>
      </c>
      <c r="G220" s="50">
        <v>0</v>
      </c>
      <c r="H220" s="50">
        <f t="shared" si="180"/>
        <v>0</v>
      </c>
      <c r="I220" s="50">
        <f t="shared" si="181"/>
        <v>0</v>
      </c>
      <c r="J220" s="50">
        <f t="shared" si="182"/>
        <v>0</v>
      </c>
      <c r="K220" s="50">
        <v>0</v>
      </c>
      <c r="L220" s="29">
        <v>0</v>
      </c>
      <c r="Z220" s="50">
        <f t="shared" si="183"/>
        <v>0</v>
      </c>
      <c r="AB220" s="50">
        <f t="shared" si="184"/>
        <v>0</v>
      </c>
      <c r="AC220" s="50">
        <f t="shared" si="185"/>
        <v>0</v>
      </c>
      <c r="AD220" s="50">
        <f t="shared" si="186"/>
        <v>0</v>
      </c>
      <c r="AE220" s="50">
        <f t="shared" si="187"/>
        <v>0</v>
      </c>
      <c r="AF220" s="50">
        <f t="shared" si="188"/>
        <v>0</v>
      </c>
      <c r="AG220" s="50">
        <f t="shared" si="189"/>
        <v>0</v>
      </c>
      <c r="AH220" s="50">
        <f t="shared" si="190"/>
        <v>0</v>
      </c>
      <c r="AI220" s="57" t="s">
        <v>510</v>
      </c>
      <c r="AJ220" s="50">
        <f t="shared" si="191"/>
        <v>0</v>
      </c>
      <c r="AK220" s="50">
        <f t="shared" si="192"/>
        <v>0</v>
      </c>
      <c r="AL220" s="50">
        <f t="shared" si="193"/>
        <v>0</v>
      </c>
      <c r="AN220" s="50">
        <v>21</v>
      </c>
      <c r="AO220" s="50">
        <f>G220*0.587494628276751</f>
        <v>0</v>
      </c>
      <c r="AP220" s="50">
        <f>G220*(1-0.587494628276751)</f>
        <v>0</v>
      </c>
      <c r="AQ220" s="38" t="s">
        <v>507</v>
      </c>
      <c r="AV220" s="50">
        <f t="shared" si="194"/>
        <v>0</v>
      </c>
      <c r="AW220" s="50">
        <f t="shared" si="195"/>
        <v>0</v>
      </c>
      <c r="AX220" s="50">
        <f t="shared" si="196"/>
        <v>0</v>
      </c>
      <c r="AY220" s="38" t="s">
        <v>758</v>
      </c>
      <c r="AZ220" s="38" t="s">
        <v>258</v>
      </c>
      <c r="BA220" s="57" t="s">
        <v>571</v>
      </c>
      <c r="BC220" s="50">
        <f t="shared" si="197"/>
        <v>0</v>
      </c>
      <c r="BD220" s="50">
        <f t="shared" si="198"/>
        <v>0</v>
      </c>
      <c r="BE220" s="50">
        <v>0</v>
      </c>
      <c r="BF220" s="50">
        <f>220</f>
        <v>220</v>
      </c>
      <c r="BH220" s="50">
        <f t="shared" si="199"/>
        <v>0</v>
      </c>
      <c r="BI220" s="50">
        <f t="shared" si="200"/>
        <v>0</v>
      </c>
      <c r="BJ220" s="50">
        <f t="shared" si="201"/>
        <v>0</v>
      </c>
      <c r="BK220" s="50"/>
      <c r="BL220" s="50"/>
      <c r="BW220" s="50">
        <v>21</v>
      </c>
    </row>
    <row r="221" spans="1:75" ht="13.5" customHeight="1" x14ac:dyDescent="0.25">
      <c r="A221" s="36" t="s">
        <v>107</v>
      </c>
      <c r="B221" s="53" t="s">
        <v>497</v>
      </c>
      <c r="C221" s="68" t="s">
        <v>654</v>
      </c>
      <c r="D221" s="69"/>
      <c r="E221" s="53" t="s">
        <v>618</v>
      </c>
      <c r="F221" s="50">
        <v>15</v>
      </c>
      <c r="G221" s="50">
        <v>0</v>
      </c>
      <c r="H221" s="50">
        <f t="shared" si="180"/>
        <v>0</v>
      </c>
      <c r="I221" s="50">
        <f t="shared" si="181"/>
        <v>0</v>
      </c>
      <c r="J221" s="50">
        <f t="shared" si="182"/>
        <v>0</v>
      </c>
      <c r="K221" s="50">
        <v>2.5000000000000001E-4</v>
      </c>
      <c r="L221" s="29">
        <v>2.5000000000000001E-4</v>
      </c>
      <c r="Z221" s="50">
        <f t="shared" si="183"/>
        <v>0</v>
      </c>
      <c r="AB221" s="50">
        <f t="shared" si="184"/>
        <v>0</v>
      </c>
      <c r="AC221" s="50">
        <f t="shared" si="185"/>
        <v>0</v>
      </c>
      <c r="AD221" s="50">
        <f t="shared" si="186"/>
        <v>0</v>
      </c>
      <c r="AE221" s="50">
        <f t="shared" si="187"/>
        <v>0</v>
      </c>
      <c r="AF221" s="50">
        <f t="shared" si="188"/>
        <v>0</v>
      </c>
      <c r="AG221" s="50">
        <f t="shared" si="189"/>
        <v>0</v>
      </c>
      <c r="AH221" s="50">
        <f t="shared" si="190"/>
        <v>0</v>
      </c>
      <c r="AI221" s="57" t="s">
        <v>510</v>
      </c>
      <c r="AJ221" s="50">
        <f t="shared" si="191"/>
        <v>0</v>
      </c>
      <c r="AK221" s="50">
        <f t="shared" si="192"/>
        <v>0</v>
      </c>
      <c r="AL221" s="50">
        <f t="shared" si="193"/>
        <v>0</v>
      </c>
      <c r="AN221" s="50">
        <v>21</v>
      </c>
      <c r="AO221" s="50">
        <f>G221*0.43740581270183</f>
        <v>0</v>
      </c>
      <c r="AP221" s="50">
        <f>G221*(1-0.43740581270183)</f>
        <v>0</v>
      </c>
      <c r="AQ221" s="38" t="s">
        <v>507</v>
      </c>
      <c r="AV221" s="50">
        <f t="shared" si="194"/>
        <v>0</v>
      </c>
      <c r="AW221" s="50">
        <f t="shared" si="195"/>
        <v>0</v>
      </c>
      <c r="AX221" s="50">
        <f t="shared" si="196"/>
        <v>0</v>
      </c>
      <c r="AY221" s="38" t="s">
        <v>758</v>
      </c>
      <c r="AZ221" s="38" t="s">
        <v>258</v>
      </c>
      <c r="BA221" s="57" t="s">
        <v>571</v>
      </c>
      <c r="BC221" s="50">
        <f t="shared" si="197"/>
        <v>0</v>
      </c>
      <c r="BD221" s="50">
        <f t="shared" si="198"/>
        <v>0</v>
      </c>
      <c r="BE221" s="50">
        <v>0</v>
      </c>
      <c r="BF221" s="50">
        <f>221</f>
        <v>221</v>
      </c>
      <c r="BH221" s="50">
        <f t="shared" si="199"/>
        <v>0</v>
      </c>
      <c r="BI221" s="50">
        <f t="shared" si="200"/>
        <v>0</v>
      </c>
      <c r="BJ221" s="50">
        <f t="shared" si="201"/>
        <v>0</v>
      </c>
      <c r="BK221" s="50"/>
      <c r="BL221" s="50"/>
      <c r="BW221" s="50">
        <v>21</v>
      </c>
    </row>
    <row r="222" spans="1:75" ht="13.5" customHeight="1" x14ac:dyDescent="0.25">
      <c r="A222" s="36" t="s">
        <v>680</v>
      </c>
      <c r="B222" s="53" t="s">
        <v>144</v>
      </c>
      <c r="C222" s="68" t="s">
        <v>637</v>
      </c>
      <c r="D222" s="69"/>
      <c r="E222" s="53" t="s">
        <v>618</v>
      </c>
      <c r="F222" s="50">
        <v>70</v>
      </c>
      <c r="G222" s="50">
        <v>0</v>
      </c>
      <c r="H222" s="50">
        <f t="shared" si="180"/>
        <v>0</v>
      </c>
      <c r="I222" s="50">
        <f t="shared" si="181"/>
        <v>0</v>
      </c>
      <c r="J222" s="50">
        <f t="shared" si="182"/>
        <v>0</v>
      </c>
      <c r="K222" s="50">
        <v>0</v>
      </c>
      <c r="L222" s="29">
        <v>0</v>
      </c>
      <c r="Z222" s="50">
        <f t="shared" si="183"/>
        <v>0</v>
      </c>
      <c r="AB222" s="50">
        <f t="shared" si="184"/>
        <v>0</v>
      </c>
      <c r="AC222" s="50">
        <f t="shared" si="185"/>
        <v>0</v>
      </c>
      <c r="AD222" s="50">
        <f t="shared" si="186"/>
        <v>0</v>
      </c>
      <c r="AE222" s="50">
        <f t="shared" si="187"/>
        <v>0</v>
      </c>
      <c r="AF222" s="50">
        <f t="shared" si="188"/>
        <v>0</v>
      </c>
      <c r="AG222" s="50">
        <f t="shared" si="189"/>
        <v>0</v>
      </c>
      <c r="AH222" s="50">
        <f t="shared" si="190"/>
        <v>0</v>
      </c>
      <c r="AI222" s="57" t="s">
        <v>510</v>
      </c>
      <c r="AJ222" s="50">
        <f t="shared" si="191"/>
        <v>0</v>
      </c>
      <c r="AK222" s="50">
        <f t="shared" si="192"/>
        <v>0</v>
      </c>
      <c r="AL222" s="50">
        <f t="shared" si="193"/>
        <v>0</v>
      </c>
      <c r="AN222" s="50">
        <v>21</v>
      </c>
      <c r="AO222" s="50">
        <f>G222*0.544573735454761</f>
        <v>0</v>
      </c>
      <c r="AP222" s="50">
        <f>G222*(1-0.544573735454761)</f>
        <v>0</v>
      </c>
      <c r="AQ222" s="38" t="s">
        <v>507</v>
      </c>
      <c r="AV222" s="50">
        <f t="shared" si="194"/>
        <v>0</v>
      </c>
      <c r="AW222" s="50">
        <f t="shared" si="195"/>
        <v>0</v>
      </c>
      <c r="AX222" s="50">
        <f t="shared" si="196"/>
        <v>0</v>
      </c>
      <c r="AY222" s="38" t="s">
        <v>758</v>
      </c>
      <c r="AZ222" s="38" t="s">
        <v>258</v>
      </c>
      <c r="BA222" s="57" t="s">
        <v>571</v>
      </c>
      <c r="BC222" s="50">
        <f t="shared" si="197"/>
        <v>0</v>
      </c>
      <c r="BD222" s="50">
        <f t="shared" si="198"/>
        <v>0</v>
      </c>
      <c r="BE222" s="50">
        <v>0</v>
      </c>
      <c r="BF222" s="50">
        <f>222</f>
        <v>222</v>
      </c>
      <c r="BH222" s="50">
        <f t="shared" si="199"/>
        <v>0</v>
      </c>
      <c r="BI222" s="50">
        <f t="shared" si="200"/>
        <v>0</v>
      </c>
      <c r="BJ222" s="50">
        <f t="shared" si="201"/>
        <v>0</v>
      </c>
      <c r="BK222" s="50"/>
      <c r="BL222" s="50"/>
      <c r="BW222" s="50">
        <v>21</v>
      </c>
    </row>
    <row r="223" spans="1:75" ht="13.5" customHeight="1" x14ac:dyDescent="0.25">
      <c r="A223" s="36" t="s">
        <v>441</v>
      </c>
      <c r="B223" s="53" t="s">
        <v>380</v>
      </c>
      <c r="C223" s="68" t="s">
        <v>628</v>
      </c>
      <c r="D223" s="69"/>
      <c r="E223" s="53" t="s">
        <v>180</v>
      </c>
      <c r="F223" s="50">
        <v>8</v>
      </c>
      <c r="G223" s="50">
        <v>0</v>
      </c>
      <c r="H223" s="50">
        <f t="shared" si="180"/>
        <v>0</v>
      </c>
      <c r="I223" s="50">
        <f t="shared" si="181"/>
        <v>0</v>
      </c>
      <c r="J223" s="50">
        <f t="shared" si="182"/>
        <v>0</v>
      </c>
      <c r="K223" s="50">
        <v>0</v>
      </c>
      <c r="L223" s="29">
        <v>0</v>
      </c>
      <c r="Z223" s="50">
        <f t="shared" si="183"/>
        <v>0</v>
      </c>
      <c r="AB223" s="50">
        <f t="shared" si="184"/>
        <v>0</v>
      </c>
      <c r="AC223" s="50">
        <f t="shared" si="185"/>
        <v>0</v>
      </c>
      <c r="AD223" s="50">
        <f t="shared" si="186"/>
        <v>0</v>
      </c>
      <c r="AE223" s="50">
        <f t="shared" si="187"/>
        <v>0</v>
      </c>
      <c r="AF223" s="50">
        <f t="shared" si="188"/>
        <v>0</v>
      </c>
      <c r="AG223" s="50">
        <f t="shared" si="189"/>
        <v>0</v>
      </c>
      <c r="AH223" s="50">
        <f t="shared" si="190"/>
        <v>0</v>
      </c>
      <c r="AI223" s="57" t="s">
        <v>510</v>
      </c>
      <c r="AJ223" s="50">
        <f t="shared" si="191"/>
        <v>0</v>
      </c>
      <c r="AK223" s="50">
        <f t="shared" si="192"/>
        <v>0</v>
      </c>
      <c r="AL223" s="50">
        <f t="shared" si="193"/>
        <v>0</v>
      </c>
      <c r="AN223" s="50">
        <v>21</v>
      </c>
      <c r="AO223" s="50">
        <f>G223*0.202937542896362</f>
        <v>0</v>
      </c>
      <c r="AP223" s="50">
        <f>G223*(1-0.202937542896362)</f>
        <v>0</v>
      </c>
      <c r="AQ223" s="38" t="s">
        <v>507</v>
      </c>
      <c r="AV223" s="50">
        <f t="shared" si="194"/>
        <v>0</v>
      </c>
      <c r="AW223" s="50">
        <f t="shared" si="195"/>
        <v>0</v>
      </c>
      <c r="AX223" s="50">
        <f t="shared" si="196"/>
        <v>0</v>
      </c>
      <c r="AY223" s="38" t="s">
        <v>758</v>
      </c>
      <c r="AZ223" s="38" t="s">
        <v>258</v>
      </c>
      <c r="BA223" s="57" t="s">
        <v>571</v>
      </c>
      <c r="BC223" s="50">
        <f t="shared" si="197"/>
        <v>0</v>
      </c>
      <c r="BD223" s="50">
        <f t="shared" si="198"/>
        <v>0</v>
      </c>
      <c r="BE223" s="50">
        <v>0</v>
      </c>
      <c r="BF223" s="50">
        <f>223</f>
        <v>223</v>
      </c>
      <c r="BH223" s="50">
        <f t="shared" si="199"/>
        <v>0</v>
      </c>
      <c r="BI223" s="50">
        <f t="shared" si="200"/>
        <v>0</v>
      </c>
      <c r="BJ223" s="50">
        <f t="shared" si="201"/>
        <v>0</v>
      </c>
      <c r="BK223" s="50"/>
      <c r="BL223" s="50"/>
      <c r="BW223" s="50">
        <v>21</v>
      </c>
    </row>
    <row r="224" spans="1:75" ht="27" customHeight="1" x14ac:dyDescent="0.25">
      <c r="A224" s="36" t="s">
        <v>201</v>
      </c>
      <c r="B224" s="53" t="s">
        <v>591</v>
      </c>
      <c r="C224" s="68" t="s">
        <v>340</v>
      </c>
      <c r="D224" s="69"/>
      <c r="E224" s="53" t="s">
        <v>180</v>
      </c>
      <c r="F224" s="50">
        <v>30</v>
      </c>
      <c r="G224" s="50">
        <v>0</v>
      </c>
      <c r="H224" s="50">
        <f t="shared" si="180"/>
        <v>0</v>
      </c>
      <c r="I224" s="50">
        <f t="shared" si="181"/>
        <v>0</v>
      </c>
      <c r="J224" s="50">
        <f t="shared" si="182"/>
        <v>0</v>
      </c>
      <c r="K224" s="50">
        <v>0</v>
      </c>
      <c r="L224" s="29">
        <v>0</v>
      </c>
      <c r="Z224" s="50">
        <f t="shared" si="183"/>
        <v>0</v>
      </c>
      <c r="AB224" s="50">
        <f t="shared" si="184"/>
        <v>0</v>
      </c>
      <c r="AC224" s="50">
        <f t="shared" si="185"/>
        <v>0</v>
      </c>
      <c r="AD224" s="50">
        <f t="shared" si="186"/>
        <v>0</v>
      </c>
      <c r="AE224" s="50">
        <f t="shared" si="187"/>
        <v>0</v>
      </c>
      <c r="AF224" s="50">
        <f t="shared" si="188"/>
        <v>0</v>
      </c>
      <c r="AG224" s="50">
        <f t="shared" si="189"/>
        <v>0</v>
      </c>
      <c r="AH224" s="50">
        <f t="shared" si="190"/>
        <v>0</v>
      </c>
      <c r="AI224" s="57" t="s">
        <v>510</v>
      </c>
      <c r="AJ224" s="50">
        <f t="shared" si="191"/>
        <v>0</v>
      </c>
      <c r="AK224" s="50">
        <f t="shared" si="192"/>
        <v>0</v>
      </c>
      <c r="AL224" s="50">
        <f t="shared" si="193"/>
        <v>0</v>
      </c>
      <c r="AN224" s="50">
        <v>21</v>
      </c>
      <c r="AO224" s="50">
        <f>G224*0.0253674825741611</f>
        <v>0</v>
      </c>
      <c r="AP224" s="50">
        <f>G224*(1-0.0253674825741611)</f>
        <v>0</v>
      </c>
      <c r="AQ224" s="38" t="s">
        <v>507</v>
      </c>
      <c r="AV224" s="50">
        <f t="shared" si="194"/>
        <v>0</v>
      </c>
      <c r="AW224" s="50">
        <f t="shared" si="195"/>
        <v>0</v>
      </c>
      <c r="AX224" s="50">
        <f t="shared" si="196"/>
        <v>0</v>
      </c>
      <c r="AY224" s="38" t="s">
        <v>758</v>
      </c>
      <c r="AZ224" s="38" t="s">
        <v>258</v>
      </c>
      <c r="BA224" s="57" t="s">
        <v>571</v>
      </c>
      <c r="BC224" s="50">
        <f t="shared" si="197"/>
        <v>0</v>
      </c>
      <c r="BD224" s="50">
        <f t="shared" si="198"/>
        <v>0</v>
      </c>
      <c r="BE224" s="50">
        <v>0</v>
      </c>
      <c r="BF224" s="50">
        <f>224</f>
        <v>224</v>
      </c>
      <c r="BH224" s="50">
        <f t="shared" si="199"/>
        <v>0</v>
      </c>
      <c r="BI224" s="50">
        <f t="shared" si="200"/>
        <v>0</v>
      </c>
      <c r="BJ224" s="50">
        <f t="shared" si="201"/>
        <v>0</v>
      </c>
      <c r="BK224" s="50"/>
      <c r="BL224" s="50"/>
      <c r="BW224" s="50">
        <v>21</v>
      </c>
    </row>
    <row r="225" spans="1:75" ht="13.5" customHeight="1" x14ac:dyDescent="0.25">
      <c r="A225" s="36" t="s">
        <v>606</v>
      </c>
      <c r="B225" s="53" t="s">
        <v>212</v>
      </c>
      <c r="C225" s="68" t="s">
        <v>100</v>
      </c>
      <c r="D225" s="69"/>
      <c r="E225" s="53" t="s">
        <v>180</v>
      </c>
      <c r="F225" s="50">
        <v>1</v>
      </c>
      <c r="G225" s="50">
        <v>0</v>
      </c>
      <c r="H225" s="50">
        <f t="shared" si="180"/>
        <v>0</v>
      </c>
      <c r="I225" s="50">
        <f t="shared" si="181"/>
        <v>0</v>
      </c>
      <c r="J225" s="50">
        <f t="shared" si="182"/>
        <v>0</v>
      </c>
      <c r="K225" s="50">
        <v>1E-3</v>
      </c>
      <c r="L225" s="29">
        <v>1E-3</v>
      </c>
      <c r="Z225" s="50">
        <f t="shared" si="183"/>
        <v>0</v>
      </c>
      <c r="AB225" s="50">
        <f t="shared" si="184"/>
        <v>0</v>
      </c>
      <c r="AC225" s="50">
        <f t="shared" si="185"/>
        <v>0</v>
      </c>
      <c r="AD225" s="50">
        <f t="shared" si="186"/>
        <v>0</v>
      </c>
      <c r="AE225" s="50">
        <f t="shared" si="187"/>
        <v>0</v>
      </c>
      <c r="AF225" s="50">
        <f t="shared" si="188"/>
        <v>0</v>
      </c>
      <c r="AG225" s="50">
        <f t="shared" si="189"/>
        <v>0</v>
      </c>
      <c r="AH225" s="50">
        <f t="shared" si="190"/>
        <v>0</v>
      </c>
      <c r="AI225" s="57" t="s">
        <v>510</v>
      </c>
      <c r="AJ225" s="50">
        <f t="shared" si="191"/>
        <v>0</v>
      </c>
      <c r="AK225" s="50">
        <f t="shared" si="192"/>
        <v>0</v>
      </c>
      <c r="AL225" s="50">
        <f t="shared" si="193"/>
        <v>0</v>
      </c>
      <c r="AN225" s="50">
        <v>21</v>
      </c>
      <c r="AO225" s="50">
        <f>G225*0.855581318317324</f>
        <v>0</v>
      </c>
      <c r="AP225" s="50">
        <f>G225*(1-0.855581318317324)</f>
        <v>0</v>
      </c>
      <c r="AQ225" s="38" t="s">
        <v>507</v>
      </c>
      <c r="AV225" s="50">
        <f t="shared" si="194"/>
        <v>0</v>
      </c>
      <c r="AW225" s="50">
        <f t="shared" si="195"/>
        <v>0</v>
      </c>
      <c r="AX225" s="50">
        <f t="shared" si="196"/>
        <v>0</v>
      </c>
      <c r="AY225" s="38" t="s">
        <v>758</v>
      </c>
      <c r="AZ225" s="38" t="s">
        <v>258</v>
      </c>
      <c r="BA225" s="57" t="s">
        <v>571</v>
      </c>
      <c r="BC225" s="50">
        <f t="shared" si="197"/>
        <v>0</v>
      </c>
      <c r="BD225" s="50">
        <f t="shared" si="198"/>
        <v>0</v>
      </c>
      <c r="BE225" s="50">
        <v>0</v>
      </c>
      <c r="BF225" s="50">
        <f>225</f>
        <v>225</v>
      </c>
      <c r="BH225" s="50">
        <f t="shared" si="199"/>
        <v>0</v>
      </c>
      <c r="BI225" s="50">
        <f t="shared" si="200"/>
        <v>0</v>
      </c>
      <c r="BJ225" s="50">
        <f t="shared" si="201"/>
        <v>0</v>
      </c>
      <c r="BK225" s="50"/>
      <c r="BL225" s="50"/>
      <c r="BW225" s="50">
        <v>21</v>
      </c>
    </row>
    <row r="226" spans="1:75" ht="13.5" customHeight="1" x14ac:dyDescent="0.25">
      <c r="A226" s="36" t="s">
        <v>759</v>
      </c>
      <c r="B226" s="53" t="s">
        <v>689</v>
      </c>
      <c r="C226" s="68" t="s">
        <v>92</v>
      </c>
      <c r="D226" s="69"/>
      <c r="E226" s="53" t="s">
        <v>180</v>
      </c>
      <c r="F226" s="50">
        <v>1</v>
      </c>
      <c r="G226" s="50">
        <v>0</v>
      </c>
      <c r="H226" s="50">
        <f t="shared" si="180"/>
        <v>0</v>
      </c>
      <c r="I226" s="50">
        <f t="shared" si="181"/>
        <v>0</v>
      </c>
      <c r="J226" s="50">
        <f t="shared" si="182"/>
        <v>0</v>
      </c>
      <c r="K226" s="50">
        <v>1E-3</v>
      </c>
      <c r="L226" s="29">
        <v>1E-3</v>
      </c>
      <c r="Z226" s="50">
        <f t="shared" si="183"/>
        <v>0</v>
      </c>
      <c r="AB226" s="50">
        <f t="shared" si="184"/>
        <v>0</v>
      </c>
      <c r="AC226" s="50">
        <f t="shared" si="185"/>
        <v>0</v>
      </c>
      <c r="AD226" s="50">
        <f t="shared" si="186"/>
        <v>0</v>
      </c>
      <c r="AE226" s="50">
        <f t="shared" si="187"/>
        <v>0</v>
      </c>
      <c r="AF226" s="50">
        <f t="shared" si="188"/>
        <v>0</v>
      </c>
      <c r="AG226" s="50">
        <f t="shared" si="189"/>
        <v>0</v>
      </c>
      <c r="AH226" s="50">
        <f t="shared" si="190"/>
        <v>0</v>
      </c>
      <c r="AI226" s="57" t="s">
        <v>510</v>
      </c>
      <c r="AJ226" s="50">
        <f t="shared" si="191"/>
        <v>0</v>
      </c>
      <c r="AK226" s="50">
        <f t="shared" si="192"/>
        <v>0</v>
      </c>
      <c r="AL226" s="50">
        <f t="shared" si="193"/>
        <v>0</v>
      </c>
      <c r="AN226" s="50">
        <v>21</v>
      </c>
      <c r="AO226" s="50">
        <f>G226*0.918209067066317</f>
        <v>0</v>
      </c>
      <c r="AP226" s="50">
        <f>G226*(1-0.918209067066317)</f>
        <v>0</v>
      </c>
      <c r="AQ226" s="38" t="s">
        <v>507</v>
      </c>
      <c r="AV226" s="50">
        <f t="shared" si="194"/>
        <v>0</v>
      </c>
      <c r="AW226" s="50">
        <f t="shared" si="195"/>
        <v>0</v>
      </c>
      <c r="AX226" s="50">
        <f t="shared" si="196"/>
        <v>0</v>
      </c>
      <c r="AY226" s="38" t="s">
        <v>758</v>
      </c>
      <c r="AZ226" s="38" t="s">
        <v>258</v>
      </c>
      <c r="BA226" s="57" t="s">
        <v>571</v>
      </c>
      <c r="BC226" s="50">
        <f t="shared" si="197"/>
        <v>0</v>
      </c>
      <c r="BD226" s="50">
        <f t="shared" si="198"/>
        <v>0</v>
      </c>
      <c r="BE226" s="50">
        <v>0</v>
      </c>
      <c r="BF226" s="50">
        <f>226</f>
        <v>226</v>
      </c>
      <c r="BH226" s="50">
        <f t="shared" si="199"/>
        <v>0</v>
      </c>
      <c r="BI226" s="50">
        <f t="shared" si="200"/>
        <v>0</v>
      </c>
      <c r="BJ226" s="50">
        <f t="shared" si="201"/>
        <v>0</v>
      </c>
      <c r="BK226" s="50"/>
      <c r="BL226" s="50"/>
      <c r="BW226" s="50">
        <v>21</v>
      </c>
    </row>
    <row r="227" spans="1:75" ht="13.5" customHeight="1" x14ac:dyDescent="0.25">
      <c r="A227" s="36" t="s">
        <v>173</v>
      </c>
      <c r="B227" s="53" t="s">
        <v>461</v>
      </c>
      <c r="C227" s="68" t="s">
        <v>448</v>
      </c>
      <c r="D227" s="69"/>
      <c r="E227" s="53" t="s">
        <v>250</v>
      </c>
      <c r="F227" s="50">
        <v>1</v>
      </c>
      <c r="G227" s="50">
        <v>0</v>
      </c>
      <c r="H227" s="50">
        <f t="shared" si="180"/>
        <v>0</v>
      </c>
      <c r="I227" s="50">
        <f t="shared" si="181"/>
        <v>0</v>
      </c>
      <c r="J227" s="50">
        <f t="shared" si="182"/>
        <v>0</v>
      </c>
      <c r="K227" s="50">
        <v>0.01</v>
      </c>
      <c r="L227" s="29">
        <v>0.01</v>
      </c>
      <c r="Z227" s="50">
        <f t="shared" si="183"/>
        <v>0</v>
      </c>
      <c r="AB227" s="50">
        <f t="shared" si="184"/>
        <v>0</v>
      </c>
      <c r="AC227" s="50">
        <f t="shared" si="185"/>
        <v>0</v>
      </c>
      <c r="AD227" s="50">
        <f t="shared" si="186"/>
        <v>0</v>
      </c>
      <c r="AE227" s="50">
        <f t="shared" si="187"/>
        <v>0</v>
      </c>
      <c r="AF227" s="50">
        <f t="shared" si="188"/>
        <v>0</v>
      </c>
      <c r="AG227" s="50">
        <f t="shared" si="189"/>
        <v>0</v>
      </c>
      <c r="AH227" s="50">
        <f t="shared" si="190"/>
        <v>0</v>
      </c>
      <c r="AI227" s="57" t="s">
        <v>510</v>
      </c>
      <c r="AJ227" s="50">
        <f t="shared" si="191"/>
        <v>0</v>
      </c>
      <c r="AK227" s="50">
        <f t="shared" si="192"/>
        <v>0</v>
      </c>
      <c r="AL227" s="50">
        <f t="shared" si="193"/>
        <v>0</v>
      </c>
      <c r="AN227" s="50">
        <v>21</v>
      </c>
      <c r="AO227" s="50">
        <f>G227*0.634034766697164</f>
        <v>0</v>
      </c>
      <c r="AP227" s="50">
        <f>G227*(1-0.634034766697164)</f>
        <v>0</v>
      </c>
      <c r="AQ227" s="38" t="s">
        <v>507</v>
      </c>
      <c r="AV227" s="50">
        <f t="shared" si="194"/>
        <v>0</v>
      </c>
      <c r="AW227" s="50">
        <f t="shared" si="195"/>
        <v>0</v>
      </c>
      <c r="AX227" s="50">
        <f t="shared" si="196"/>
        <v>0</v>
      </c>
      <c r="AY227" s="38" t="s">
        <v>758</v>
      </c>
      <c r="AZ227" s="38" t="s">
        <v>258</v>
      </c>
      <c r="BA227" s="57" t="s">
        <v>571</v>
      </c>
      <c r="BC227" s="50">
        <f t="shared" si="197"/>
        <v>0</v>
      </c>
      <c r="BD227" s="50">
        <f t="shared" si="198"/>
        <v>0</v>
      </c>
      <c r="BE227" s="50">
        <v>0</v>
      </c>
      <c r="BF227" s="50">
        <f>227</f>
        <v>227</v>
      </c>
      <c r="BH227" s="50">
        <f t="shared" si="199"/>
        <v>0</v>
      </c>
      <c r="BI227" s="50">
        <f t="shared" si="200"/>
        <v>0</v>
      </c>
      <c r="BJ227" s="50">
        <f t="shared" si="201"/>
        <v>0</v>
      </c>
      <c r="BK227" s="50"/>
      <c r="BL227" s="50"/>
      <c r="BW227" s="50">
        <v>21</v>
      </c>
    </row>
    <row r="228" spans="1:75" ht="13.5" customHeight="1" x14ac:dyDescent="0.25">
      <c r="A228" s="36" t="s">
        <v>784</v>
      </c>
      <c r="B228" s="53" t="s">
        <v>623</v>
      </c>
      <c r="C228" s="68" t="s">
        <v>820</v>
      </c>
      <c r="D228" s="69"/>
      <c r="E228" s="53" t="s">
        <v>180</v>
      </c>
      <c r="F228" s="50">
        <v>1</v>
      </c>
      <c r="G228" s="50">
        <v>0</v>
      </c>
      <c r="H228" s="50">
        <f t="shared" si="180"/>
        <v>0</v>
      </c>
      <c r="I228" s="50">
        <f t="shared" si="181"/>
        <v>0</v>
      </c>
      <c r="J228" s="50">
        <f t="shared" si="182"/>
        <v>0</v>
      </c>
      <c r="K228" s="50">
        <v>1E-3</v>
      </c>
      <c r="L228" s="29">
        <v>1E-3</v>
      </c>
      <c r="Z228" s="50">
        <f t="shared" si="183"/>
        <v>0</v>
      </c>
      <c r="AB228" s="50">
        <f t="shared" si="184"/>
        <v>0</v>
      </c>
      <c r="AC228" s="50">
        <f t="shared" si="185"/>
        <v>0</v>
      </c>
      <c r="AD228" s="50">
        <f t="shared" si="186"/>
        <v>0</v>
      </c>
      <c r="AE228" s="50">
        <f t="shared" si="187"/>
        <v>0</v>
      </c>
      <c r="AF228" s="50">
        <f t="shared" si="188"/>
        <v>0</v>
      </c>
      <c r="AG228" s="50">
        <f t="shared" si="189"/>
        <v>0</v>
      </c>
      <c r="AH228" s="50">
        <f t="shared" si="190"/>
        <v>0</v>
      </c>
      <c r="AI228" s="57" t="s">
        <v>510</v>
      </c>
      <c r="AJ228" s="50">
        <f t="shared" si="191"/>
        <v>0</v>
      </c>
      <c r="AK228" s="50">
        <f t="shared" si="192"/>
        <v>0</v>
      </c>
      <c r="AL228" s="50">
        <f t="shared" si="193"/>
        <v>0</v>
      </c>
      <c r="AN228" s="50">
        <v>21</v>
      </c>
      <c r="AO228" s="50">
        <f>G228*0.83036187113857</f>
        <v>0</v>
      </c>
      <c r="AP228" s="50">
        <f>G228*(1-0.83036187113857)</f>
        <v>0</v>
      </c>
      <c r="AQ228" s="38" t="s">
        <v>507</v>
      </c>
      <c r="AV228" s="50">
        <f t="shared" si="194"/>
        <v>0</v>
      </c>
      <c r="AW228" s="50">
        <f t="shared" si="195"/>
        <v>0</v>
      </c>
      <c r="AX228" s="50">
        <f t="shared" si="196"/>
        <v>0</v>
      </c>
      <c r="AY228" s="38" t="s">
        <v>758</v>
      </c>
      <c r="AZ228" s="38" t="s">
        <v>258</v>
      </c>
      <c r="BA228" s="57" t="s">
        <v>571</v>
      </c>
      <c r="BC228" s="50">
        <f t="shared" si="197"/>
        <v>0</v>
      </c>
      <c r="BD228" s="50">
        <f t="shared" si="198"/>
        <v>0</v>
      </c>
      <c r="BE228" s="50">
        <v>0</v>
      </c>
      <c r="BF228" s="50">
        <f>228</f>
        <v>228</v>
      </c>
      <c r="BH228" s="50">
        <f t="shared" si="199"/>
        <v>0</v>
      </c>
      <c r="BI228" s="50">
        <f t="shared" si="200"/>
        <v>0</v>
      </c>
      <c r="BJ228" s="50">
        <f t="shared" si="201"/>
        <v>0</v>
      </c>
      <c r="BK228" s="50"/>
      <c r="BL228" s="50"/>
      <c r="BW228" s="50">
        <v>21</v>
      </c>
    </row>
    <row r="229" spans="1:75" ht="13.5" customHeight="1" x14ac:dyDescent="0.25">
      <c r="A229" s="36" t="s">
        <v>225</v>
      </c>
      <c r="B229" s="53" t="s">
        <v>634</v>
      </c>
      <c r="C229" s="68" t="s">
        <v>281</v>
      </c>
      <c r="D229" s="69"/>
      <c r="E229" s="53" t="s">
        <v>180</v>
      </c>
      <c r="F229" s="50">
        <v>1</v>
      </c>
      <c r="G229" s="50">
        <v>0</v>
      </c>
      <c r="H229" s="50">
        <f t="shared" si="180"/>
        <v>0</v>
      </c>
      <c r="I229" s="50">
        <f t="shared" si="181"/>
        <v>0</v>
      </c>
      <c r="J229" s="50">
        <f t="shared" si="182"/>
        <v>0</v>
      </c>
      <c r="K229" s="50">
        <v>0</v>
      </c>
      <c r="L229" s="29">
        <v>0</v>
      </c>
      <c r="Z229" s="50">
        <f t="shared" si="183"/>
        <v>0</v>
      </c>
      <c r="AB229" s="50">
        <f t="shared" si="184"/>
        <v>0</v>
      </c>
      <c r="AC229" s="50">
        <f t="shared" si="185"/>
        <v>0</v>
      </c>
      <c r="AD229" s="50">
        <f t="shared" si="186"/>
        <v>0</v>
      </c>
      <c r="AE229" s="50">
        <f t="shared" si="187"/>
        <v>0</v>
      </c>
      <c r="AF229" s="50">
        <f t="shared" si="188"/>
        <v>0</v>
      </c>
      <c r="AG229" s="50">
        <f t="shared" si="189"/>
        <v>0</v>
      </c>
      <c r="AH229" s="50">
        <f t="shared" si="190"/>
        <v>0</v>
      </c>
      <c r="AI229" s="57" t="s">
        <v>510</v>
      </c>
      <c r="AJ229" s="50">
        <f t="shared" si="191"/>
        <v>0</v>
      </c>
      <c r="AK229" s="50">
        <f t="shared" si="192"/>
        <v>0</v>
      </c>
      <c r="AL229" s="50">
        <f t="shared" si="193"/>
        <v>0</v>
      </c>
      <c r="AN229" s="50">
        <v>21</v>
      </c>
      <c r="AO229" s="50">
        <f>G229*0.52160136286201</f>
        <v>0</v>
      </c>
      <c r="AP229" s="50">
        <f>G229*(1-0.52160136286201)</f>
        <v>0</v>
      </c>
      <c r="AQ229" s="38" t="s">
        <v>507</v>
      </c>
      <c r="AV229" s="50">
        <f t="shared" si="194"/>
        <v>0</v>
      </c>
      <c r="AW229" s="50">
        <f t="shared" si="195"/>
        <v>0</v>
      </c>
      <c r="AX229" s="50">
        <f t="shared" si="196"/>
        <v>0</v>
      </c>
      <c r="AY229" s="38" t="s">
        <v>758</v>
      </c>
      <c r="AZ229" s="38" t="s">
        <v>258</v>
      </c>
      <c r="BA229" s="57" t="s">
        <v>571</v>
      </c>
      <c r="BC229" s="50">
        <f t="shared" si="197"/>
        <v>0</v>
      </c>
      <c r="BD229" s="50">
        <f t="shared" si="198"/>
        <v>0</v>
      </c>
      <c r="BE229" s="50">
        <v>0</v>
      </c>
      <c r="BF229" s="50">
        <f>229</f>
        <v>229</v>
      </c>
      <c r="BH229" s="50">
        <f t="shared" si="199"/>
        <v>0</v>
      </c>
      <c r="BI229" s="50">
        <f t="shared" si="200"/>
        <v>0</v>
      </c>
      <c r="BJ229" s="50">
        <f t="shared" si="201"/>
        <v>0</v>
      </c>
      <c r="BK229" s="50"/>
      <c r="BL229" s="50"/>
      <c r="BW229" s="50">
        <v>21</v>
      </c>
    </row>
    <row r="230" spans="1:75" ht="13.5" customHeight="1" x14ac:dyDescent="0.25">
      <c r="A230" s="36" t="s">
        <v>601</v>
      </c>
      <c r="B230" s="53" t="s">
        <v>205</v>
      </c>
      <c r="C230" s="68" t="s">
        <v>513</v>
      </c>
      <c r="D230" s="69"/>
      <c r="E230" s="53" t="s">
        <v>180</v>
      </c>
      <c r="F230" s="50">
        <v>2</v>
      </c>
      <c r="G230" s="50">
        <v>0</v>
      </c>
      <c r="H230" s="50">
        <f t="shared" si="180"/>
        <v>0</v>
      </c>
      <c r="I230" s="50">
        <f t="shared" si="181"/>
        <v>0</v>
      </c>
      <c r="J230" s="50">
        <f t="shared" si="182"/>
        <v>0</v>
      </c>
      <c r="K230" s="50">
        <v>1.8000000000000001E-4</v>
      </c>
      <c r="L230" s="29">
        <v>1.8000000000000001E-4</v>
      </c>
      <c r="Z230" s="50">
        <f t="shared" si="183"/>
        <v>0</v>
      </c>
      <c r="AB230" s="50">
        <f t="shared" si="184"/>
        <v>0</v>
      </c>
      <c r="AC230" s="50">
        <f t="shared" si="185"/>
        <v>0</v>
      </c>
      <c r="AD230" s="50">
        <f t="shared" si="186"/>
        <v>0</v>
      </c>
      <c r="AE230" s="50">
        <f t="shared" si="187"/>
        <v>0</v>
      </c>
      <c r="AF230" s="50">
        <f t="shared" si="188"/>
        <v>0</v>
      </c>
      <c r="AG230" s="50">
        <f t="shared" si="189"/>
        <v>0</v>
      </c>
      <c r="AH230" s="50">
        <f t="shared" si="190"/>
        <v>0</v>
      </c>
      <c r="AI230" s="57" t="s">
        <v>510</v>
      </c>
      <c r="AJ230" s="50">
        <f t="shared" si="191"/>
        <v>0</v>
      </c>
      <c r="AK230" s="50">
        <f t="shared" si="192"/>
        <v>0</v>
      </c>
      <c r="AL230" s="50">
        <f t="shared" si="193"/>
        <v>0</v>
      </c>
      <c r="AN230" s="50">
        <v>21</v>
      </c>
      <c r="AO230" s="50">
        <f>G230*0.271004331210191</f>
        <v>0</v>
      </c>
      <c r="AP230" s="50">
        <f>G230*(1-0.271004331210191)</f>
        <v>0</v>
      </c>
      <c r="AQ230" s="38" t="s">
        <v>507</v>
      </c>
      <c r="AV230" s="50">
        <f t="shared" si="194"/>
        <v>0</v>
      </c>
      <c r="AW230" s="50">
        <f t="shared" si="195"/>
        <v>0</v>
      </c>
      <c r="AX230" s="50">
        <f t="shared" si="196"/>
        <v>0</v>
      </c>
      <c r="AY230" s="38" t="s">
        <v>758</v>
      </c>
      <c r="AZ230" s="38" t="s">
        <v>258</v>
      </c>
      <c r="BA230" s="57" t="s">
        <v>571</v>
      </c>
      <c r="BC230" s="50">
        <f t="shared" si="197"/>
        <v>0</v>
      </c>
      <c r="BD230" s="50">
        <f t="shared" si="198"/>
        <v>0</v>
      </c>
      <c r="BE230" s="50">
        <v>0</v>
      </c>
      <c r="BF230" s="50">
        <f>230</f>
        <v>230</v>
      </c>
      <c r="BH230" s="50">
        <f t="shared" si="199"/>
        <v>0</v>
      </c>
      <c r="BI230" s="50">
        <f t="shared" si="200"/>
        <v>0</v>
      </c>
      <c r="BJ230" s="50">
        <f t="shared" si="201"/>
        <v>0</v>
      </c>
      <c r="BK230" s="50"/>
      <c r="BL230" s="50"/>
      <c r="BW230" s="50">
        <v>21</v>
      </c>
    </row>
    <row r="231" spans="1:75" ht="13.5" customHeight="1" x14ac:dyDescent="0.25">
      <c r="A231" s="36" t="s">
        <v>388</v>
      </c>
      <c r="B231" s="53" t="s">
        <v>526</v>
      </c>
      <c r="C231" s="68" t="s">
        <v>190</v>
      </c>
      <c r="D231" s="69"/>
      <c r="E231" s="53" t="s">
        <v>618</v>
      </c>
      <c r="F231" s="50">
        <v>20</v>
      </c>
      <c r="G231" s="50">
        <v>0</v>
      </c>
      <c r="H231" s="50">
        <f t="shared" si="180"/>
        <v>0</v>
      </c>
      <c r="I231" s="50">
        <f t="shared" si="181"/>
        <v>0</v>
      </c>
      <c r="J231" s="50">
        <f t="shared" si="182"/>
        <v>0</v>
      </c>
      <c r="K231" s="50">
        <v>6.0000000000000002E-5</v>
      </c>
      <c r="L231" s="29">
        <v>6.0000000000000002E-5</v>
      </c>
      <c r="Z231" s="50">
        <f t="shared" si="183"/>
        <v>0</v>
      </c>
      <c r="AB231" s="50">
        <f t="shared" si="184"/>
        <v>0</v>
      </c>
      <c r="AC231" s="50">
        <f t="shared" si="185"/>
        <v>0</v>
      </c>
      <c r="AD231" s="50">
        <f t="shared" si="186"/>
        <v>0</v>
      </c>
      <c r="AE231" s="50">
        <f t="shared" si="187"/>
        <v>0</v>
      </c>
      <c r="AF231" s="50">
        <f t="shared" si="188"/>
        <v>0</v>
      </c>
      <c r="AG231" s="50">
        <f t="shared" si="189"/>
        <v>0</v>
      </c>
      <c r="AH231" s="50">
        <f t="shared" si="190"/>
        <v>0</v>
      </c>
      <c r="AI231" s="57" t="s">
        <v>510</v>
      </c>
      <c r="AJ231" s="50">
        <f t="shared" si="191"/>
        <v>0</v>
      </c>
      <c r="AK231" s="50">
        <f t="shared" si="192"/>
        <v>0</v>
      </c>
      <c r="AL231" s="50">
        <f t="shared" si="193"/>
        <v>0</v>
      </c>
      <c r="AN231" s="50">
        <v>21</v>
      </c>
      <c r="AO231" s="50">
        <f>G231*0.236655367231638</f>
        <v>0</v>
      </c>
      <c r="AP231" s="50">
        <f>G231*(1-0.236655367231638)</f>
        <v>0</v>
      </c>
      <c r="AQ231" s="38" t="s">
        <v>507</v>
      </c>
      <c r="AV231" s="50">
        <f t="shared" si="194"/>
        <v>0</v>
      </c>
      <c r="AW231" s="50">
        <f t="shared" si="195"/>
        <v>0</v>
      </c>
      <c r="AX231" s="50">
        <f t="shared" si="196"/>
        <v>0</v>
      </c>
      <c r="AY231" s="38" t="s">
        <v>758</v>
      </c>
      <c r="AZ231" s="38" t="s">
        <v>258</v>
      </c>
      <c r="BA231" s="57" t="s">
        <v>571</v>
      </c>
      <c r="BC231" s="50">
        <f t="shared" si="197"/>
        <v>0</v>
      </c>
      <c r="BD231" s="50">
        <f t="shared" si="198"/>
        <v>0</v>
      </c>
      <c r="BE231" s="50">
        <v>0</v>
      </c>
      <c r="BF231" s="50">
        <f>231</f>
        <v>231</v>
      </c>
      <c r="BH231" s="50">
        <f t="shared" si="199"/>
        <v>0</v>
      </c>
      <c r="BI231" s="50">
        <f t="shared" si="200"/>
        <v>0</v>
      </c>
      <c r="BJ231" s="50">
        <f t="shared" si="201"/>
        <v>0</v>
      </c>
      <c r="BK231" s="50"/>
      <c r="BL231" s="50"/>
      <c r="BW231" s="50">
        <v>21</v>
      </c>
    </row>
    <row r="232" spans="1:75" ht="13.5" customHeight="1" x14ac:dyDescent="0.25">
      <c r="A232" s="36" t="s">
        <v>13</v>
      </c>
      <c r="B232" s="53" t="s">
        <v>343</v>
      </c>
      <c r="C232" s="68" t="s">
        <v>257</v>
      </c>
      <c r="D232" s="69"/>
      <c r="E232" s="53" t="s">
        <v>180</v>
      </c>
      <c r="F232" s="50">
        <v>1</v>
      </c>
      <c r="G232" s="50">
        <v>0</v>
      </c>
      <c r="H232" s="50">
        <f t="shared" si="180"/>
        <v>0</v>
      </c>
      <c r="I232" s="50">
        <f t="shared" si="181"/>
        <v>0</v>
      </c>
      <c r="J232" s="50">
        <f t="shared" si="182"/>
        <v>0</v>
      </c>
      <c r="K232" s="50">
        <v>1E-4</v>
      </c>
      <c r="L232" s="29">
        <v>1E-4</v>
      </c>
      <c r="Z232" s="50">
        <f t="shared" si="183"/>
        <v>0</v>
      </c>
      <c r="AB232" s="50">
        <f t="shared" si="184"/>
        <v>0</v>
      </c>
      <c r="AC232" s="50">
        <f t="shared" si="185"/>
        <v>0</v>
      </c>
      <c r="AD232" s="50">
        <f t="shared" si="186"/>
        <v>0</v>
      </c>
      <c r="AE232" s="50">
        <f t="shared" si="187"/>
        <v>0</v>
      </c>
      <c r="AF232" s="50">
        <f t="shared" si="188"/>
        <v>0</v>
      </c>
      <c r="AG232" s="50">
        <f t="shared" si="189"/>
        <v>0</v>
      </c>
      <c r="AH232" s="50">
        <f t="shared" si="190"/>
        <v>0</v>
      </c>
      <c r="AI232" s="57" t="s">
        <v>510</v>
      </c>
      <c r="AJ232" s="50">
        <f t="shared" si="191"/>
        <v>0</v>
      </c>
      <c r="AK232" s="50">
        <f t="shared" si="192"/>
        <v>0</v>
      </c>
      <c r="AL232" s="50">
        <f t="shared" si="193"/>
        <v>0</v>
      </c>
      <c r="AN232" s="50">
        <v>21</v>
      </c>
      <c r="AO232" s="50">
        <f>G232*0.757081545064378</f>
        <v>0</v>
      </c>
      <c r="AP232" s="50">
        <f>G232*(1-0.757081545064378)</f>
        <v>0</v>
      </c>
      <c r="AQ232" s="38" t="s">
        <v>507</v>
      </c>
      <c r="AV232" s="50">
        <f t="shared" si="194"/>
        <v>0</v>
      </c>
      <c r="AW232" s="50">
        <f t="shared" si="195"/>
        <v>0</v>
      </c>
      <c r="AX232" s="50">
        <f t="shared" si="196"/>
        <v>0</v>
      </c>
      <c r="AY232" s="38" t="s">
        <v>758</v>
      </c>
      <c r="AZ232" s="38" t="s">
        <v>258</v>
      </c>
      <c r="BA232" s="57" t="s">
        <v>571</v>
      </c>
      <c r="BC232" s="50">
        <f t="shared" si="197"/>
        <v>0</v>
      </c>
      <c r="BD232" s="50">
        <f t="shared" si="198"/>
        <v>0</v>
      </c>
      <c r="BE232" s="50">
        <v>0</v>
      </c>
      <c r="BF232" s="50">
        <f>232</f>
        <v>232</v>
      </c>
      <c r="BH232" s="50">
        <f t="shared" si="199"/>
        <v>0</v>
      </c>
      <c r="BI232" s="50">
        <f t="shared" si="200"/>
        <v>0</v>
      </c>
      <c r="BJ232" s="50">
        <f t="shared" si="201"/>
        <v>0</v>
      </c>
      <c r="BK232" s="50"/>
      <c r="BL232" s="50"/>
      <c r="BW232" s="50">
        <v>21</v>
      </c>
    </row>
    <row r="233" spans="1:75" ht="27" customHeight="1" x14ac:dyDescent="0.25">
      <c r="A233" s="36" t="s">
        <v>552</v>
      </c>
      <c r="B233" s="53" t="s">
        <v>461</v>
      </c>
      <c r="C233" s="68" t="s">
        <v>87</v>
      </c>
      <c r="D233" s="69"/>
      <c r="E233" s="53" t="s">
        <v>180</v>
      </c>
      <c r="F233" s="50">
        <v>1</v>
      </c>
      <c r="G233" s="50">
        <v>0</v>
      </c>
      <c r="H233" s="50">
        <f t="shared" si="180"/>
        <v>0</v>
      </c>
      <c r="I233" s="50">
        <f t="shared" si="181"/>
        <v>0</v>
      </c>
      <c r="J233" s="50">
        <f t="shared" si="182"/>
        <v>0</v>
      </c>
      <c r="K233" s="50">
        <v>0.01</v>
      </c>
      <c r="L233" s="29">
        <v>0.01</v>
      </c>
      <c r="Z233" s="50">
        <f t="shared" si="183"/>
        <v>0</v>
      </c>
      <c r="AB233" s="50">
        <f t="shared" si="184"/>
        <v>0</v>
      </c>
      <c r="AC233" s="50">
        <f t="shared" si="185"/>
        <v>0</v>
      </c>
      <c r="AD233" s="50">
        <f t="shared" si="186"/>
        <v>0</v>
      </c>
      <c r="AE233" s="50">
        <f t="shared" si="187"/>
        <v>0</v>
      </c>
      <c r="AF233" s="50">
        <f t="shared" si="188"/>
        <v>0</v>
      </c>
      <c r="AG233" s="50">
        <f t="shared" si="189"/>
        <v>0</v>
      </c>
      <c r="AH233" s="50">
        <f t="shared" si="190"/>
        <v>0</v>
      </c>
      <c r="AI233" s="57" t="s">
        <v>510</v>
      </c>
      <c r="AJ233" s="50">
        <f t="shared" si="191"/>
        <v>0</v>
      </c>
      <c r="AK233" s="50">
        <f t="shared" si="192"/>
        <v>0</v>
      </c>
      <c r="AL233" s="50">
        <f t="shared" si="193"/>
        <v>0</v>
      </c>
      <c r="AN233" s="50">
        <v>21</v>
      </c>
      <c r="AO233" s="50">
        <f>G233*0.0980291345329906</f>
        <v>0</v>
      </c>
      <c r="AP233" s="50">
        <f>G233*(1-0.0980291345329906)</f>
        <v>0</v>
      </c>
      <c r="AQ233" s="38" t="s">
        <v>507</v>
      </c>
      <c r="AV233" s="50">
        <f t="shared" si="194"/>
        <v>0</v>
      </c>
      <c r="AW233" s="50">
        <f t="shared" si="195"/>
        <v>0</v>
      </c>
      <c r="AX233" s="50">
        <f t="shared" si="196"/>
        <v>0</v>
      </c>
      <c r="AY233" s="38" t="s">
        <v>758</v>
      </c>
      <c r="AZ233" s="38" t="s">
        <v>258</v>
      </c>
      <c r="BA233" s="57" t="s">
        <v>571</v>
      </c>
      <c r="BC233" s="50">
        <f t="shared" si="197"/>
        <v>0</v>
      </c>
      <c r="BD233" s="50">
        <f t="shared" si="198"/>
        <v>0</v>
      </c>
      <c r="BE233" s="50">
        <v>0</v>
      </c>
      <c r="BF233" s="50">
        <f>233</f>
        <v>233</v>
      </c>
      <c r="BH233" s="50">
        <f t="shared" si="199"/>
        <v>0</v>
      </c>
      <c r="BI233" s="50">
        <f t="shared" si="200"/>
        <v>0</v>
      </c>
      <c r="BJ233" s="50">
        <f t="shared" si="201"/>
        <v>0</v>
      </c>
      <c r="BK233" s="50"/>
      <c r="BL233" s="50"/>
      <c r="BW233" s="50">
        <v>21</v>
      </c>
    </row>
    <row r="234" spans="1:75" ht="13.5" customHeight="1" x14ac:dyDescent="0.25">
      <c r="A234" s="36" t="s">
        <v>787</v>
      </c>
      <c r="B234" s="53" t="s">
        <v>229</v>
      </c>
      <c r="C234" s="68" t="s">
        <v>409</v>
      </c>
      <c r="D234" s="69"/>
      <c r="E234" s="53" t="s">
        <v>180</v>
      </c>
      <c r="F234" s="50">
        <v>40</v>
      </c>
      <c r="G234" s="50">
        <v>0</v>
      </c>
      <c r="H234" s="50">
        <f t="shared" si="180"/>
        <v>0</v>
      </c>
      <c r="I234" s="50">
        <f t="shared" si="181"/>
        <v>0</v>
      </c>
      <c r="J234" s="50">
        <f t="shared" si="182"/>
        <v>0</v>
      </c>
      <c r="K234" s="50">
        <v>1.0000000000000001E-5</v>
      </c>
      <c r="L234" s="29">
        <v>1.0000000000000001E-5</v>
      </c>
      <c r="Z234" s="50">
        <f t="shared" si="183"/>
        <v>0</v>
      </c>
      <c r="AB234" s="50">
        <f t="shared" si="184"/>
        <v>0</v>
      </c>
      <c r="AC234" s="50">
        <f t="shared" si="185"/>
        <v>0</v>
      </c>
      <c r="AD234" s="50">
        <f t="shared" si="186"/>
        <v>0</v>
      </c>
      <c r="AE234" s="50">
        <f t="shared" si="187"/>
        <v>0</v>
      </c>
      <c r="AF234" s="50">
        <f t="shared" si="188"/>
        <v>0</v>
      </c>
      <c r="AG234" s="50">
        <f t="shared" si="189"/>
        <v>0</v>
      </c>
      <c r="AH234" s="50">
        <f t="shared" si="190"/>
        <v>0</v>
      </c>
      <c r="AI234" s="57" t="s">
        <v>510</v>
      </c>
      <c r="AJ234" s="50">
        <f t="shared" si="191"/>
        <v>0</v>
      </c>
      <c r="AK234" s="50">
        <f t="shared" si="192"/>
        <v>0</v>
      </c>
      <c r="AL234" s="50">
        <f t="shared" si="193"/>
        <v>0</v>
      </c>
      <c r="AN234" s="50">
        <v>21</v>
      </c>
      <c r="AO234" s="50">
        <f>G234*0.316659512195122</f>
        <v>0</v>
      </c>
      <c r="AP234" s="50">
        <f>G234*(1-0.316659512195122)</f>
        <v>0</v>
      </c>
      <c r="AQ234" s="38" t="s">
        <v>507</v>
      </c>
      <c r="AV234" s="50">
        <f t="shared" si="194"/>
        <v>0</v>
      </c>
      <c r="AW234" s="50">
        <f t="shared" si="195"/>
        <v>0</v>
      </c>
      <c r="AX234" s="50">
        <f t="shared" si="196"/>
        <v>0</v>
      </c>
      <c r="AY234" s="38" t="s">
        <v>758</v>
      </c>
      <c r="AZ234" s="38" t="s">
        <v>258</v>
      </c>
      <c r="BA234" s="57" t="s">
        <v>571</v>
      </c>
      <c r="BC234" s="50">
        <f t="shared" si="197"/>
        <v>0</v>
      </c>
      <c r="BD234" s="50">
        <f t="shared" si="198"/>
        <v>0</v>
      </c>
      <c r="BE234" s="50">
        <v>0</v>
      </c>
      <c r="BF234" s="50">
        <f>234</f>
        <v>234</v>
      </c>
      <c r="BH234" s="50">
        <f t="shared" si="199"/>
        <v>0</v>
      </c>
      <c r="BI234" s="50">
        <f t="shared" si="200"/>
        <v>0</v>
      </c>
      <c r="BJ234" s="50">
        <f t="shared" si="201"/>
        <v>0</v>
      </c>
      <c r="BK234" s="50"/>
      <c r="BL234" s="50"/>
      <c r="BW234" s="50">
        <v>21</v>
      </c>
    </row>
    <row r="235" spans="1:75" ht="13.5" customHeight="1" x14ac:dyDescent="0.25">
      <c r="A235" s="36" t="s">
        <v>720</v>
      </c>
      <c r="B235" s="53" t="s">
        <v>359</v>
      </c>
      <c r="C235" s="68" t="s">
        <v>352</v>
      </c>
      <c r="D235" s="69"/>
      <c r="E235" s="53" t="s">
        <v>180</v>
      </c>
      <c r="F235" s="50">
        <v>1</v>
      </c>
      <c r="G235" s="50">
        <v>0</v>
      </c>
      <c r="H235" s="50">
        <f t="shared" si="180"/>
        <v>0</v>
      </c>
      <c r="I235" s="50">
        <f t="shared" si="181"/>
        <v>0</v>
      </c>
      <c r="J235" s="50">
        <f t="shared" si="182"/>
        <v>0</v>
      </c>
      <c r="K235" s="50">
        <v>1E-3</v>
      </c>
      <c r="L235" s="29">
        <v>1E-3</v>
      </c>
      <c r="Z235" s="50">
        <f t="shared" si="183"/>
        <v>0</v>
      </c>
      <c r="AB235" s="50">
        <f t="shared" si="184"/>
        <v>0</v>
      </c>
      <c r="AC235" s="50">
        <f t="shared" si="185"/>
        <v>0</v>
      </c>
      <c r="AD235" s="50">
        <f t="shared" si="186"/>
        <v>0</v>
      </c>
      <c r="AE235" s="50">
        <f t="shared" si="187"/>
        <v>0</v>
      </c>
      <c r="AF235" s="50">
        <f t="shared" si="188"/>
        <v>0</v>
      </c>
      <c r="AG235" s="50">
        <f t="shared" si="189"/>
        <v>0</v>
      </c>
      <c r="AH235" s="50">
        <f t="shared" si="190"/>
        <v>0</v>
      </c>
      <c r="AI235" s="57" t="s">
        <v>510</v>
      </c>
      <c r="AJ235" s="50">
        <f t="shared" si="191"/>
        <v>0</v>
      </c>
      <c r="AK235" s="50">
        <f t="shared" si="192"/>
        <v>0</v>
      </c>
      <c r="AL235" s="50">
        <f t="shared" si="193"/>
        <v>0</v>
      </c>
      <c r="AN235" s="50">
        <v>21</v>
      </c>
      <c r="AO235" s="50">
        <f>G235*1</f>
        <v>0</v>
      </c>
      <c r="AP235" s="50">
        <f>G235*(1-1)</f>
        <v>0</v>
      </c>
      <c r="AQ235" s="38" t="s">
        <v>725</v>
      </c>
      <c r="AV235" s="50">
        <f t="shared" si="194"/>
        <v>0</v>
      </c>
      <c r="AW235" s="50">
        <f t="shared" si="195"/>
        <v>0</v>
      </c>
      <c r="AX235" s="50">
        <f t="shared" si="196"/>
        <v>0</v>
      </c>
      <c r="AY235" s="38" t="s">
        <v>758</v>
      </c>
      <c r="AZ235" s="38" t="s">
        <v>258</v>
      </c>
      <c r="BA235" s="57" t="s">
        <v>571</v>
      </c>
      <c r="BC235" s="50">
        <f t="shared" si="197"/>
        <v>0</v>
      </c>
      <c r="BD235" s="50">
        <f t="shared" si="198"/>
        <v>0</v>
      </c>
      <c r="BE235" s="50">
        <v>0</v>
      </c>
      <c r="BF235" s="50">
        <f>235</f>
        <v>235</v>
      </c>
      <c r="BH235" s="50">
        <f t="shared" si="199"/>
        <v>0</v>
      </c>
      <c r="BI235" s="50">
        <f t="shared" si="200"/>
        <v>0</v>
      </c>
      <c r="BJ235" s="50">
        <f t="shared" si="201"/>
        <v>0</v>
      </c>
      <c r="BK235" s="50"/>
      <c r="BL235" s="50"/>
      <c r="BW235" s="50">
        <v>21</v>
      </c>
    </row>
    <row r="236" spans="1:75" ht="13.5" customHeight="1" x14ac:dyDescent="0.25">
      <c r="A236" s="36" t="s">
        <v>570</v>
      </c>
      <c r="B236" s="53" t="s">
        <v>195</v>
      </c>
      <c r="C236" s="68" t="s">
        <v>129</v>
      </c>
      <c r="D236" s="69"/>
      <c r="E236" s="53" t="s">
        <v>180</v>
      </c>
      <c r="F236" s="50">
        <v>1</v>
      </c>
      <c r="G236" s="50">
        <v>0</v>
      </c>
      <c r="H236" s="50">
        <f t="shared" si="180"/>
        <v>0</v>
      </c>
      <c r="I236" s="50">
        <f t="shared" si="181"/>
        <v>0</v>
      </c>
      <c r="J236" s="50">
        <f t="shared" si="182"/>
        <v>0</v>
      </c>
      <c r="K236" s="50">
        <v>1E-3</v>
      </c>
      <c r="L236" s="29">
        <v>1E-3</v>
      </c>
      <c r="Z236" s="50">
        <f t="shared" si="183"/>
        <v>0</v>
      </c>
      <c r="AB236" s="50">
        <f t="shared" si="184"/>
        <v>0</v>
      </c>
      <c r="AC236" s="50">
        <f t="shared" si="185"/>
        <v>0</v>
      </c>
      <c r="AD236" s="50">
        <f t="shared" si="186"/>
        <v>0</v>
      </c>
      <c r="AE236" s="50">
        <f t="shared" si="187"/>
        <v>0</v>
      </c>
      <c r="AF236" s="50">
        <f t="shared" si="188"/>
        <v>0</v>
      </c>
      <c r="AG236" s="50">
        <f t="shared" si="189"/>
        <v>0</v>
      </c>
      <c r="AH236" s="50">
        <f t="shared" si="190"/>
        <v>0</v>
      </c>
      <c r="AI236" s="57" t="s">
        <v>510</v>
      </c>
      <c r="AJ236" s="50">
        <f t="shared" si="191"/>
        <v>0</v>
      </c>
      <c r="AK236" s="50">
        <f t="shared" si="192"/>
        <v>0</v>
      </c>
      <c r="AL236" s="50">
        <f t="shared" si="193"/>
        <v>0</v>
      </c>
      <c r="AN236" s="50">
        <v>21</v>
      </c>
      <c r="AO236" s="50">
        <f>G236*1</f>
        <v>0</v>
      </c>
      <c r="AP236" s="50">
        <f>G236*(1-1)</f>
        <v>0</v>
      </c>
      <c r="AQ236" s="38" t="s">
        <v>725</v>
      </c>
      <c r="AV236" s="50">
        <f t="shared" si="194"/>
        <v>0</v>
      </c>
      <c r="AW236" s="50">
        <f t="shared" si="195"/>
        <v>0</v>
      </c>
      <c r="AX236" s="50">
        <f t="shared" si="196"/>
        <v>0</v>
      </c>
      <c r="AY236" s="38" t="s">
        <v>758</v>
      </c>
      <c r="AZ236" s="38" t="s">
        <v>258</v>
      </c>
      <c r="BA236" s="57" t="s">
        <v>571</v>
      </c>
      <c r="BC236" s="50">
        <f t="shared" si="197"/>
        <v>0</v>
      </c>
      <c r="BD236" s="50">
        <f t="shared" si="198"/>
        <v>0</v>
      </c>
      <c r="BE236" s="50">
        <v>0</v>
      </c>
      <c r="BF236" s="50">
        <f>236</f>
        <v>236</v>
      </c>
      <c r="BH236" s="50">
        <f t="shared" si="199"/>
        <v>0</v>
      </c>
      <c r="BI236" s="50">
        <f t="shared" si="200"/>
        <v>0</v>
      </c>
      <c r="BJ236" s="50">
        <f t="shared" si="201"/>
        <v>0</v>
      </c>
      <c r="BK236" s="50"/>
      <c r="BL236" s="50"/>
      <c r="BW236" s="50">
        <v>21</v>
      </c>
    </row>
    <row r="237" spans="1:75" ht="13.5" customHeight="1" x14ac:dyDescent="0.25">
      <c r="A237" s="36" t="s">
        <v>463</v>
      </c>
      <c r="B237" s="53" t="s">
        <v>308</v>
      </c>
      <c r="C237" s="68" t="s">
        <v>447</v>
      </c>
      <c r="D237" s="69"/>
      <c r="E237" s="53" t="s">
        <v>180</v>
      </c>
      <c r="F237" s="50">
        <v>1</v>
      </c>
      <c r="G237" s="50">
        <v>0</v>
      </c>
      <c r="H237" s="50">
        <f t="shared" si="180"/>
        <v>0</v>
      </c>
      <c r="I237" s="50">
        <f t="shared" si="181"/>
        <v>0</v>
      </c>
      <c r="J237" s="50">
        <f t="shared" si="182"/>
        <v>0</v>
      </c>
      <c r="K237" s="50">
        <v>1E-3</v>
      </c>
      <c r="L237" s="29">
        <v>1E-3</v>
      </c>
      <c r="Z237" s="50">
        <f t="shared" si="183"/>
        <v>0</v>
      </c>
      <c r="AB237" s="50">
        <f t="shared" si="184"/>
        <v>0</v>
      </c>
      <c r="AC237" s="50">
        <f t="shared" si="185"/>
        <v>0</v>
      </c>
      <c r="AD237" s="50">
        <f t="shared" si="186"/>
        <v>0</v>
      </c>
      <c r="AE237" s="50">
        <f t="shared" si="187"/>
        <v>0</v>
      </c>
      <c r="AF237" s="50">
        <f t="shared" si="188"/>
        <v>0</v>
      </c>
      <c r="AG237" s="50">
        <f t="shared" si="189"/>
        <v>0</v>
      </c>
      <c r="AH237" s="50">
        <f t="shared" si="190"/>
        <v>0</v>
      </c>
      <c r="AI237" s="57" t="s">
        <v>510</v>
      </c>
      <c r="AJ237" s="50">
        <f t="shared" si="191"/>
        <v>0</v>
      </c>
      <c r="AK237" s="50">
        <f t="shared" si="192"/>
        <v>0</v>
      </c>
      <c r="AL237" s="50">
        <f t="shared" si="193"/>
        <v>0</v>
      </c>
      <c r="AN237" s="50">
        <v>21</v>
      </c>
      <c r="AO237" s="50">
        <f>G237*1</f>
        <v>0</v>
      </c>
      <c r="AP237" s="50">
        <f>G237*(1-1)</f>
        <v>0</v>
      </c>
      <c r="AQ237" s="38" t="s">
        <v>725</v>
      </c>
      <c r="AV237" s="50">
        <f t="shared" si="194"/>
        <v>0</v>
      </c>
      <c r="AW237" s="50">
        <f t="shared" si="195"/>
        <v>0</v>
      </c>
      <c r="AX237" s="50">
        <f t="shared" si="196"/>
        <v>0</v>
      </c>
      <c r="AY237" s="38" t="s">
        <v>758</v>
      </c>
      <c r="AZ237" s="38" t="s">
        <v>258</v>
      </c>
      <c r="BA237" s="57" t="s">
        <v>571</v>
      </c>
      <c r="BC237" s="50">
        <f t="shared" si="197"/>
        <v>0</v>
      </c>
      <c r="BD237" s="50">
        <f t="shared" si="198"/>
        <v>0</v>
      </c>
      <c r="BE237" s="50">
        <v>0</v>
      </c>
      <c r="BF237" s="50">
        <f>237</f>
        <v>237</v>
      </c>
      <c r="BH237" s="50">
        <f t="shared" si="199"/>
        <v>0</v>
      </c>
      <c r="BI237" s="50">
        <f t="shared" si="200"/>
        <v>0</v>
      </c>
      <c r="BJ237" s="50">
        <f t="shared" si="201"/>
        <v>0</v>
      </c>
      <c r="BK237" s="50"/>
      <c r="BL237" s="50"/>
      <c r="BW237" s="50">
        <v>21</v>
      </c>
    </row>
    <row r="238" spans="1:75" ht="13.5" customHeight="1" x14ac:dyDescent="0.25">
      <c r="A238" s="36" t="s">
        <v>62</v>
      </c>
      <c r="B238" s="53" t="s">
        <v>328</v>
      </c>
      <c r="C238" s="68" t="s">
        <v>61</v>
      </c>
      <c r="D238" s="69"/>
      <c r="E238" s="53" t="s">
        <v>180</v>
      </c>
      <c r="F238" s="50">
        <v>1</v>
      </c>
      <c r="G238" s="50">
        <v>0</v>
      </c>
      <c r="H238" s="50">
        <f t="shared" si="180"/>
        <v>0</v>
      </c>
      <c r="I238" s="50">
        <f t="shared" si="181"/>
        <v>0</v>
      </c>
      <c r="J238" s="50">
        <f t="shared" si="182"/>
        <v>0</v>
      </c>
      <c r="K238" s="50">
        <v>1E-3</v>
      </c>
      <c r="L238" s="29">
        <v>1E-3</v>
      </c>
      <c r="Z238" s="50">
        <f t="shared" si="183"/>
        <v>0</v>
      </c>
      <c r="AB238" s="50">
        <f t="shared" si="184"/>
        <v>0</v>
      </c>
      <c r="AC238" s="50">
        <f t="shared" si="185"/>
        <v>0</v>
      </c>
      <c r="AD238" s="50">
        <f t="shared" si="186"/>
        <v>0</v>
      </c>
      <c r="AE238" s="50">
        <f t="shared" si="187"/>
        <v>0</v>
      </c>
      <c r="AF238" s="50">
        <f t="shared" si="188"/>
        <v>0</v>
      </c>
      <c r="AG238" s="50">
        <f t="shared" si="189"/>
        <v>0</v>
      </c>
      <c r="AH238" s="50">
        <f t="shared" si="190"/>
        <v>0</v>
      </c>
      <c r="AI238" s="57" t="s">
        <v>510</v>
      </c>
      <c r="AJ238" s="50">
        <f t="shared" si="191"/>
        <v>0</v>
      </c>
      <c r="AK238" s="50">
        <f t="shared" si="192"/>
        <v>0</v>
      </c>
      <c r="AL238" s="50">
        <f t="shared" si="193"/>
        <v>0</v>
      </c>
      <c r="AN238" s="50">
        <v>21</v>
      </c>
      <c r="AO238" s="50">
        <f>G238*1</f>
        <v>0</v>
      </c>
      <c r="AP238" s="50">
        <f>G238*(1-1)</f>
        <v>0</v>
      </c>
      <c r="AQ238" s="38" t="s">
        <v>725</v>
      </c>
      <c r="AV238" s="50">
        <f t="shared" si="194"/>
        <v>0</v>
      </c>
      <c r="AW238" s="50">
        <f t="shared" si="195"/>
        <v>0</v>
      </c>
      <c r="AX238" s="50">
        <f t="shared" si="196"/>
        <v>0</v>
      </c>
      <c r="AY238" s="38" t="s">
        <v>758</v>
      </c>
      <c r="AZ238" s="38" t="s">
        <v>258</v>
      </c>
      <c r="BA238" s="57" t="s">
        <v>571</v>
      </c>
      <c r="BC238" s="50">
        <f t="shared" si="197"/>
        <v>0</v>
      </c>
      <c r="BD238" s="50">
        <f t="shared" si="198"/>
        <v>0</v>
      </c>
      <c r="BE238" s="50">
        <v>0</v>
      </c>
      <c r="BF238" s="50">
        <f>238</f>
        <v>238</v>
      </c>
      <c r="BH238" s="50">
        <f t="shared" si="199"/>
        <v>0</v>
      </c>
      <c r="BI238" s="50">
        <f t="shared" si="200"/>
        <v>0</v>
      </c>
      <c r="BJ238" s="50">
        <f t="shared" si="201"/>
        <v>0</v>
      </c>
      <c r="BK238" s="50"/>
      <c r="BL238" s="50"/>
      <c r="BW238" s="50">
        <v>21</v>
      </c>
    </row>
    <row r="239" spans="1:75" ht="13.5" customHeight="1" x14ac:dyDescent="0.25">
      <c r="A239" s="36" t="s">
        <v>505</v>
      </c>
      <c r="B239" s="53" t="s">
        <v>313</v>
      </c>
      <c r="C239" s="68" t="s">
        <v>707</v>
      </c>
      <c r="D239" s="69"/>
      <c r="E239" s="53" t="s">
        <v>518</v>
      </c>
      <c r="F239" s="50">
        <v>1</v>
      </c>
      <c r="G239" s="50">
        <v>0</v>
      </c>
      <c r="H239" s="50">
        <f t="shared" si="180"/>
        <v>0</v>
      </c>
      <c r="I239" s="50">
        <f t="shared" si="181"/>
        <v>0</v>
      </c>
      <c r="J239" s="50">
        <f t="shared" si="182"/>
        <v>0</v>
      </c>
      <c r="K239" s="50">
        <v>1E-3</v>
      </c>
      <c r="L239" s="29">
        <v>1E-3</v>
      </c>
      <c r="Z239" s="50">
        <f t="shared" si="183"/>
        <v>0</v>
      </c>
      <c r="AB239" s="50">
        <f t="shared" si="184"/>
        <v>0</v>
      </c>
      <c r="AC239" s="50">
        <f t="shared" si="185"/>
        <v>0</v>
      </c>
      <c r="AD239" s="50">
        <f t="shared" si="186"/>
        <v>0</v>
      </c>
      <c r="AE239" s="50">
        <f t="shared" si="187"/>
        <v>0</v>
      </c>
      <c r="AF239" s="50">
        <f t="shared" si="188"/>
        <v>0</v>
      </c>
      <c r="AG239" s="50">
        <f t="shared" si="189"/>
        <v>0</v>
      </c>
      <c r="AH239" s="50">
        <f t="shared" si="190"/>
        <v>0</v>
      </c>
      <c r="AI239" s="57" t="s">
        <v>510</v>
      </c>
      <c r="AJ239" s="50">
        <f t="shared" si="191"/>
        <v>0</v>
      </c>
      <c r="AK239" s="50">
        <f t="shared" si="192"/>
        <v>0</v>
      </c>
      <c r="AL239" s="50">
        <f t="shared" si="193"/>
        <v>0</v>
      </c>
      <c r="AN239" s="50">
        <v>21</v>
      </c>
      <c r="AO239" s="50">
        <f>G239*0.777251184834123</f>
        <v>0</v>
      </c>
      <c r="AP239" s="50">
        <f>G239*(1-0.777251184834123)</f>
        <v>0</v>
      </c>
      <c r="AQ239" s="38" t="s">
        <v>507</v>
      </c>
      <c r="AV239" s="50">
        <f t="shared" si="194"/>
        <v>0</v>
      </c>
      <c r="AW239" s="50">
        <f t="shared" si="195"/>
        <v>0</v>
      </c>
      <c r="AX239" s="50">
        <f t="shared" si="196"/>
        <v>0</v>
      </c>
      <c r="AY239" s="38" t="s">
        <v>758</v>
      </c>
      <c r="AZ239" s="38" t="s">
        <v>258</v>
      </c>
      <c r="BA239" s="57" t="s">
        <v>571</v>
      </c>
      <c r="BC239" s="50">
        <f t="shared" si="197"/>
        <v>0</v>
      </c>
      <c r="BD239" s="50">
        <f t="shared" si="198"/>
        <v>0</v>
      </c>
      <c r="BE239" s="50">
        <v>0</v>
      </c>
      <c r="BF239" s="50">
        <f>239</f>
        <v>239</v>
      </c>
      <c r="BH239" s="50">
        <f t="shared" si="199"/>
        <v>0</v>
      </c>
      <c r="BI239" s="50">
        <f t="shared" si="200"/>
        <v>0</v>
      </c>
      <c r="BJ239" s="50">
        <f t="shared" si="201"/>
        <v>0</v>
      </c>
      <c r="BK239" s="50"/>
      <c r="BL239" s="50"/>
      <c r="BW239" s="50">
        <v>21</v>
      </c>
    </row>
    <row r="240" spans="1:75" ht="13.5" customHeight="1" x14ac:dyDescent="0.25">
      <c r="A240" s="36" t="s">
        <v>575</v>
      </c>
      <c r="B240" s="53" t="s">
        <v>479</v>
      </c>
      <c r="C240" s="68" t="s">
        <v>717</v>
      </c>
      <c r="D240" s="69"/>
      <c r="E240" s="53" t="s">
        <v>618</v>
      </c>
      <c r="F240" s="50">
        <v>70</v>
      </c>
      <c r="G240" s="50">
        <v>0</v>
      </c>
      <c r="H240" s="50">
        <f t="shared" si="180"/>
        <v>0</v>
      </c>
      <c r="I240" s="50">
        <f t="shared" si="181"/>
        <v>0</v>
      </c>
      <c r="J240" s="50">
        <f t="shared" si="182"/>
        <v>0</v>
      </c>
      <c r="K240" s="50">
        <v>0</v>
      </c>
      <c r="L240" s="29">
        <v>1E-3</v>
      </c>
      <c r="Z240" s="50">
        <f t="shared" si="183"/>
        <v>0</v>
      </c>
      <c r="AB240" s="50">
        <f t="shared" si="184"/>
        <v>0</v>
      </c>
      <c r="AC240" s="50">
        <f t="shared" si="185"/>
        <v>0</v>
      </c>
      <c r="AD240" s="50">
        <f t="shared" si="186"/>
        <v>0</v>
      </c>
      <c r="AE240" s="50">
        <f t="shared" si="187"/>
        <v>0</v>
      </c>
      <c r="AF240" s="50">
        <f t="shared" si="188"/>
        <v>0</v>
      </c>
      <c r="AG240" s="50">
        <f t="shared" si="189"/>
        <v>0</v>
      </c>
      <c r="AH240" s="50">
        <f t="shared" si="190"/>
        <v>0</v>
      </c>
      <c r="AI240" s="57" t="s">
        <v>510</v>
      </c>
      <c r="AJ240" s="50">
        <f t="shared" si="191"/>
        <v>0</v>
      </c>
      <c r="AK240" s="50">
        <f t="shared" si="192"/>
        <v>0</v>
      </c>
      <c r="AL240" s="50">
        <f t="shared" si="193"/>
        <v>0</v>
      </c>
      <c r="AN240" s="50">
        <v>21</v>
      </c>
      <c r="AO240" s="50">
        <f>G240*0</f>
        <v>0</v>
      </c>
      <c r="AP240" s="50">
        <f>G240*(1-0)</f>
        <v>0</v>
      </c>
      <c r="AQ240" s="38" t="s">
        <v>507</v>
      </c>
      <c r="AV240" s="50">
        <f t="shared" si="194"/>
        <v>0</v>
      </c>
      <c r="AW240" s="50">
        <f t="shared" si="195"/>
        <v>0</v>
      </c>
      <c r="AX240" s="50">
        <f t="shared" si="196"/>
        <v>0</v>
      </c>
      <c r="AY240" s="38" t="s">
        <v>758</v>
      </c>
      <c r="AZ240" s="38" t="s">
        <v>258</v>
      </c>
      <c r="BA240" s="57" t="s">
        <v>571</v>
      </c>
      <c r="BC240" s="50">
        <f t="shared" si="197"/>
        <v>0</v>
      </c>
      <c r="BD240" s="50">
        <f t="shared" si="198"/>
        <v>0</v>
      </c>
      <c r="BE240" s="50">
        <v>0</v>
      </c>
      <c r="BF240" s="50">
        <f>240</f>
        <v>240</v>
      </c>
      <c r="BH240" s="50">
        <f t="shared" si="199"/>
        <v>0</v>
      </c>
      <c r="BI240" s="50">
        <f t="shared" si="200"/>
        <v>0</v>
      </c>
      <c r="BJ240" s="50">
        <f t="shared" si="201"/>
        <v>0</v>
      </c>
      <c r="BK240" s="50"/>
      <c r="BL240" s="50"/>
      <c r="BW240" s="50">
        <v>21</v>
      </c>
    </row>
    <row r="241" spans="1:75" ht="13.5" customHeight="1" x14ac:dyDescent="0.25">
      <c r="A241" s="36" t="s">
        <v>170</v>
      </c>
      <c r="B241" s="53" t="s">
        <v>224</v>
      </c>
      <c r="C241" s="68" t="s">
        <v>638</v>
      </c>
      <c r="D241" s="69"/>
      <c r="E241" s="53" t="s">
        <v>180</v>
      </c>
      <c r="F241" s="50">
        <v>14</v>
      </c>
      <c r="G241" s="50">
        <v>0</v>
      </c>
      <c r="H241" s="50">
        <f t="shared" si="180"/>
        <v>0</v>
      </c>
      <c r="I241" s="50">
        <f t="shared" si="181"/>
        <v>0</v>
      </c>
      <c r="J241" s="50">
        <f t="shared" si="182"/>
        <v>0</v>
      </c>
      <c r="K241" s="50">
        <v>1E-3</v>
      </c>
      <c r="L241" s="29">
        <v>2E-3</v>
      </c>
      <c r="Z241" s="50">
        <f t="shared" si="183"/>
        <v>0</v>
      </c>
      <c r="AB241" s="50">
        <f t="shared" si="184"/>
        <v>0</v>
      </c>
      <c r="AC241" s="50">
        <f t="shared" si="185"/>
        <v>0</v>
      </c>
      <c r="AD241" s="50">
        <f t="shared" si="186"/>
        <v>0</v>
      </c>
      <c r="AE241" s="50">
        <f t="shared" si="187"/>
        <v>0</v>
      </c>
      <c r="AF241" s="50">
        <f t="shared" si="188"/>
        <v>0</v>
      </c>
      <c r="AG241" s="50">
        <f t="shared" si="189"/>
        <v>0</v>
      </c>
      <c r="AH241" s="50">
        <f t="shared" si="190"/>
        <v>0</v>
      </c>
      <c r="AI241" s="57" t="s">
        <v>510</v>
      </c>
      <c r="AJ241" s="50">
        <f t="shared" si="191"/>
        <v>0</v>
      </c>
      <c r="AK241" s="50">
        <f t="shared" si="192"/>
        <v>0</v>
      </c>
      <c r="AL241" s="50">
        <f t="shared" si="193"/>
        <v>0</v>
      </c>
      <c r="AN241" s="50">
        <v>21</v>
      </c>
      <c r="AO241" s="50">
        <f>G241*0</f>
        <v>0</v>
      </c>
      <c r="AP241" s="50">
        <f>G241*(1-0)</f>
        <v>0</v>
      </c>
      <c r="AQ241" s="38" t="s">
        <v>507</v>
      </c>
      <c r="AV241" s="50">
        <f t="shared" si="194"/>
        <v>0</v>
      </c>
      <c r="AW241" s="50">
        <f t="shared" si="195"/>
        <v>0</v>
      </c>
      <c r="AX241" s="50">
        <f t="shared" si="196"/>
        <v>0</v>
      </c>
      <c r="AY241" s="38" t="s">
        <v>758</v>
      </c>
      <c r="AZ241" s="38" t="s">
        <v>258</v>
      </c>
      <c r="BA241" s="57" t="s">
        <v>571</v>
      </c>
      <c r="BC241" s="50">
        <f t="shared" si="197"/>
        <v>0</v>
      </c>
      <c r="BD241" s="50">
        <f t="shared" si="198"/>
        <v>0</v>
      </c>
      <c r="BE241" s="50">
        <v>0</v>
      </c>
      <c r="BF241" s="50">
        <f>241</f>
        <v>241</v>
      </c>
      <c r="BH241" s="50">
        <f t="shared" si="199"/>
        <v>0</v>
      </c>
      <c r="BI241" s="50">
        <f t="shared" si="200"/>
        <v>0</v>
      </c>
      <c r="BJ241" s="50">
        <f t="shared" si="201"/>
        <v>0</v>
      </c>
      <c r="BK241" s="50"/>
      <c r="BL241" s="50"/>
      <c r="BW241" s="50">
        <v>21</v>
      </c>
    </row>
    <row r="242" spans="1:75" ht="13.5" customHeight="1" x14ac:dyDescent="0.25">
      <c r="A242" s="36" t="s">
        <v>810</v>
      </c>
      <c r="B242" s="53" t="s">
        <v>299</v>
      </c>
      <c r="C242" s="68" t="s">
        <v>498</v>
      </c>
      <c r="D242" s="69"/>
      <c r="E242" s="53" t="s">
        <v>180</v>
      </c>
      <c r="F242" s="50">
        <v>1</v>
      </c>
      <c r="G242" s="50">
        <v>0</v>
      </c>
      <c r="H242" s="50">
        <f t="shared" si="180"/>
        <v>0</v>
      </c>
      <c r="I242" s="50">
        <f t="shared" si="181"/>
        <v>0</v>
      </c>
      <c r="J242" s="50">
        <f t="shared" si="182"/>
        <v>0</v>
      </c>
      <c r="K242" s="50">
        <v>0</v>
      </c>
      <c r="L242" s="29">
        <v>2.9999999999999997E-4</v>
      </c>
      <c r="Z242" s="50">
        <f t="shared" si="183"/>
        <v>0</v>
      </c>
      <c r="AB242" s="50">
        <f t="shared" si="184"/>
        <v>0</v>
      </c>
      <c r="AC242" s="50">
        <f t="shared" si="185"/>
        <v>0</v>
      </c>
      <c r="AD242" s="50">
        <f t="shared" si="186"/>
        <v>0</v>
      </c>
      <c r="AE242" s="50">
        <f t="shared" si="187"/>
        <v>0</v>
      </c>
      <c r="AF242" s="50">
        <f t="shared" si="188"/>
        <v>0</v>
      </c>
      <c r="AG242" s="50">
        <f t="shared" si="189"/>
        <v>0</v>
      </c>
      <c r="AH242" s="50">
        <f t="shared" si="190"/>
        <v>0</v>
      </c>
      <c r="AI242" s="57" t="s">
        <v>510</v>
      </c>
      <c r="AJ242" s="50">
        <f t="shared" si="191"/>
        <v>0</v>
      </c>
      <c r="AK242" s="50">
        <f t="shared" si="192"/>
        <v>0</v>
      </c>
      <c r="AL242" s="50">
        <f t="shared" si="193"/>
        <v>0</v>
      </c>
      <c r="AN242" s="50">
        <v>21</v>
      </c>
      <c r="AO242" s="50">
        <f>G242*0.976359338061466</f>
        <v>0</v>
      </c>
      <c r="AP242" s="50">
        <f>G242*(1-0.976359338061466)</f>
        <v>0</v>
      </c>
      <c r="AQ242" s="38" t="s">
        <v>507</v>
      </c>
      <c r="AV242" s="50">
        <f t="shared" si="194"/>
        <v>0</v>
      </c>
      <c r="AW242" s="50">
        <f t="shared" si="195"/>
        <v>0</v>
      </c>
      <c r="AX242" s="50">
        <f t="shared" si="196"/>
        <v>0</v>
      </c>
      <c r="AY242" s="38" t="s">
        <v>758</v>
      </c>
      <c r="AZ242" s="38" t="s">
        <v>258</v>
      </c>
      <c r="BA242" s="57" t="s">
        <v>571</v>
      </c>
      <c r="BC242" s="50">
        <f t="shared" si="197"/>
        <v>0</v>
      </c>
      <c r="BD242" s="50">
        <f t="shared" si="198"/>
        <v>0</v>
      </c>
      <c r="BE242" s="50">
        <v>0</v>
      </c>
      <c r="BF242" s="50">
        <f>242</f>
        <v>242</v>
      </c>
      <c r="BH242" s="50">
        <f t="shared" si="199"/>
        <v>0</v>
      </c>
      <c r="BI242" s="50">
        <f t="shared" si="200"/>
        <v>0</v>
      </c>
      <c r="BJ242" s="50">
        <f t="shared" si="201"/>
        <v>0</v>
      </c>
      <c r="BK242" s="50"/>
      <c r="BL242" s="50"/>
      <c r="BW242" s="50">
        <v>21</v>
      </c>
    </row>
    <row r="243" spans="1:75" ht="15" customHeight="1" x14ac:dyDescent="0.25">
      <c r="A243" s="47" t="s">
        <v>510</v>
      </c>
      <c r="B243" s="35" t="s">
        <v>612</v>
      </c>
      <c r="C243" s="70" t="s">
        <v>246</v>
      </c>
      <c r="D243" s="71"/>
      <c r="E243" s="1" t="s">
        <v>686</v>
      </c>
      <c r="F243" s="1" t="s">
        <v>686</v>
      </c>
      <c r="G243" s="1" t="s">
        <v>686</v>
      </c>
      <c r="H243" s="5">
        <f>SUM(H244:H251)</f>
        <v>0</v>
      </c>
      <c r="I243" s="5">
        <f>SUM(I244:I251)</f>
        <v>0</v>
      </c>
      <c r="J243" s="5">
        <f>SUM(J244:J251)</f>
        <v>0</v>
      </c>
      <c r="K243" s="57" t="s">
        <v>510</v>
      </c>
      <c r="L243" s="7" t="s">
        <v>510</v>
      </c>
      <c r="AI243" s="57" t="s">
        <v>510</v>
      </c>
      <c r="AS243" s="5">
        <f>SUM(AJ244:AJ251)</f>
        <v>0</v>
      </c>
      <c r="AT243" s="5">
        <f>SUM(AK244:AK251)</f>
        <v>0</v>
      </c>
      <c r="AU243" s="5">
        <f>SUM(AL244:AL251)</f>
        <v>0</v>
      </c>
    </row>
    <row r="244" spans="1:75" ht="13.5" customHeight="1" x14ac:dyDescent="0.25">
      <c r="A244" s="36" t="s">
        <v>415</v>
      </c>
      <c r="B244" s="53" t="s">
        <v>375</v>
      </c>
      <c r="C244" s="68" t="s">
        <v>228</v>
      </c>
      <c r="D244" s="69"/>
      <c r="E244" s="53" t="s">
        <v>518</v>
      </c>
      <c r="F244" s="50">
        <v>2</v>
      </c>
      <c r="G244" s="50">
        <v>0</v>
      </c>
      <c r="H244" s="50">
        <f t="shared" ref="H244:H251" si="202">F244*AO244</f>
        <v>0</v>
      </c>
      <c r="I244" s="50">
        <f t="shared" ref="I244:I251" si="203">F244*AP244</f>
        <v>0</v>
      </c>
      <c r="J244" s="50">
        <f t="shared" ref="J244:J251" si="204">F244*G244</f>
        <v>0</v>
      </c>
      <c r="K244" s="50">
        <v>0</v>
      </c>
      <c r="L244" s="29">
        <v>0</v>
      </c>
      <c r="Z244" s="50">
        <f t="shared" ref="Z244:Z251" si="205">IF(AQ244="5",BJ244,0)</f>
        <v>0</v>
      </c>
      <c r="AB244" s="50">
        <f t="shared" ref="AB244:AB251" si="206">IF(AQ244="1",BH244,0)</f>
        <v>0</v>
      </c>
      <c r="AC244" s="50">
        <f t="shared" ref="AC244:AC251" si="207">IF(AQ244="1",BI244,0)</f>
        <v>0</v>
      </c>
      <c r="AD244" s="50">
        <f t="shared" ref="AD244:AD251" si="208">IF(AQ244="7",BH244,0)</f>
        <v>0</v>
      </c>
      <c r="AE244" s="50">
        <f t="shared" ref="AE244:AE251" si="209">IF(AQ244="7",BI244,0)</f>
        <v>0</v>
      </c>
      <c r="AF244" s="50">
        <f t="shared" ref="AF244:AF251" si="210">IF(AQ244="2",BH244,0)</f>
        <v>0</v>
      </c>
      <c r="AG244" s="50">
        <f t="shared" ref="AG244:AG251" si="211">IF(AQ244="2",BI244,0)</f>
        <v>0</v>
      </c>
      <c r="AH244" s="50">
        <f t="shared" ref="AH244:AH251" si="212">IF(AQ244="0",BJ244,0)</f>
        <v>0</v>
      </c>
      <c r="AI244" s="57" t="s">
        <v>510</v>
      </c>
      <c r="AJ244" s="50">
        <f t="shared" ref="AJ244:AJ251" si="213">IF(AN244=0,J244,0)</f>
        <v>0</v>
      </c>
      <c r="AK244" s="50">
        <f t="shared" ref="AK244:AK251" si="214">IF(AN244=15,J244,0)</f>
        <v>0</v>
      </c>
      <c r="AL244" s="50">
        <f t="shared" ref="AL244:AL251" si="215">IF(AN244=21,J244,0)</f>
        <v>0</v>
      </c>
      <c r="AN244" s="50">
        <v>21</v>
      </c>
      <c r="AO244" s="50">
        <f t="shared" ref="AO244:AO251" si="216">G244*0</f>
        <v>0</v>
      </c>
      <c r="AP244" s="50">
        <f t="shared" ref="AP244:AP251" si="217">G244*(1-0)</f>
        <v>0</v>
      </c>
      <c r="AQ244" s="38" t="s">
        <v>507</v>
      </c>
      <c r="AV244" s="50">
        <f t="shared" ref="AV244:AV251" si="218">AW244+AX244</f>
        <v>0</v>
      </c>
      <c r="AW244" s="50">
        <f t="shared" ref="AW244:AW251" si="219">F244*AO244</f>
        <v>0</v>
      </c>
      <c r="AX244" s="50">
        <f t="shared" ref="AX244:AX251" si="220">F244*AP244</f>
        <v>0</v>
      </c>
      <c r="AY244" s="38" t="s">
        <v>187</v>
      </c>
      <c r="AZ244" s="38" t="s">
        <v>258</v>
      </c>
      <c r="BA244" s="57" t="s">
        <v>571</v>
      </c>
      <c r="BC244" s="50">
        <f t="shared" ref="BC244:BC251" si="221">AW244+AX244</f>
        <v>0</v>
      </c>
      <c r="BD244" s="50">
        <f t="shared" ref="BD244:BD251" si="222">G244/(100-BE244)*100</f>
        <v>0</v>
      </c>
      <c r="BE244" s="50">
        <v>0</v>
      </c>
      <c r="BF244" s="50">
        <f>244</f>
        <v>244</v>
      </c>
      <c r="BH244" s="50">
        <f t="shared" ref="BH244:BH251" si="223">F244*AO244</f>
        <v>0</v>
      </c>
      <c r="BI244" s="50">
        <f t="shared" ref="BI244:BI251" si="224">F244*AP244</f>
        <v>0</v>
      </c>
      <c r="BJ244" s="50">
        <f t="shared" ref="BJ244:BJ251" si="225">F244*G244</f>
        <v>0</v>
      </c>
      <c r="BK244" s="50"/>
      <c r="BL244" s="50"/>
      <c r="BW244" s="50">
        <v>21</v>
      </c>
    </row>
    <row r="245" spans="1:75" ht="13.5" customHeight="1" x14ac:dyDescent="0.25">
      <c r="A245" s="36" t="s">
        <v>179</v>
      </c>
      <c r="B245" s="53" t="s">
        <v>148</v>
      </c>
      <c r="C245" s="68" t="s">
        <v>561</v>
      </c>
      <c r="D245" s="69"/>
      <c r="E245" s="53" t="s">
        <v>518</v>
      </c>
      <c r="F245" s="50">
        <v>2</v>
      </c>
      <c r="G245" s="50">
        <v>0</v>
      </c>
      <c r="H245" s="50">
        <f t="shared" si="202"/>
        <v>0</v>
      </c>
      <c r="I245" s="50">
        <f t="shared" si="203"/>
        <v>0</v>
      </c>
      <c r="J245" s="50">
        <f t="shared" si="204"/>
        <v>0</v>
      </c>
      <c r="K245" s="50">
        <v>0</v>
      </c>
      <c r="L245" s="29">
        <v>0</v>
      </c>
      <c r="Z245" s="50">
        <f t="shared" si="205"/>
        <v>0</v>
      </c>
      <c r="AB245" s="50">
        <f t="shared" si="206"/>
        <v>0</v>
      </c>
      <c r="AC245" s="50">
        <f t="shared" si="207"/>
        <v>0</v>
      </c>
      <c r="AD245" s="50">
        <f t="shared" si="208"/>
        <v>0</v>
      </c>
      <c r="AE245" s="50">
        <f t="shared" si="209"/>
        <v>0</v>
      </c>
      <c r="AF245" s="50">
        <f t="shared" si="210"/>
        <v>0</v>
      </c>
      <c r="AG245" s="50">
        <f t="shared" si="211"/>
        <v>0</v>
      </c>
      <c r="AH245" s="50">
        <f t="shared" si="212"/>
        <v>0</v>
      </c>
      <c r="AI245" s="57" t="s">
        <v>510</v>
      </c>
      <c r="AJ245" s="50">
        <f t="shared" si="213"/>
        <v>0</v>
      </c>
      <c r="AK245" s="50">
        <f t="shared" si="214"/>
        <v>0</v>
      </c>
      <c r="AL245" s="50">
        <f t="shared" si="215"/>
        <v>0</v>
      </c>
      <c r="AN245" s="50">
        <v>21</v>
      </c>
      <c r="AO245" s="50">
        <f t="shared" si="216"/>
        <v>0</v>
      </c>
      <c r="AP245" s="50">
        <f t="shared" si="217"/>
        <v>0</v>
      </c>
      <c r="AQ245" s="38" t="s">
        <v>507</v>
      </c>
      <c r="AV245" s="50">
        <f t="shared" si="218"/>
        <v>0</v>
      </c>
      <c r="AW245" s="50">
        <f t="shared" si="219"/>
        <v>0</v>
      </c>
      <c r="AX245" s="50">
        <f t="shared" si="220"/>
        <v>0</v>
      </c>
      <c r="AY245" s="38" t="s">
        <v>187</v>
      </c>
      <c r="AZ245" s="38" t="s">
        <v>258</v>
      </c>
      <c r="BA245" s="57" t="s">
        <v>571</v>
      </c>
      <c r="BC245" s="50">
        <f t="shared" si="221"/>
        <v>0</v>
      </c>
      <c r="BD245" s="50">
        <f t="shared" si="222"/>
        <v>0</v>
      </c>
      <c r="BE245" s="50">
        <v>0</v>
      </c>
      <c r="BF245" s="50">
        <f>245</f>
        <v>245</v>
      </c>
      <c r="BH245" s="50">
        <f t="shared" si="223"/>
        <v>0</v>
      </c>
      <c r="BI245" s="50">
        <f t="shared" si="224"/>
        <v>0</v>
      </c>
      <c r="BJ245" s="50">
        <f t="shared" si="225"/>
        <v>0</v>
      </c>
      <c r="BK245" s="50"/>
      <c r="BL245" s="50"/>
      <c r="BW245" s="50">
        <v>21</v>
      </c>
    </row>
    <row r="246" spans="1:75" ht="13.5" customHeight="1" x14ac:dyDescent="0.25">
      <c r="A246" s="36" t="s">
        <v>560</v>
      </c>
      <c r="B246" s="53" t="s">
        <v>20</v>
      </c>
      <c r="C246" s="68" t="s">
        <v>371</v>
      </c>
      <c r="D246" s="69"/>
      <c r="E246" s="53" t="s">
        <v>518</v>
      </c>
      <c r="F246" s="50">
        <v>1</v>
      </c>
      <c r="G246" s="50">
        <v>0</v>
      </c>
      <c r="H246" s="50">
        <f t="shared" si="202"/>
        <v>0</v>
      </c>
      <c r="I246" s="50">
        <f t="shared" si="203"/>
        <v>0</v>
      </c>
      <c r="J246" s="50">
        <f t="shared" si="204"/>
        <v>0</v>
      </c>
      <c r="K246" s="50">
        <v>0</v>
      </c>
      <c r="L246" s="29">
        <v>0</v>
      </c>
      <c r="Z246" s="50">
        <f t="shared" si="205"/>
        <v>0</v>
      </c>
      <c r="AB246" s="50">
        <f t="shared" si="206"/>
        <v>0</v>
      </c>
      <c r="AC246" s="50">
        <f t="shared" si="207"/>
        <v>0</v>
      </c>
      <c r="AD246" s="50">
        <f t="shared" si="208"/>
        <v>0</v>
      </c>
      <c r="AE246" s="50">
        <f t="shared" si="209"/>
        <v>0</v>
      </c>
      <c r="AF246" s="50">
        <f t="shared" si="210"/>
        <v>0</v>
      </c>
      <c r="AG246" s="50">
        <f t="shared" si="211"/>
        <v>0</v>
      </c>
      <c r="AH246" s="50">
        <f t="shared" si="212"/>
        <v>0</v>
      </c>
      <c r="AI246" s="57" t="s">
        <v>510</v>
      </c>
      <c r="AJ246" s="50">
        <f t="shared" si="213"/>
        <v>0</v>
      </c>
      <c r="AK246" s="50">
        <f t="shared" si="214"/>
        <v>0</v>
      </c>
      <c r="AL246" s="50">
        <f t="shared" si="215"/>
        <v>0</v>
      </c>
      <c r="AN246" s="50">
        <v>21</v>
      </c>
      <c r="AO246" s="50">
        <f t="shared" si="216"/>
        <v>0</v>
      </c>
      <c r="AP246" s="50">
        <f t="shared" si="217"/>
        <v>0</v>
      </c>
      <c r="AQ246" s="38" t="s">
        <v>507</v>
      </c>
      <c r="AV246" s="50">
        <f t="shared" si="218"/>
        <v>0</v>
      </c>
      <c r="AW246" s="50">
        <f t="shared" si="219"/>
        <v>0</v>
      </c>
      <c r="AX246" s="50">
        <f t="shared" si="220"/>
        <v>0</v>
      </c>
      <c r="AY246" s="38" t="s">
        <v>187</v>
      </c>
      <c r="AZ246" s="38" t="s">
        <v>258</v>
      </c>
      <c r="BA246" s="57" t="s">
        <v>571</v>
      </c>
      <c r="BC246" s="50">
        <f t="shared" si="221"/>
        <v>0</v>
      </c>
      <c r="BD246" s="50">
        <f t="shared" si="222"/>
        <v>0</v>
      </c>
      <c r="BE246" s="50">
        <v>0</v>
      </c>
      <c r="BF246" s="50">
        <f>246</f>
        <v>246</v>
      </c>
      <c r="BH246" s="50">
        <f t="shared" si="223"/>
        <v>0</v>
      </c>
      <c r="BI246" s="50">
        <f t="shared" si="224"/>
        <v>0</v>
      </c>
      <c r="BJ246" s="50">
        <f t="shared" si="225"/>
        <v>0</v>
      </c>
      <c r="BK246" s="50"/>
      <c r="BL246" s="50"/>
      <c r="BW246" s="50">
        <v>21</v>
      </c>
    </row>
    <row r="247" spans="1:75" ht="13.5" customHeight="1" x14ac:dyDescent="0.25">
      <c r="A247" s="36" t="s">
        <v>367</v>
      </c>
      <c r="B247" s="53" t="s">
        <v>288</v>
      </c>
      <c r="C247" s="68" t="s">
        <v>624</v>
      </c>
      <c r="D247" s="69"/>
      <c r="E247" s="53" t="s">
        <v>518</v>
      </c>
      <c r="F247" s="50">
        <v>1</v>
      </c>
      <c r="G247" s="50">
        <v>0</v>
      </c>
      <c r="H247" s="50">
        <f t="shared" si="202"/>
        <v>0</v>
      </c>
      <c r="I247" s="50">
        <f t="shared" si="203"/>
        <v>0</v>
      </c>
      <c r="J247" s="50">
        <f t="shared" si="204"/>
        <v>0</v>
      </c>
      <c r="K247" s="50">
        <v>0</v>
      </c>
      <c r="L247" s="29">
        <v>0</v>
      </c>
      <c r="Z247" s="50">
        <f t="shared" si="205"/>
        <v>0</v>
      </c>
      <c r="AB247" s="50">
        <f t="shared" si="206"/>
        <v>0</v>
      </c>
      <c r="AC247" s="50">
        <f t="shared" si="207"/>
        <v>0</v>
      </c>
      <c r="AD247" s="50">
        <f t="shared" si="208"/>
        <v>0</v>
      </c>
      <c r="AE247" s="50">
        <f t="shared" si="209"/>
        <v>0</v>
      </c>
      <c r="AF247" s="50">
        <f t="shared" si="210"/>
        <v>0</v>
      </c>
      <c r="AG247" s="50">
        <f t="shared" si="211"/>
        <v>0</v>
      </c>
      <c r="AH247" s="50">
        <f t="shared" si="212"/>
        <v>0</v>
      </c>
      <c r="AI247" s="57" t="s">
        <v>510</v>
      </c>
      <c r="AJ247" s="50">
        <f t="shared" si="213"/>
        <v>0</v>
      </c>
      <c r="AK247" s="50">
        <f t="shared" si="214"/>
        <v>0</v>
      </c>
      <c r="AL247" s="50">
        <f t="shared" si="215"/>
        <v>0</v>
      </c>
      <c r="AN247" s="50">
        <v>21</v>
      </c>
      <c r="AO247" s="50">
        <f t="shared" si="216"/>
        <v>0</v>
      </c>
      <c r="AP247" s="50">
        <f t="shared" si="217"/>
        <v>0</v>
      </c>
      <c r="AQ247" s="38" t="s">
        <v>507</v>
      </c>
      <c r="AV247" s="50">
        <f t="shared" si="218"/>
        <v>0</v>
      </c>
      <c r="AW247" s="50">
        <f t="shared" si="219"/>
        <v>0</v>
      </c>
      <c r="AX247" s="50">
        <f t="shared" si="220"/>
        <v>0</v>
      </c>
      <c r="AY247" s="38" t="s">
        <v>187</v>
      </c>
      <c r="AZ247" s="38" t="s">
        <v>258</v>
      </c>
      <c r="BA247" s="57" t="s">
        <v>571</v>
      </c>
      <c r="BC247" s="50">
        <f t="shared" si="221"/>
        <v>0</v>
      </c>
      <c r="BD247" s="50">
        <f t="shared" si="222"/>
        <v>0</v>
      </c>
      <c r="BE247" s="50">
        <v>0</v>
      </c>
      <c r="BF247" s="50">
        <f>247</f>
        <v>247</v>
      </c>
      <c r="BH247" s="50">
        <f t="shared" si="223"/>
        <v>0</v>
      </c>
      <c r="BI247" s="50">
        <f t="shared" si="224"/>
        <v>0</v>
      </c>
      <c r="BJ247" s="50">
        <f t="shared" si="225"/>
        <v>0</v>
      </c>
      <c r="BK247" s="50"/>
      <c r="BL247" s="50"/>
      <c r="BW247" s="50">
        <v>21</v>
      </c>
    </row>
    <row r="248" spans="1:75" ht="13.5" customHeight="1" x14ac:dyDescent="0.25">
      <c r="A248" s="36" t="s">
        <v>4</v>
      </c>
      <c r="B248" s="53" t="s">
        <v>290</v>
      </c>
      <c r="C248" s="68" t="s">
        <v>206</v>
      </c>
      <c r="D248" s="69"/>
      <c r="E248" s="53" t="s">
        <v>518</v>
      </c>
      <c r="F248" s="50">
        <v>1</v>
      </c>
      <c r="G248" s="50">
        <v>0</v>
      </c>
      <c r="H248" s="50">
        <f t="shared" si="202"/>
        <v>0</v>
      </c>
      <c r="I248" s="50">
        <f t="shared" si="203"/>
        <v>0</v>
      </c>
      <c r="J248" s="50">
        <f t="shared" si="204"/>
        <v>0</v>
      </c>
      <c r="K248" s="50">
        <v>0</v>
      </c>
      <c r="L248" s="29">
        <v>0</v>
      </c>
      <c r="Z248" s="50">
        <f t="shared" si="205"/>
        <v>0</v>
      </c>
      <c r="AB248" s="50">
        <f t="shared" si="206"/>
        <v>0</v>
      </c>
      <c r="AC248" s="50">
        <f t="shared" si="207"/>
        <v>0</v>
      </c>
      <c r="AD248" s="50">
        <f t="shared" si="208"/>
        <v>0</v>
      </c>
      <c r="AE248" s="50">
        <f t="shared" si="209"/>
        <v>0</v>
      </c>
      <c r="AF248" s="50">
        <f t="shared" si="210"/>
        <v>0</v>
      </c>
      <c r="AG248" s="50">
        <f t="shared" si="211"/>
        <v>0</v>
      </c>
      <c r="AH248" s="50">
        <f t="shared" si="212"/>
        <v>0</v>
      </c>
      <c r="AI248" s="57" t="s">
        <v>510</v>
      </c>
      <c r="AJ248" s="50">
        <f t="shared" si="213"/>
        <v>0</v>
      </c>
      <c r="AK248" s="50">
        <f t="shared" si="214"/>
        <v>0</v>
      </c>
      <c r="AL248" s="50">
        <f t="shared" si="215"/>
        <v>0</v>
      </c>
      <c r="AN248" s="50">
        <v>21</v>
      </c>
      <c r="AO248" s="50">
        <f t="shared" si="216"/>
        <v>0</v>
      </c>
      <c r="AP248" s="50">
        <f t="shared" si="217"/>
        <v>0</v>
      </c>
      <c r="AQ248" s="38" t="s">
        <v>507</v>
      </c>
      <c r="AV248" s="50">
        <f t="shared" si="218"/>
        <v>0</v>
      </c>
      <c r="AW248" s="50">
        <f t="shared" si="219"/>
        <v>0</v>
      </c>
      <c r="AX248" s="50">
        <f t="shared" si="220"/>
        <v>0</v>
      </c>
      <c r="AY248" s="38" t="s">
        <v>187</v>
      </c>
      <c r="AZ248" s="38" t="s">
        <v>258</v>
      </c>
      <c r="BA248" s="57" t="s">
        <v>571</v>
      </c>
      <c r="BC248" s="50">
        <f t="shared" si="221"/>
        <v>0</v>
      </c>
      <c r="BD248" s="50">
        <f t="shared" si="222"/>
        <v>0</v>
      </c>
      <c r="BE248" s="50">
        <v>0</v>
      </c>
      <c r="BF248" s="50">
        <f>248</f>
        <v>248</v>
      </c>
      <c r="BH248" s="50">
        <f t="shared" si="223"/>
        <v>0</v>
      </c>
      <c r="BI248" s="50">
        <f t="shared" si="224"/>
        <v>0</v>
      </c>
      <c r="BJ248" s="50">
        <f t="shared" si="225"/>
        <v>0</v>
      </c>
      <c r="BK248" s="50"/>
      <c r="BL248" s="50"/>
      <c r="BW248" s="50">
        <v>21</v>
      </c>
    </row>
    <row r="249" spans="1:75" ht="13.5" customHeight="1" x14ac:dyDescent="0.25">
      <c r="A249" s="36" t="s">
        <v>296</v>
      </c>
      <c r="B249" s="53" t="s">
        <v>504</v>
      </c>
      <c r="C249" s="68" t="s">
        <v>523</v>
      </c>
      <c r="D249" s="69"/>
      <c r="E249" s="53" t="s">
        <v>518</v>
      </c>
      <c r="F249" s="50">
        <v>1</v>
      </c>
      <c r="G249" s="50">
        <v>0</v>
      </c>
      <c r="H249" s="50">
        <f t="shared" si="202"/>
        <v>0</v>
      </c>
      <c r="I249" s="50">
        <f t="shared" si="203"/>
        <v>0</v>
      </c>
      <c r="J249" s="50">
        <f t="shared" si="204"/>
        <v>0</v>
      </c>
      <c r="K249" s="50">
        <v>0</v>
      </c>
      <c r="L249" s="29">
        <v>0</v>
      </c>
      <c r="Z249" s="50">
        <f t="shared" si="205"/>
        <v>0</v>
      </c>
      <c r="AB249" s="50">
        <f t="shared" si="206"/>
        <v>0</v>
      </c>
      <c r="AC249" s="50">
        <f t="shared" si="207"/>
        <v>0</v>
      </c>
      <c r="AD249" s="50">
        <f t="shared" si="208"/>
        <v>0</v>
      </c>
      <c r="AE249" s="50">
        <f t="shared" si="209"/>
        <v>0</v>
      </c>
      <c r="AF249" s="50">
        <f t="shared" si="210"/>
        <v>0</v>
      </c>
      <c r="AG249" s="50">
        <f t="shared" si="211"/>
        <v>0</v>
      </c>
      <c r="AH249" s="50">
        <f t="shared" si="212"/>
        <v>0</v>
      </c>
      <c r="AI249" s="57" t="s">
        <v>510</v>
      </c>
      <c r="AJ249" s="50">
        <f t="shared" si="213"/>
        <v>0</v>
      </c>
      <c r="AK249" s="50">
        <f t="shared" si="214"/>
        <v>0</v>
      </c>
      <c r="AL249" s="50">
        <f t="shared" si="215"/>
        <v>0</v>
      </c>
      <c r="AN249" s="50">
        <v>21</v>
      </c>
      <c r="AO249" s="50">
        <f t="shared" si="216"/>
        <v>0</v>
      </c>
      <c r="AP249" s="50">
        <f t="shared" si="217"/>
        <v>0</v>
      </c>
      <c r="AQ249" s="38" t="s">
        <v>507</v>
      </c>
      <c r="AV249" s="50">
        <f t="shared" si="218"/>
        <v>0</v>
      </c>
      <c r="AW249" s="50">
        <f t="shared" si="219"/>
        <v>0</v>
      </c>
      <c r="AX249" s="50">
        <f t="shared" si="220"/>
        <v>0</v>
      </c>
      <c r="AY249" s="38" t="s">
        <v>187</v>
      </c>
      <c r="AZ249" s="38" t="s">
        <v>258</v>
      </c>
      <c r="BA249" s="57" t="s">
        <v>571</v>
      </c>
      <c r="BC249" s="50">
        <f t="shared" si="221"/>
        <v>0</v>
      </c>
      <c r="BD249" s="50">
        <f t="shared" si="222"/>
        <v>0</v>
      </c>
      <c r="BE249" s="50">
        <v>0</v>
      </c>
      <c r="BF249" s="50">
        <f>249</f>
        <v>249</v>
      </c>
      <c r="BH249" s="50">
        <f t="shared" si="223"/>
        <v>0</v>
      </c>
      <c r="BI249" s="50">
        <f t="shared" si="224"/>
        <v>0</v>
      </c>
      <c r="BJ249" s="50">
        <f t="shared" si="225"/>
        <v>0</v>
      </c>
      <c r="BK249" s="50"/>
      <c r="BL249" s="50"/>
      <c r="BW249" s="50">
        <v>21</v>
      </c>
    </row>
    <row r="250" spans="1:75" ht="13.5" customHeight="1" x14ac:dyDescent="0.25">
      <c r="A250" s="36" t="s">
        <v>239</v>
      </c>
      <c r="B250" s="53" t="s">
        <v>724</v>
      </c>
      <c r="C250" s="68" t="s">
        <v>192</v>
      </c>
      <c r="D250" s="69"/>
      <c r="E250" s="53" t="s">
        <v>518</v>
      </c>
      <c r="F250" s="50">
        <v>2</v>
      </c>
      <c r="G250" s="50">
        <v>0</v>
      </c>
      <c r="H250" s="50">
        <f t="shared" si="202"/>
        <v>0</v>
      </c>
      <c r="I250" s="50">
        <f t="shared" si="203"/>
        <v>0</v>
      </c>
      <c r="J250" s="50">
        <f t="shared" si="204"/>
        <v>0</v>
      </c>
      <c r="K250" s="50">
        <v>0</v>
      </c>
      <c r="L250" s="29">
        <v>0</v>
      </c>
      <c r="Z250" s="50">
        <f t="shared" si="205"/>
        <v>0</v>
      </c>
      <c r="AB250" s="50">
        <f t="shared" si="206"/>
        <v>0</v>
      </c>
      <c r="AC250" s="50">
        <f t="shared" si="207"/>
        <v>0</v>
      </c>
      <c r="AD250" s="50">
        <f t="shared" si="208"/>
        <v>0</v>
      </c>
      <c r="AE250" s="50">
        <f t="shared" si="209"/>
        <v>0</v>
      </c>
      <c r="AF250" s="50">
        <f t="shared" si="210"/>
        <v>0</v>
      </c>
      <c r="AG250" s="50">
        <f t="shared" si="211"/>
        <v>0</v>
      </c>
      <c r="AH250" s="50">
        <f t="shared" si="212"/>
        <v>0</v>
      </c>
      <c r="AI250" s="57" t="s">
        <v>510</v>
      </c>
      <c r="AJ250" s="50">
        <f t="shared" si="213"/>
        <v>0</v>
      </c>
      <c r="AK250" s="50">
        <f t="shared" si="214"/>
        <v>0</v>
      </c>
      <c r="AL250" s="50">
        <f t="shared" si="215"/>
        <v>0</v>
      </c>
      <c r="AN250" s="50">
        <v>21</v>
      </c>
      <c r="AO250" s="50">
        <f t="shared" si="216"/>
        <v>0</v>
      </c>
      <c r="AP250" s="50">
        <f t="shared" si="217"/>
        <v>0</v>
      </c>
      <c r="AQ250" s="38" t="s">
        <v>507</v>
      </c>
      <c r="AV250" s="50">
        <f t="shared" si="218"/>
        <v>0</v>
      </c>
      <c r="AW250" s="50">
        <f t="shared" si="219"/>
        <v>0</v>
      </c>
      <c r="AX250" s="50">
        <f t="shared" si="220"/>
        <v>0</v>
      </c>
      <c r="AY250" s="38" t="s">
        <v>187</v>
      </c>
      <c r="AZ250" s="38" t="s">
        <v>258</v>
      </c>
      <c r="BA250" s="57" t="s">
        <v>571</v>
      </c>
      <c r="BC250" s="50">
        <f t="shared" si="221"/>
        <v>0</v>
      </c>
      <c r="BD250" s="50">
        <f t="shared" si="222"/>
        <v>0</v>
      </c>
      <c r="BE250" s="50">
        <v>0</v>
      </c>
      <c r="BF250" s="50">
        <f>250</f>
        <v>250</v>
      </c>
      <c r="BH250" s="50">
        <f t="shared" si="223"/>
        <v>0</v>
      </c>
      <c r="BI250" s="50">
        <f t="shared" si="224"/>
        <v>0</v>
      </c>
      <c r="BJ250" s="50">
        <f t="shared" si="225"/>
        <v>0</v>
      </c>
      <c r="BK250" s="50"/>
      <c r="BL250" s="50"/>
      <c r="BW250" s="50">
        <v>21</v>
      </c>
    </row>
    <row r="251" spans="1:75" ht="13.5" customHeight="1" x14ac:dyDescent="0.25">
      <c r="A251" s="36" t="s">
        <v>770</v>
      </c>
      <c r="B251" s="53" t="s">
        <v>161</v>
      </c>
      <c r="C251" s="68" t="s">
        <v>231</v>
      </c>
      <c r="D251" s="69"/>
      <c r="E251" s="53" t="s">
        <v>518</v>
      </c>
      <c r="F251" s="50">
        <v>1</v>
      </c>
      <c r="G251" s="50">
        <v>0</v>
      </c>
      <c r="H251" s="50">
        <f t="shared" si="202"/>
        <v>0</v>
      </c>
      <c r="I251" s="50">
        <f t="shared" si="203"/>
        <v>0</v>
      </c>
      <c r="J251" s="50">
        <f t="shared" si="204"/>
        <v>0</v>
      </c>
      <c r="K251" s="50">
        <v>0</v>
      </c>
      <c r="L251" s="29">
        <v>0</v>
      </c>
      <c r="Z251" s="50">
        <f t="shared" si="205"/>
        <v>0</v>
      </c>
      <c r="AB251" s="50">
        <f t="shared" si="206"/>
        <v>0</v>
      </c>
      <c r="AC251" s="50">
        <f t="shared" si="207"/>
        <v>0</v>
      </c>
      <c r="AD251" s="50">
        <f t="shared" si="208"/>
        <v>0</v>
      </c>
      <c r="AE251" s="50">
        <f t="shared" si="209"/>
        <v>0</v>
      </c>
      <c r="AF251" s="50">
        <f t="shared" si="210"/>
        <v>0</v>
      </c>
      <c r="AG251" s="50">
        <f t="shared" si="211"/>
        <v>0</v>
      </c>
      <c r="AH251" s="50">
        <f t="shared" si="212"/>
        <v>0</v>
      </c>
      <c r="AI251" s="57" t="s">
        <v>510</v>
      </c>
      <c r="AJ251" s="50">
        <f t="shared" si="213"/>
        <v>0</v>
      </c>
      <c r="AK251" s="50">
        <f t="shared" si="214"/>
        <v>0</v>
      </c>
      <c r="AL251" s="50">
        <f t="shared" si="215"/>
        <v>0</v>
      </c>
      <c r="AN251" s="50">
        <v>21</v>
      </c>
      <c r="AO251" s="50">
        <f t="shared" si="216"/>
        <v>0</v>
      </c>
      <c r="AP251" s="50">
        <f t="shared" si="217"/>
        <v>0</v>
      </c>
      <c r="AQ251" s="38" t="s">
        <v>507</v>
      </c>
      <c r="AV251" s="50">
        <f t="shared" si="218"/>
        <v>0</v>
      </c>
      <c r="AW251" s="50">
        <f t="shared" si="219"/>
        <v>0</v>
      </c>
      <c r="AX251" s="50">
        <f t="shared" si="220"/>
        <v>0</v>
      </c>
      <c r="AY251" s="38" t="s">
        <v>187</v>
      </c>
      <c r="AZ251" s="38" t="s">
        <v>258</v>
      </c>
      <c r="BA251" s="57" t="s">
        <v>571</v>
      </c>
      <c r="BC251" s="50">
        <f t="shared" si="221"/>
        <v>0</v>
      </c>
      <c r="BD251" s="50">
        <f t="shared" si="222"/>
        <v>0</v>
      </c>
      <c r="BE251" s="50">
        <v>0</v>
      </c>
      <c r="BF251" s="50">
        <f>251</f>
        <v>251</v>
      </c>
      <c r="BH251" s="50">
        <f t="shared" si="223"/>
        <v>0</v>
      </c>
      <c r="BI251" s="50">
        <f t="shared" si="224"/>
        <v>0</v>
      </c>
      <c r="BJ251" s="50">
        <f t="shared" si="225"/>
        <v>0</v>
      </c>
      <c r="BK251" s="50"/>
      <c r="BL251" s="50"/>
      <c r="BW251" s="50">
        <v>21</v>
      </c>
    </row>
    <row r="252" spans="1:75" ht="15" customHeight="1" x14ac:dyDescent="0.25">
      <c r="A252" s="47" t="s">
        <v>510</v>
      </c>
      <c r="B252" s="35" t="s">
        <v>236</v>
      </c>
      <c r="C252" s="70" t="s">
        <v>72</v>
      </c>
      <c r="D252" s="71"/>
      <c r="E252" s="1" t="s">
        <v>686</v>
      </c>
      <c r="F252" s="1" t="s">
        <v>686</v>
      </c>
      <c r="G252" s="1" t="s">
        <v>686</v>
      </c>
      <c r="H252" s="5">
        <f>SUM(H253:H254)</f>
        <v>0</v>
      </c>
      <c r="I252" s="5">
        <f>SUM(I253:I254)</f>
        <v>0</v>
      </c>
      <c r="J252" s="5">
        <f>SUM(J253:J254)</f>
        <v>0</v>
      </c>
      <c r="K252" s="57" t="s">
        <v>510</v>
      </c>
      <c r="L252" s="7" t="s">
        <v>510</v>
      </c>
      <c r="AI252" s="57" t="s">
        <v>510</v>
      </c>
      <c r="AS252" s="5">
        <f>SUM(AJ253:AJ254)</f>
        <v>0</v>
      </c>
      <c r="AT252" s="5">
        <f>SUM(AK253:AK254)</f>
        <v>0</v>
      </c>
      <c r="AU252" s="5">
        <f>SUM(AL253:AL254)</f>
        <v>0</v>
      </c>
    </row>
    <row r="253" spans="1:75" ht="13.5" customHeight="1" x14ac:dyDescent="0.25">
      <c r="A253" s="36" t="s">
        <v>413</v>
      </c>
      <c r="B253" s="53" t="s">
        <v>147</v>
      </c>
      <c r="C253" s="68" t="s">
        <v>207</v>
      </c>
      <c r="D253" s="69"/>
      <c r="E253" s="53" t="s">
        <v>331</v>
      </c>
      <c r="F253" s="50">
        <v>1</v>
      </c>
      <c r="G253" s="50">
        <v>0</v>
      </c>
      <c r="H253" s="50">
        <f>F253*AO253</f>
        <v>0</v>
      </c>
      <c r="I253" s="50">
        <f>F253*AP253</f>
        <v>0</v>
      </c>
      <c r="J253" s="50">
        <f>F253*G253</f>
        <v>0</v>
      </c>
      <c r="K253" s="50">
        <v>0</v>
      </c>
      <c r="L253" s="29">
        <v>0</v>
      </c>
      <c r="Z253" s="50">
        <f>IF(AQ253="5",BJ253,0)</f>
        <v>0</v>
      </c>
      <c r="AB253" s="50">
        <f>IF(AQ253="1",BH253,0)</f>
        <v>0</v>
      </c>
      <c r="AC253" s="50">
        <f>IF(AQ253="1",BI253,0)</f>
        <v>0</v>
      </c>
      <c r="AD253" s="50">
        <f>IF(AQ253="7",BH253,0)</f>
        <v>0</v>
      </c>
      <c r="AE253" s="50">
        <f>IF(AQ253="7",BI253,0)</f>
        <v>0</v>
      </c>
      <c r="AF253" s="50">
        <f>IF(AQ253="2",BH253,0)</f>
        <v>0</v>
      </c>
      <c r="AG253" s="50">
        <f>IF(AQ253="2",BI253,0)</f>
        <v>0</v>
      </c>
      <c r="AH253" s="50">
        <f>IF(AQ253="0",BJ253,0)</f>
        <v>0</v>
      </c>
      <c r="AI253" s="57" t="s">
        <v>510</v>
      </c>
      <c r="AJ253" s="50">
        <f>IF(AN253=0,J253,0)</f>
        <v>0</v>
      </c>
      <c r="AK253" s="50">
        <f>IF(AN253=15,J253,0)</f>
        <v>0</v>
      </c>
      <c r="AL253" s="50">
        <f>IF(AN253=21,J253,0)</f>
        <v>0</v>
      </c>
      <c r="AN253" s="50">
        <v>21</v>
      </c>
      <c r="AO253" s="50">
        <f>G253*0</f>
        <v>0</v>
      </c>
      <c r="AP253" s="50">
        <f>G253*(1-0)</f>
        <v>0</v>
      </c>
      <c r="AQ253" s="38" t="s">
        <v>390</v>
      </c>
      <c r="AV253" s="50">
        <f>AW253+AX253</f>
        <v>0</v>
      </c>
      <c r="AW253" s="50">
        <f>F253*AO253</f>
        <v>0</v>
      </c>
      <c r="AX253" s="50">
        <f>F253*AP253</f>
        <v>0</v>
      </c>
      <c r="AY253" s="38" t="s">
        <v>298</v>
      </c>
      <c r="AZ253" s="38" t="s">
        <v>258</v>
      </c>
      <c r="BA253" s="57" t="s">
        <v>571</v>
      </c>
      <c r="BC253" s="50">
        <f>AW253+AX253</f>
        <v>0</v>
      </c>
      <c r="BD253" s="50">
        <f>G253/(100-BE253)*100</f>
        <v>0</v>
      </c>
      <c r="BE253" s="50">
        <v>0</v>
      </c>
      <c r="BF253" s="50">
        <f>253</f>
        <v>253</v>
      </c>
      <c r="BH253" s="50">
        <f>F253*AO253</f>
        <v>0</v>
      </c>
      <c r="BI253" s="50">
        <f>F253*AP253</f>
        <v>0</v>
      </c>
      <c r="BJ253" s="50">
        <f>F253*G253</f>
        <v>0</v>
      </c>
      <c r="BK253" s="50"/>
      <c r="BL253" s="50"/>
      <c r="BW253" s="50">
        <v>21</v>
      </c>
    </row>
    <row r="254" spans="1:75" ht="13.5" customHeight="1" x14ac:dyDescent="0.25">
      <c r="A254" s="20" t="s">
        <v>394</v>
      </c>
      <c r="B254" s="62" t="s">
        <v>459</v>
      </c>
      <c r="C254" s="72" t="s">
        <v>222</v>
      </c>
      <c r="D254" s="73"/>
      <c r="E254" s="62" t="s">
        <v>331</v>
      </c>
      <c r="F254" s="43">
        <v>3</v>
      </c>
      <c r="G254" s="43">
        <v>0</v>
      </c>
      <c r="H254" s="43">
        <f>F254*AO254</f>
        <v>0</v>
      </c>
      <c r="I254" s="43">
        <f>F254*AP254</f>
        <v>0</v>
      </c>
      <c r="J254" s="43">
        <f>F254*G254</f>
        <v>0</v>
      </c>
      <c r="K254" s="43">
        <v>0</v>
      </c>
      <c r="L254" s="46">
        <v>0</v>
      </c>
      <c r="Z254" s="50">
        <f>IF(AQ254="5",BJ254,0)</f>
        <v>0</v>
      </c>
      <c r="AB254" s="50">
        <f>IF(AQ254="1",BH254,0)</f>
        <v>0</v>
      </c>
      <c r="AC254" s="50">
        <f>IF(AQ254="1",BI254,0)</f>
        <v>0</v>
      </c>
      <c r="AD254" s="50">
        <f>IF(AQ254="7",BH254,0)</f>
        <v>0</v>
      </c>
      <c r="AE254" s="50">
        <f>IF(AQ254="7",BI254,0)</f>
        <v>0</v>
      </c>
      <c r="AF254" s="50">
        <f>IF(AQ254="2",BH254,0)</f>
        <v>0</v>
      </c>
      <c r="AG254" s="50">
        <f>IF(AQ254="2",BI254,0)</f>
        <v>0</v>
      </c>
      <c r="AH254" s="50">
        <f>IF(AQ254="0",BJ254,0)</f>
        <v>0</v>
      </c>
      <c r="AI254" s="57" t="s">
        <v>510</v>
      </c>
      <c r="AJ254" s="50">
        <f>IF(AN254=0,J254,0)</f>
        <v>0</v>
      </c>
      <c r="AK254" s="50">
        <f>IF(AN254=15,J254,0)</f>
        <v>0</v>
      </c>
      <c r="AL254" s="50">
        <f>IF(AN254=21,J254,0)</f>
        <v>0</v>
      </c>
      <c r="AN254" s="50">
        <v>21</v>
      </c>
      <c r="AO254" s="50">
        <f>G254*0</f>
        <v>0</v>
      </c>
      <c r="AP254" s="50">
        <f>G254*(1-0)</f>
        <v>0</v>
      </c>
      <c r="AQ254" s="38" t="s">
        <v>390</v>
      </c>
      <c r="AV254" s="50">
        <f>AW254+AX254</f>
        <v>0</v>
      </c>
      <c r="AW254" s="50">
        <f>F254*AO254</f>
        <v>0</v>
      </c>
      <c r="AX254" s="50">
        <f>F254*AP254</f>
        <v>0</v>
      </c>
      <c r="AY254" s="38" t="s">
        <v>298</v>
      </c>
      <c r="AZ254" s="38" t="s">
        <v>258</v>
      </c>
      <c r="BA254" s="57" t="s">
        <v>571</v>
      </c>
      <c r="BC254" s="50">
        <f>AW254+AX254</f>
        <v>0</v>
      </c>
      <c r="BD254" s="50">
        <f>G254/(100-BE254)*100</f>
        <v>0</v>
      </c>
      <c r="BE254" s="50">
        <v>0</v>
      </c>
      <c r="BF254" s="50">
        <f>254</f>
        <v>254</v>
      </c>
      <c r="BH254" s="50">
        <f>F254*AO254</f>
        <v>0</v>
      </c>
      <c r="BI254" s="50">
        <f>F254*AP254</f>
        <v>0</v>
      </c>
      <c r="BJ254" s="50">
        <f>F254*G254</f>
        <v>0</v>
      </c>
      <c r="BK254" s="50"/>
      <c r="BL254" s="50"/>
      <c r="BW254" s="50">
        <v>21</v>
      </c>
    </row>
    <row r="255" spans="1:75" ht="15" customHeight="1" x14ac:dyDescent="0.25">
      <c r="H255" s="67" t="s">
        <v>587</v>
      </c>
      <c r="I255" s="67"/>
      <c r="J255" s="33">
        <f>ROUND(J12+J14+J17+J20+J23+J29+J33+J43+J65+J67+J85+J98+J107+J141+J144+J149+J153+J168+J170+J173+J176+J179+J182+J185+J188+J191+J194+J197+J200+J203+J207+J212+J243+J252,0)</f>
        <v>0</v>
      </c>
    </row>
    <row r="256" spans="1:75" ht="15" customHeight="1" x14ac:dyDescent="0.25">
      <c r="A256" s="10" t="s">
        <v>55</v>
      </c>
    </row>
    <row r="257" spans="1:12" ht="12.75" customHeight="1" x14ac:dyDescent="0.25">
      <c r="A257" s="68" t="s">
        <v>510</v>
      </c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</row>
  </sheetData>
  <mergeCells count="268">
    <mergeCell ref="A1:L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G8:G9"/>
    <mergeCell ref="I2:L3"/>
    <mergeCell ref="I4:L5"/>
    <mergeCell ref="I6:L7"/>
    <mergeCell ref="I8:L9"/>
    <mergeCell ref="C10:D10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C15:D15"/>
    <mergeCell ref="C16:D16"/>
    <mergeCell ref="C17:D17"/>
    <mergeCell ref="C18:D18"/>
    <mergeCell ref="C20:D20"/>
    <mergeCell ref="C21:D21"/>
    <mergeCell ref="C11:D11"/>
    <mergeCell ref="H10:J10"/>
    <mergeCell ref="K10:L10"/>
    <mergeCell ref="C12:D12"/>
    <mergeCell ref="C13:D13"/>
    <mergeCell ref="C14:D14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41:D41"/>
    <mergeCell ref="C42:D42"/>
    <mergeCell ref="C43:D43"/>
    <mergeCell ref="C44:D44"/>
    <mergeCell ref="C45:D45"/>
    <mergeCell ref="C46:D46"/>
    <mergeCell ref="C35:D35"/>
    <mergeCell ref="C36:D36"/>
    <mergeCell ref="C37:D37"/>
    <mergeCell ref="C38:D38"/>
    <mergeCell ref="C39:D39"/>
    <mergeCell ref="C40:D40"/>
    <mergeCell ref="C53:D53"/>
    <mergeCell ref="C54:D54"/>
    <mergeCell ref="C55:D55"/>
    <mergeCell ref="C56:D56"/>
    <mergeCell ref="C57:D57"/>
    <mergeCell ref="C58:D58"/>
    <mergeCell ref="C47:D47"/>
    <mergeCell ref="C48:D48"/>
    <mergeCell ref="C49:D49"/>
    <mergeCell ref="C50:D50"/>
    <mergeCell ref="C51:D51"/>
    <mergeCell ref="C52:D52"/>
    <mergeCell ref="C65:D65"/>
    <mergeCell ref="C66:D66"/>
    <mergeCell ref="C67:D67"/>
    <mergeCell ref="C68:D68"/>
    <mergeCell ref="C69:D69"/>
    <mergeCell ref="C70:D70"/>
    <mergeCell ref="C59:D59"/>
    <mergeCell ref="C60:D60"/>
    <mergeCell ref="C61:D61"/>
    <mergeCell ref="C62:D62"/>
    <mergeCell ref="C63:D63"/>
    <mergeCell ref="C64:D64"/>
    <mergeCell ref="C78:D78"/>
    <mergeCell ref="C79:D79"/>
    <mergeCell ref="C80:D80"/>
    <mergeCell ref="C81:D81"/>
    <mergeCell ref="C82:D82"/>
    <mergeCell ref="C83:D83"/>
    <mergeCell ref="C71:D71"/>
    <mergeCell ref="C72:D72"/>
    <mergeCell ref="C73:D73"/>
    <mergeCell ref="C74:D74"/>
    <mergeCell ref="C76:D76"/>
    <mergeCell ref="C77:D77"/>
    <mergeCell ref="C90:D90"/>
    <mergeCell ref="C91:D91"/>
    <mergeCell ref="C92:D92"/>
    <mergeCell ref="C93:D93"/>
    <mergeCell ref="C94:D94"/>
    <mergeCell ref="C95:D95"/>
    <mergeCell ref="C84:D84"/>
    <mergeCell ref="C85:D85"/>
    <mergeCell ref="C86:D86"/>
    <mergeCell ref="C87:D87"/>
    <mergeCell ref="C88:D88"/>
    <mergeCell ref="C89:D89"/>
    <mergeCell ref="C103:D103"/>
    <mergeCell ref="C104:D104"/>
    <mergeCell ref="C105:D105"/>
    <mergeCell ref="C106:D106"/>
    <mergeCell ref="C107:D107"/>
    <mergeCell ref="C108:D108"/>
    <mergeCell ref="C96:D96"/>
    <mergeCell ref="C98:D98"/>
    <mergeCell ref="C99:D99"/>
    <mergeCell ref="C100:D100"/>
    <mergeCell ref="C101:D101"/>
    <mergeCell ref="C102:D102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39:D139"/>
    <mergeCell ref="C140:D140"/>
    <mergeCell ref="C141:D141"/>
    <mergeCell ref="C142:D142"/>
    <mergeCell ref="C144:D144"/>
    <mergeCell ref="C145:D145"/>
    <mergeCell ref="C133:D133"/>
    <mergeCell ref="C134:D134"/>
    <mergeCell ref="C135:D135"/>
    <mergeCell ref="C136:D136"/>
    <mergeCell ref="C137:D137"/>
    <mergeCell ref="C138:D138"/>
    <mergeCell ref="C153:D153"/>
    <mergeCell ref="C154:D154"/>
    <mergeCell ref="C155:D155"/>
    <mergeCell ref="C156:D156"/>
    <mergeCell ref="C157:D157"/>
    <mergeCell ref="C158:D158"/>
    <mergeCell ref="C146:D146"/>
    <mergeCell ref="C147:D147"/>
    <mergeCell ref="C148:D148"/>
    <mergeCell ref="C149:D149"/>
    <mergeCell ref="C150:D150"/>
    <mergeCell ref="C151:D151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H255:I255"/>
    <mergeCell ref="A257:L257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256"/>
  <sheetViews>
    <sheetView showOutlineSymbols="0" workbookViewId="0">
      <selection activeCell="A256" sqref="A256:H256"/>
    </sheetView>
  </sheetViews>
  <sheetFormatPr defaultColWidth="17" defaultRowHeight="15" customHeight="1" x14ac:dyDescent="0.25"/>
  <cols>
    <col min="1" max="2" width="25" customWidth="1"/>
    <col min="3" max="3" width="60" customWidth="1"/>
    <col min="4" max="4" width="99.59765625" customWidth="1"/>
    <col min="5" max="5" width="33.796875" customWidth="1"/>
    <col min="6" max="6" width="22" customWidth="1"/>
    <col min="7" max="7" width="28" customWidth="1"/>
  </cols>
  <sheetData>
    <row r="1" spans="1:7" ht="54.75" customHeight="1" x14ac:dyDescent="0.25">
      <c r="A1" s="88" t="s">
        <v>370</v>
      </c>
      <c r="B1" s="88"/>
      <c r="C1" s="88"/>
      <c r="D1" s="88"/>
      <c r="E1" s="88"/>
      <c r="F1" s="88"/>
      <c r="G1" s="88"/>
    </row>
    <row r="2" spans="1:7" ht="15" customHeight="1" x14ac:dyDescent="0.25">
      <c r="A2" s="89" t="s">
        <v>48</v>
      </c>
      <c r="B2" s="86" t="str">
        <f>'Stavební rozpočet'!C2</f>
        <v>ZŠ Starý Bohumín - rekonstrukce plynové kotelny</v>
      </c>
      <c r="C2" s="87"/>
      <c r="D2" s="80" t="s">
        <v>630</v>
      </c>
      <c r="E2" s="80" t="str">
        <f>'Stavební rozpočet'!I2</f>
        <v>Město Bohumín, Masarykova158, 735 81 Bohumín</v>
      </c>
      <c r="F2" s="81"/>
      <c r="G2" s="82"/>
    </row>
    <row r="3" spans="1:7" ht="15" customHeight="1" x14ac:dyDescent="0.25">
      <c r="A3" s="90"/>
      <c r="B3" s="67"/>
      <c r="C3" s="67"/>
      <c r="D3" s="69"/>
      <c r="E3" s="69"/>
      <c r="F3" s="69"/>
      <c r="G3" s="83"/>
    </row>
    <row r="4" spans="1:7" ht="15" customHeight="1" x14ac:dyDescent="0.25">
      <c r="A4" s="91" t="s">
        <v>398</v>
      </c>
      <c r="B4" s="68" t="str">
        <f>'Stavební rozpočet'!C4</f>
        <v>Občanská vybavenost</v>
      </c>
      <c r="C4" s="69"/>
      <c r="D4" s="68" t="s">
        <v>508</v>
      </c>
      <c r="E4" s="68" t="str">
        <f>'Stavební rozpočet'!I4</f>
        <v>Ing Stanislav Wilczek</v>
      </c>
      <c r="F4" s="69"/>
      <c r="G4" s="83"/>
    </row>
    <row r="5" spans="1:7" ht="15" customHeight="1" x14ac:dyDescent="0.25">
      <c r="A5" s="90"/>
      <c r="B5" s="69"/>
      <c r="C5" s="69"/>
      <c r="D5" s="69"/>
      <c r="E5" s="69"/>
      <c r="F5" s="69"/>
      <c r="G5" s="83"/>
    </row>
    <row r="6" spans="1:7" ht="15" customHeight="1" x14ac:dyDescent="0.25">
      <c r="A6" s="91" t="s">
        <v>5</v>
      </c>
      <c r="B6" s="68" t="str">
        <f>'Stavební rozpočet'!C6</f>
        <v>Bezručova 90, 735 81 Bohumín - Starý Bohumín</v>
      </c>
      <c r="C6" s="69"/>
      <c r="D6" s="68" t="s">
        <v>648</v>
      </c>
      <c r="E6" s="68" t="str">
        <f>'Stavební rozpočet'!I6</f>
        <v> </v>
      </c>
      <c r="F6" s="69"/>
      <c r="G6" s="83"/>
    </row>
    <row r="7" spans="1:7" ht="15" customHeight="1" x14ac:dyDescent="0.25">
      <c r="A7" s="90"/>
      <c r="B7" s="69"/>
      <c r="C7" s="69"/>
      <c r="D7" s="69"/>
      <c r="E7" s="69"/>
      <c r="F7" s="69"/>
      <c r="G7" s="83"/>
    </row>
    <row r="8" spans="1:7" ht="15" customHeight="1" x14ac:dyDescent="0.25">
      <c r="A8" s="91" t="s">
        <v>493</v>
      </c>
      <c r="B8" s="68" t="str">
        <f>'Stavební rozpočet'!I8</f>
        <v>Ing. Stanislav Wilczek</v>
      </c>
      <c r="C8" s="69"/>
      <c r="D8" s="68" t="s">
        <v>408</v>
      </c>
      <c r="E8" s="68" t="str">
        <f>'Stavební rozpočet'!G8</f>
        <v>22.12.2023</v>
      </c>
      <c r="F8" s="69"/>
      <c r="G8" s="83"/>
    </row>
    <row r="9" spans="1:7" ht="15" customHeight="1" x14ac:dyDescent="0.25">
      <c r="A9" s="90"/>
      <c r="B9" s="69"/>
      <c r="C9" s="69"/>
      <c r="D9" s="69"/>
      <c r="E9" s="69"/>
      <c r="F9" s="69"/>
      <c r="G9" s="83"/>
    </row>
    <row r="10" spans="1:7" ht="15" customHeight="1" x14ac:dyDescent="0.25">
      <c r="A10" s="26" t="s">
        <v>54</v>
      </c>
      <c r="B10" s="23" t="s">
        <v>235</v>
      </c>
      <c r="C10" s="93" t="s">
        <v>792</v>
      </c>
      <c r="D10" s="94"/>
      <c r="E10" s="23" t="s">
        <v>251</v>
      </c>
      <c r="F10" s="51" t="s">
        <v>435</v>
      </c>
      <c r="G10" s="22" t="s">
        <v>641</v>
      </c>
    </row>
    <row r="11" spans="1:7" ht="15" customHeight="1" x14ac:dyDescent="0.25">
      <c r="A11" s="34" t="s">
        <v>510</v>
      </c>
      <c r="B11" s="6" t="s">
        <v>423</v>
      </c>
      <c r="C11" s="71" t="s">
        <v>215</v>
      </c>
      <c r="D11" s="71"/>
      <c r="E11" s="6" t="s">
        <v>510</v>
      </c>
      <c r="F11" s="48" t="s">
        <v>510</v>
      </c>
      <c r="G11" s="63" t="s">
        <v>510</v>
      </c>
    </row>
    <row r="12" spans="1:7" ht="15" customHeight="1" x14ac:dyDescent="0.25">
      <c r="A12" s="36" t="s">
        <v>725</v>
      </c>
      <c r="B12" s="53" t="s">
        <v>93</v>
      </c>
      <c r="C12" s="69" t="s">
        <v>603</v>
      </c>
      <c r="D12" s="69"/>
      <c r="E12" s="53" t="s">
        <v>485</v>
      </c>
      <c r="F12" s="50">
        <v>24.000000000000004</v>
      </c>
      <c r="G12" s="29">
        <v>0</v>
      </c>
    </row>
    <row r="13" spans="1:7" ht="15" customHeight="1" x14ac:dyDescent="0.25">
      <c r="A13" s="31" t="s">
        <v>510</v>
      </c>
      <c r="B13" s="35" t="s">
        <v>428</v>
      </c>
      <c r="C13" s="71" t="s">
        <v>709</v>
      </c>
      <c r="D13" s="71"/>
      <c r="E13" s="35" t="s">
        <v>510</v>
      </c>
      <c r="F13" s="57" t="s">
        <v>510</v>
      </c>
      <c r="G13" s="7" t="s">
        <v>510</v>
      </c>
    </row>
    <row r="14" spans="1:7" ht="15" customHeight="1" x14ac:dyDescent="0.25">
      <c r="A14" s="36" t="s">
        <v>507</v>
      </c>
      <c r="B14" s="53" t="s">
        <v>309</v>
      </c>
      <c r="C14" s="69" t="s">
        <v>86</v>
      </c>
      <c r="D14" s="69"/>
      <c r="E14" s="53" t="s">
        <v>180</v>
      </c>
      <c r="F14" s="50">
        <v>1</v>
      </c>
      <c r="G14" s="29">
        <v>0</v>
      </c>
    </row>
    <row r="15" spans="1:7" ht="15" customHeight="1" x14ac:dyDescent="0.25">
      <c r="A15" s="36" t="s">
        <v>643</v>
      </c>
      <c r="B15" s="53" t="s">
        <v>650</v>
      </c>
      <c r="C15" s="69" t="s">
        <v>117</v>
      </c>
      <c r="D15" s="69"/>
      <c r="E15" s="53" t="s">
        <v>180</v>
      </c>
      <c r="F15" s="50">
        <v>1</v>
      </c>
      <c r="G15" s="29">
        <v>0</v>
      </c>
    </row>
    <row r="16" spans="1:7" ht="15" customHeight="1" x14ac:dyDescent="0.25">
      <c r="A16" s="31" t="s">
        <v>510</v>
      </c>
      <c r="B16" s="35" t="s">
        <v>537</v>
      </c>
      <c r="C16" s="71" t="s">
        <v>530</v>
      </c>
      <c r="D16" s="71"/>
      <c r="E16" s="35" t="s">
        <v>510</v>
      </c>
      <c r="F16" s="57" t="s">
        <v>510</v>
      </c>
      <c r="G16" s="7" t="s">
        <v>510</v>
      </c>
    </row>
    <row r="17" spans="1:7" ht="15" customHeight="1" x14ac:dyDescent="0.25">
      <c r="A17" s="36" t="s">
        <v>75</v>
      </c>
      <c r="B17" s="53" t="s">
        <v>732</v>
      </c>
      <c r="C17" s="69" t="s">
        <v>535</v>
      </c>
      <c r="D17" s="69"/>
      <c r="E17" s="53" t="s">
        <v>716</v>
      </c>
      <c r="F17" s="50">
        <v>98.9</v>
      </c>
      <c r="G17" s="29">
        <v>0</v>
      </c>
    </row>
    <row r="18" spans="1:7" ht="15" customHeight="1" x14ac:dyDescent="0.25">
      <c r="A18" s="36" t="s">
        <v>510</v>
      </c>
      <c r="B18" s="53" t="s">
        <v>510</v>
      </c>
      <c r="C18" s="11" t="s">
        <v>581</v>
      </c>
      <c r="D18" s="92" t="s">
        <v>510</v>
      </c>
      <c r="E18" s="92"/>
      <c r="F18" s="40">
        <v>98.9</v>
      </c>
      <c r="G18" s="27" t="s">
        <v>510</v>
      </c>
    </row>
    <row r="19" spans="1:7" ht="15" customHeight="1" x14ac:dyDescent="0.25">
      <c r="A19" s="31" t="s">
        <v>510</v>
      </c>
      <c r="B19" s="35" t="s">
        <v>164</v>
      </c>
      <c r="C19" s="71" t="s">
        <v>741</v>
      </c>
      <c r="D19" s="71"/>
      <c r="E19" s="35" t="s">
        <v>510</v>
      </c>
      <c r="F19" s="57" t="s">
        <v>510</v>
      </c>
      <c r="G19" s="7" t="s">
        <v>510</v>
      </c>
    </row>
    <row r="20" spans="1:7" ht="15" customHeight="1" x14ac:dyDescent="0.25">
      <c r="A20" s="36" t="s">
        <v>390</v>
      </c>
      <c r="B20" s="53" t="s">
        <v>545</v>
      </c>
      <c r="C20" s="69" t="s">
        <v>376</v>
      </c>
      <c r="D20" s="69"/>
      <c r="E20" s="53" t="s">
        <v>716</v>
      </c>
      <c r="F20" s="50">
        <v>0.24000000000000002</v>
      </c>
      <c r="G20" s="29">
        <v>0</v>
      </c>
    </row>
    <row r="21" spans="1:7" ht="15" customHeight="1" x14ac:dyDescent="0.25">
      <c r="A21" s="36" t="s">
        <v>510</v>
      </c>
      <c r="B21" s="53" t="s">
        <v>510</v>
      </c>
      <c r="C21" s="11" t="s">
        <v>241</v>
      </c>
      <c r="D21" s="92" t="s">
        <v>510</v>
      </c>
      <c r="E21" s="92"/>
      <c r="F21" s="40">
        <v>0.24000000000000002</v>
      </c>
      <c r="G21" s="27" t="s">
        <v>510</v>
      </c>
    </row>
    <row r="22" spans="1:7" ht="15" customHeight="1" x14ac:dyDescent="0.25">
      <c r="A22" s="31" t="s">
        <v>510</v>
      </c>
      <c r="B22" s="35" t="s">
        <v>600</v>
      </c>
      <c r="C22" s="71" t="s">
        <v>434</v>
      </c>
      <c r="D22" s="71"/>
      <c r="E22" s="35" t="s">
        <v>510</v>
      </c>
      <c r="F22" s="57" t="s">
        <v>510</v>
      </c>
      <c r="G22" s="7" t="s">
        <v>510</v>
      </c>
    </row>
    <row r="23" spans="1:7" ht="15" customHeight="1" x14ac:dyDescent="0.25">
      <c r="A23" s="36" t="s">
        <v>118</v>
      </c>
      <c r="B23" s="53" t="s">
        <v>365</v>
      </c>
      <c r="C23" s="69" t="s">
        <v>559</v>
      </c>
      <c r="D23" s="69"/>
      <c r="E23" s="53" t="s">
        <v>716</v>
      </c>
      <c r="F23" s="50">
        <v>7.0000000000000009</v>
      </c>
      <c r="G23" s="29">
        <v>0</v>
      </c>
    </row>
    <row r="24" spans="1:7" ht="15" customHeight="1" x14ac:dyDescent="0.25">
      <c r="A24" s="36" t="s">
        <v>731</v>
      </c>
      <c r="B24" s="53" t="s">
        <v>276</v>
      </c>
      <c r="C24" s="69" t="s">
        <v>184</v>
      </c>
      <c r="D24" s="69"/>
      <c r="E24" s="53" t="s">
        <v>618</v>
      </c>
      <c r="F24" s="50">
        <v>16</v>
      </c>
      <c r="G24" s="29">
        <v>0</v>
      </c>
    </row>
    <row r="25" spans="1:7" ht="15" customHeight="1" x14ac:dyDescent="0.25">
      <c r="A25" s="36" t="s">
        <v>586</v>
      </c>
      <c r="B25" s="53" t="s">
        <v>562</v>
      </c>
      <c r="C25" s="69" t="s">
        <v>473</v>
      </c>
      <c r="D25" s="69"/>
      <c r="E25" s="53" t="s">
        <v>618</v>
      </c>
      <c r="F25" s="50">
        <v>6.0000000000000009</v>
      </c>
      <c r="G25" s="29">
        <v>0</v>
      </c>
    </row>
    <row r="26" spans="1:7" ht="15" customHeight="1" x14ac:dyDescent="0.25">
      <c r="A26" s="36" t="s">
        <v>274</v>
      </c>
      <c r="B26" s="53" t="s">
        <v>243</v>
      </c>
      <c r="C26" s="69" t="s">
        <v>777</v>
      </c>
      <c r="D26" s="69"/>
      <c r="E26" s="53" t="s">
        <v>618</v>
      </c>
      <c r="F26" s="50">
        <v>6.0000000000000009</v>
      </c>
      <c r="G26" s="29">
        <v>0</v>
      </c>
    </row>
    <row r="27" spans="1:7" ht="15" customHeight="1" x14ac:dyDescent="0.25">
      <c r="A27" s="36" t="s">
        <v>418</v>
      </c>
      <c r="B27" s="53" t="s">
        <v>730</v>
      </c>
      <c r="C27" s="69" t="s">
        <v>728</v>
      </c>
      <c r="D27" s="69"/>
      <c r="E27" s="53" t="s">
        <v>618</v>
      </c>
      <c r="F27" s="50">
        <v>6.0000000000000009</v>
      </c>
      <c r="G27" s="29">
        <v>0</v>
      </c>
    </row>
    <row r="28" spans="1:7" ht="15" customHeight="1" x14ac:dyDescent="0.25">
      <c r="A28" s="31" t="s">
        <v>510</v>
      </c>
      <c r="B28" s="35" t="s">
        <v>475</v>
      </c>
      <c r="C28" s="71" t="s">
        <v>826</v>
      </c>
      <c r="D28" s="71"/>
      <c r="E28" s="35" t="s">
        <v>510</v>
      </c>
      <c r="F28" s="57" t="s">
        <v>510</v>
      </c>
      <c r="G28" s="7" t="s">
        <v>510</v>
      </c>
    </row>
    <row r="29" spans="1:7" ht="15" customHeight="1" x14ac:dyDescent="0.25">
      <c r="A29" s="36" t="s">
        <v>622</v>
      </c>
      <c r="B29" s="53" t="s">
        <v>181</v>
      </c>
      <c r="C29" s="69" t="s">
        <v>818</v>
      </c>
      <c r="D29" s="69"/>
      <c r="E29" s="53" t="s">
        <v>180</v>
      </c>
      <c r="F29" s="50">
        <v>8</v>
      </c>
      <c r="G29" s="29">
        <v>0</v>
      </c>
    </row>
    <row r="30" spans="1:7" ht="15" customHeight="1" x14ac:dyDescent="0.25">
      <c r="A30" s="36" t="s">
        <v>542</v>
      </c>
      <c r="B30" s="53" t="s">
        <v>96</v>
      </c>
      <c r="C30" s="69" t="s">
        <v>112</v>
      </c>
      <c r="D30" s="69"/>
      <c r="E30" s="53" t="s">
        <v>618</v>
      </c>
      <c r="F30" s="50">
        <v>5</v>
      </c>
      <c r="G30" s="29">
        <v>0</v>
      </c>
    </row>
    <row r="31" spans="1:7" ht="15" customHeight="1" x14ac:dyDescent="0.25">
      <c r="A31" s="36" t="s">
        <v>211</v>
      </c>
      <c r="B31" s="53" t="s">
        <v>96</v>
      </c>
      <c r="C31" s="69" t="s">
        <v>815</v>
      </c>
      <c r="D31" s="69"/>
      <c r="E31" s="53" t="s">
        <v>618</v>
      </c>
      <c r="F31" s="50">
        <v>3.0000000000000004</v>
      </c>
      <c r="G31" s="29">
        <v>0</v>
      </c>
    </row>
    <row r="32" spans="1:7" ht="15" customHeight="1" x14ac:dyDescent="0.25">
      <c r="A32" s="31" t="s">
        <v>510</v>
      </c>
      <c r="B32" s="35" t="s">
        <v>675</v>
      </c>
      <c r="C32" s="71" t="s">
        <v>449</v>
      </c>
      <c r="D32" s="71"/>
      <c r="E32" s="35" t="s">
        <v>510</v>
      </c>
      <c r="F32" s="57" t="s">
        <v>510</v>
      </c>
      <c r="G32" s="7" t="s">
        <v>510</v>
      </c>
    </row>
    <row r="33" spans="1:7" ht="15" customHeight="1" x14ac:dyDescent="0.25">
      <c r="A33" s="36" t="s">
        <v>426</v>
      </c>
      <c r="B33" s="53" t="s">
        <v>405</v>
      </c>
      <c r="C33" s="69" t="s">
        <v>160</v>
      </c>
      <c r="D33" s="69"/>
      <c r="E33" s="53" t="s">
        <v>180</v>
      </c>
      <c r="F33" s="50">
        <v>1</v>
      </c>
      <c r="G33" s="29">
        <v>0</v>
      </c>
    </row>
    <row r="34" spans="1:7" ht="15" customHeight="1" x14ac:dyDescent="0.25">
      <c r="A34" s="36" t="s">
        <v>282</v>
      </c>
      <c r="B34" s="53" t="s">
        <v>595</v>
      </c>
      <c r="C34" s="69" t="s">
        <v>621</v>
      </c>
      <c r="D34" s="69"/>
      <c r="E34" s="53" t="s">
        <v>180</v>
      </c>
      <c r="F34" s="50">
        <v>1</v>
      </c>
      <c r="G34" s="29">
        <v>0</v>
      </c>
    </row>
    <row r="35" spans="1:7" ht="15" customHeight="1" x14ac:dyDescent="0.25">
      <c r="A35" s="36" t="s">
        <v>59</v>
      </c>
      <c r="B35" s="53" t="s">
        <v>640</v>
      </c>
      <c r="C35" s="69" t="s">
        <v>332</v>
      </c>
      <c r="D35" s="69"/>
      <c r="E35" s="53" t="s">
        <v>180</v>
      </c>
      <c r="F35" s="50">
        <v>2</v>
      </c>
      <c r="G35" s="29">
        <v>0</v>
      </c>
    </row>
    <row r="36" spans="1:7" ht="15" customHeight="1" x14ac:dyDescent="0.25">
      <c r="A36" s="36" t="s">
        <v>516</v>
      </c>
      <c r="B36" s="53" t="s">
        <v>26</v>
      </c>
      <c r="C36" s="69" t="s">
        <v>619</v>
      </c>
      <c r="D36" s="69"/>
      <c r="E36" s="53" t="s">
        <v>180</v>
      </c>
      <c r="F36" s="50">
        <v>1</v>
      </c>
      <c r="G36" s="29">
        <v>0</v>
      </c>
    </row>
    <row r="37" spans="1:7" ht="15" customHeight="1" x14ac:dyDescent="0.25">
      <c r="A37" s="36" t="s">
        <v>593</v>
      </c>
      <c r="B37" s="53" t="s">
        <v>65</v>
      </c>
      <c r="C37" s="69" t="s">
        <v>458</v>
      </c>
      <c r="D37" s="69"/>
      <c r="E37" s="53" t="s">
        <v>180</v>
      </c>
      <c r="F37" s="50">
        <v>2</v>
      </c>
      <c r="G37" s="29">
        <v>0</v>
      </c>
    </row>
    <row r="38" spans="1:7" ht="15" customHeight="1" x14ac:dyDescent="0.25">
      <c r="A38" s="36" t="s">
        <v>470</v>
      </c>
      <c r="B38" s="53" t="s">
        <v>651</v>
      </c>
      <c r="C38" s="69" t="s">
        <v>363</v>
      </c>
      <c r="D38" s="69"/>
      <c r="E38" s="53" t="s">
        <v>618</v>
      </c>
      <c r="F38" s="50">
        <v>4</v>
      </c>
      <c r="G38" s="29">
        <v>0</v>
      </c>
    </row>
    <row r="39" spans="1:7" ht="15" customHeight="1" x14ac:dyDescent="0.25">
      <c r="A39" s="36" t="s">
        <v>33</v>
      </c>
      <c r="B39" s="53" t="s">
        <v>609</v>
      </c>
      <c r="C39" s="69" t="s">
        <v>188</v>
      </c>
      <c r="D39" s="69"/>
      <c r="E39" s="53" t="s">
        <v>618</v>
      </c>
      <c r="F39" s="50">
        <v>2</v>
      </c>
      <c r="G39" s="29">
        <v>0</v>
      </c>
    </row>
    <row r="40" spans="1:7" ht="15" customHeight="1" x14ac:dyDescent="0.25">
      <c r="A40" s="36" t="s">
        <v>525</v>
      </c>
      <c r="B40" s="53" t="s">
        <v>786</v>
      </c>
      <c r="C40" s="69" t="s">
        <v>705</v>
      </c>
      <c r="D40" s="69"/>
      <c r="E40" s="53" t="s">
        <v>250</v>
      </c>
      <c r="F40" s="50">
        <v>1</v>
      </c>
      <c r="G40" s="29">
        <v>0</v>
      </c>
    </row>
    <row r="41" spans="1:7" ht="15" customHeight="1" x14ac:dyDescent="0.25">
      <c r="A41" s="36" t="s">
        <v>704</v>
      </c>
      <c r="B41" s="53" t="s">
        <v>95</v>
      </c>
      <c r="C41" s="69" t="s">
        <v>115</v>
      </c>
      <c r="D41" s="69"/>
      <c r="E41" s="53" t="s">
        <v>180</v>
      </c>
      <c r="F41" s="50">
        <v>1</v>
      </c>
      <c r="G41" s="29">
        <v>0</v>
      </c>
    </row>
    <row r="42" spans="1:7" ht="15" customHeight="1" x14ac:dyDescent="0.25">
      <c r="A42" s="31" t="s">
        <v>510</v>
      </c>
      <c r="B42" s="35" t="s">
        <v>532</v>
      </c>
      <c r="C42" s="71" t="s">
        <v>353</v>
      </c>
      <c r="D42" s="71"/>
      <c r="E42" s="35" t="s">
        <v>510</v>
      </c>
      <c r="F42" s="57" t="s">
        <v>510</v>
      </c>
      <c r="G42" s="7" t="s">
        <v>510</v>
      </c>
    </row>
    <row r="43" spans="1:7" ht="15" customHeight="1" x14ac:dyDescent="0.25">
      <c r="A43" s="36" t="s">
        <v>320</v>
      </c>
      <c r="B43" s="53" t="s">
        <v>311</v>
      </c>
      <c r="C43" s="69" t="s">
        <v>381</v>
      </c>
      <c r="D43" s="69"/>
      <c r="E43" s="53" t="s">
        <v>618</v>
      </c>
      <c r="F43" s="50">
        <v>25.000000000000004</v>
      </c>
      <c r="G43" s="29">
        <v>0</v>
      </c>
    </row>
    <row r="44" spans="1:7" ht="15" customHeight="1" x14ac:dyDescent="0.25">
      <c r="A44" s="36" t="s">
        <v>63</v>
      </c>
      <c r="B44" s="53" t="s">
        <v>311</v>
      </c>
      <c r="C44" s="69" t="s">
        <v>564</v>
      </c>
      <c r="D44" s="69"/>
      <c r="E44" s="53" t="s">
        <v>618</v>
      </c>
      <c r="F44" s="50">
        <v>25.000000000000004</v>
      </c>
      <c r="G44" s="29">
        <v>0</v>
      </c>
    </row>
    <row r="45" spans="1:7" ht="15" customHeight="1" x14ac:dyDescent="0.25">
      <c r="A45" s="36" t="s">
        <v>178</v>
      </c>
      <c r="B45" s="53" t="s">
        <v>574</v>
      </c>
      <c r="C45" s="69" t="s">
        <v>152</v>
      </c>
      <c r="D45" s="69"/>
      <c r="E45" s="53" t="s">
        <v>618</v>
      </c>
      <c r="F45" s="50">
        <v>6.0000000000000009</v>
      </c>
      <c r="G45" s="29">
        <v>0</v>
      </c>
    </row>
    <row r="46" spans="1:7" ht="15" customHeight="1" x14ac:dyDescent="0.25">
      <c r="A46" s="36" t="s">
        <v>85</v>
      </c>
      <c r="B46" s="53" t="s">
        <v>214</v>
      </c>
      <c r="C46" s="69" t="s">
        <v>438</v>
      </c>
      <c r="D46" s="69"/>
      <c r="E46" s="53" t="s">
        <v>618</v>
      </c>
      <c r="F46" s="50">
        <v>3.0000000000000004</v>
      </c>
      <c r="G46" s="29">
        <v>0</v>
      </c>
    </row>
    <row r="47" spans="1:7" ht="15" customHeight="1" x14ac:dyDescent="0.25">
      <c r="A47" s="36" t="s">
        <v>713</v>
      </c>
      <c r="B47" s="53" t="s">
        <v>41</v>
      </c>
      <c r="C47" s="69" t="s">
        <v>16</v>
      </c>
      <c r="D47" s="69"/>
      <c r="E47" s="53" t="s">
        <v>618</v>
      </c>
      <c r="F47" s="50">
        <v>3.0000000000000004</v>
      </c>
      <c r="G47" s="29">
        <v>0</v>
      </c>
    </row>
    <row r="48" spans="1:7" ht="15" customHeight="1" x14ac:dyDescent="0.25">
      <c r="A48" s="36" t="s">
        <v>793</v>
      </c>
      <c r="B48" s="53" t="s">
        <v>134</v>
      </c>
      <c r="C48" s="69" t="s">
        <v>14</v>
      </c>
      <c r="D48" s="69"/>
      <c r="E48" s="53" t="s">
        <v>180</v>
      </c>
      <c r="F48" s="50">
        <v>2</v>
      </c>
      <c r="G48" s="29">
        <v>0</v>
      </c>
    </row>
    <row r="49" spans="1:7" ht="15" customHeight="1" x14ac:dyDescent="0.25">
      <c r="A49" s="36" t="s">
        <v>52</v>
      </c>
      <c r="B49" s="53" t="s">
        <v>395</v>
      </c>
      <c r="C49" s="69" t="s">
        <v>436</v>
      </c>
      <c r="D49" s="69"/>
      <c r="E49" s="53" t="s">
        <v>180</v>
      </c>
      <c r="F49" s="50">
        <v>1</v>
      </c>
      <c r="G49" s="29">
        <v>0</v>
      </c>
    </row>
    <row r="50" spans="1:7" ht="15" customHeight="1" x14ac:dyDescent="0.25">
      <c r="A50" s="36" t="s">
        <v>480</v>
      </c>
      <c r="B50" s="53" t="s">
        <v>520</v>
      </c>
      <c r="C50" s="69" t="s">
        <v>446</v>
      </c>
      <c r="D50" s="69"/>
      <c r="E50" s="53" t="s">
        <v>180</v>
      </c>
      <c r="F50" s="50">
        <v>1</v>
      </c>
      <c r="G50" s="29">
        <v>0</v>
      </c>
    </row>
    <row r="51" spans="1:7" ht="15" customHeight="1" x14ac:dyDescent="0.25">
      <c r="A51" s="36" t="s">
        <v>428</v>
      </c>
      <c r="B51" s="53" t="s">
        <v>663</v>
      </c>
      <c r="C51" s="69" t="s">
        <v>372</v>
      </c>
      <c r="D51" s="69"/>
      <c r="E51" s="53" t="s">
        <v>180</v>
      </c>
      <c r="F51" s="50">
        <v>1</v>
      </c>
      <c r="G51" s="29">
        <v>0</v>
      </c>
    </row>
    <row r="52" spans="1:7" ht="15" customHeight="1" x14ac:dyDescent="0.25">
      <c r="A52" s="36" t="s">
        <v>625</v>
      </c>
      <c r="B52" s="53" t="s">
        <v>456</v>
      </c>
      <c r="C52" s="69" t="s">
        <v>672</v>
      </c>
      <c r="D52" s="69"/>
      <c r="E52" s="53" t="s">
        <v>180</v>
      </c>
      <c r="F52" s="50">
        <v>1</v>
      </c>
      <c r="G52" s="29">
        <v>0</v>
      </c>
    </row>
    <row r="53" spans="1:7" ht="15" customHeight="1" x14ac:dyDescent="0.25">
      <c r="A53" s="36" t="s">
        <v>157</v>
      </c>
      <c r="B53" s="53" t="s">
        <v>414</v>
      </c>
      <c r="C53" s="69" t="s">
        <v>40</v>
      </c>
      <c r="D53" s="69"/>
      <c r="E53" s="53" t="s">
        <v>180</v>
      </c>
      <c r="F53" s="50">
        <v>2</v>
      </c>
      <c r="G53" s="29">
        <v>0</v>
      </c>
    </row>
    <row r="54" spans="1:7" ht="15" customHeight="1" x14ac:dyDescent="0.25">
      <c r="A54" s="36" t="s">
        <v>808</v>
      </c>
      <c r="B54" s="53" t="s">
        <v>584</v>
      </c>
      <c r="C54" s="69" t="s">
        <v>454</v>
      </c>
      <c r="D54" s="69"/>
      <c r="E54" s="53" t="s">
        <v>180</v>
      </c>
      <c r="F54" s="50">
        <v>1</v>
      </c>
      <c r="G54" s="29">
        <v>0</v>
      </c>
    </row>
    <row r="55" spans="1:7" ht="15" customHeight="1" x14ac:dyDescent="0.25">
      <c r="A55" s="36" t="s">
        <v>661</v>
      </c>
      <c r="B55" s="53" t="s">
        <v>391</v>
      </c>
      <c r="C55" s="69" t="s">
        <v>544</v>
      </c>
      <c r="D55" s="69"/>
      <c r="E55" s="53" t="s">
        <v>180</v>
      </c>
      <c r="F55" s="50">
        <v>1</v>
      </c>
      <c r="G55" s="29">
        <v>0</v>
      </c>
    </row>
    <row r="56" spans="1:7" ht="15" customHeight="1" x14ac:dyDescent="0.25">
      <c r="A56" s="36" t="s">
        <v>421</v>
      </c>
      <c r="B56" s="53" t="s">
        <v>391</v>
      </c>
      <c r="C56" s="69" t="s">
        <v>566</v>
      </c>
      <c r="D56" s="69"/>
      <c r="E56" s="53" t="s">
        <v>180</v>
      </c>
      <c r="F56" s="50">
        <v>1</v>
      </c>
      <c r="G56" s="29">
        <v>0</v>
      </c>
    </row>
    <row r="57" spans="1:7" ht="15" customHeight="1" x14ac:dyDescent="0.25">
      <c r="A57" s="36" t="s">
        <v>714</v>
      </c>
      <c r="B57" s="53" t="s">
        <v>723</v>
      </c>
      <c r="C57" s="69" t="s">
        <v>318</v>
      </c>
      <c r="D57" s="69"/>
      <c r="E57" s="53" t="s">
        <v>180</v>
      </c>
      <c r="F57" s="50">
        <v>1</v>
      </c>
      <c r="G57" s="29">
        <v>0</v>
      </c>
    </row>
    <row r="58" spans="1:7" ht="15" customHeight="1" x14ac:dyDescent="0.25">
      <c r="A58" s="36" t="s">
        <v>437</v>
      </c>
      <c r="B58" s="53" t="s">
        <v>500</v>
      </c>
      <c r="C58" s="69" t="s">
        <v>268</v>
      </c>
      <c r="D58" s="69"/>
      <c r="E58" s="53" t="s">
        <v>618</v>
      </c>
      <c r="F58" s="50">
        <v>3.0000000000000004</v>
      </c>
      <c r="G58" s="29">
        <v>0</v>
      </c>
    </row>
    <row r="59" spans="1:7" ht="15" customHeight="1" x14ac:dyDescent="0.25">
      <c r="A59" s="36" t="s">
        <v>478</v>
      </c>
      <c r="B59" s="53" t="s">
        <v>802</v>
      </c>
      <c r="C59" s="69" t="s">
        <v>25</v>
      </c>
      <c r="D59" s="69"/>
      <c r="E59" s="53" t="s">
        <v>618</v>
      </c>
      <c r="F59" s="50">
        <v>5</v>
      </c>
      <c r="G59" s="29">
        <v>0</v>
      </c>
    </row>
    <row r="60" spans="1:7" ht="15" customHeight="1" x14ac:dyDescent="0.25">
      <c r="A60" s="36" t="s">
        <v>256</v>
      </c>
      <c r="B60" s="53" t="s">
        <v>450</v>
      </c>
      <c r="C60" s="69" t="s">
        <v>503</v>
      </c>
      <c r="D60" s="69"/>
      <c r="E60" s="53" t="s">
        <v>618</v>
      </c>
      <c r="F60" s="50">
        <v>5</v>
      </c>
      <c r="G60" s="29">
        <v>0</v>
      </c>
    </row>
    <row r="61" spans="1:7" ht="15" customHeight="1" x14ac:dyDescent="0.25">
      <c r="A61" s="36" t="s">
        <v>718</v>
      </c>
      <c r="B61" s="53" t="s">
        <v>656</v>
      </c>
      <c r="C61" s="69" t="s">
        <v>546</v>
      </c>
      <c r="D61" s="69"/>
      <c r="E61" s="53" t="s">
        <v>180</v>
      </c>
      <c r="F61" s="50">
        <v>1</v>
      </c>
      <c r="G61" s="29">
        <v>0</v>
      </c>
    </row>
    <row r="62" spans="1:7" ht="15" customHeight="1" x14ac:dyDescent="0.25">
      <c r="A62" s="36" t="s">
        <v>133</v>
      </c>
      <c r="B62" s="53" t="s">
        <v>695</v>
      </c>
      <c r="C62" s="69" t="s">
        <v>511</v>
      </c>
      <c r="D62" s="69"/>
      <c r="E62" s="53" t="s">
        <v>180</v>
      </c>
      <c r="F62" s="50">
        <v>1</v>
      </c>
      <c r="G62" s="29">
        <v>0</v>
      </c>
    </row>
    <row r="63" spans="1:7" ht="15" customHeight="1" x14ac:dyDescent="0.25">
      <c r="A63" s="36" t="s">
        <v>238</v>
      </c>
      <c r="B63" s="53" t="s">
        <v>773</v>
      </c>
      <c r="C63" s="69" t="s">
        <v>817</v>
      </c>
      <c r="D63" s="69"/>
      <c r="E63" s="53" t="s">
        <v>180</v>
      </c>
      <c r="F63" s="50">
        <v>1</v>
      </c>
      <c r="G63" s="29">
        <v>0</v>
      </c>
    </row>
    <row r="64" spans="1:7" ht="15" customHeight="1" x14ac:dyDescent="0.25">
      <c r="A64" s="31" t="s">
        <v>510</v>
      </c>
      <c r="B64" s="35" t="s">
        <v>411</v>
      </c>
      <c r="C64" s="71" t="s">
        <v>768</v>
      </c>
      <c r="D64" s="71"/>
      <c r="E64" s="35" t="s">
        <v>510</v>
      </c>
      <c r="F64" s="57" t="s">
        <v>510</v>
      </c>
      <c r="G64" s="7" t="s">
        <v>510</v>
      </c>
    </row>
    <row r="65" spans="1:7" ht="15" customHeight="1" x14ac:dyDescent="0.25">
      <c r="A65" s="36" t="s">
        <v>312</v>
      </c>
      <c r="B65" s="53" t="s">
        <v>204</v>
      </c>
      <c r="C65" s="69" t="s">
        <v>440</v>
      </c>
      <c r="D65" s="69"/>
      <c r="E65" s="53" t="s">
        <v>180</v>
      </c>
      <c r="F65" s="50">
        <v>1</v>
      </c>
      <c r="G65" s="29">
        <v>0</v>
      </c>
    </row>
    <row r="66" spans="1:7" ht="15" customHeight="1" x14ac:dyDescent="0.25">
      <c r="A66" s="31" t="s">
        <v>510</v>
      </c>
      <c r="B66" s="35" t="s">
        <v>275</v>
      </c>
      <c r="C66" s="71" t="s">
        <v>315</v>
      </c>
      <c r="D66" s="71"/>
      <c r="E66" s="35" t="s">
        <v>510</v>
      </c>
      <c r="F66" s="57" t="s">
        <v>510</v>
      </c>
      <c r="G66" s="7" t="s">
        <v>510</v>
      </c>
    </row>
    <row r="67" spans="1:7" ht="15" customHeight="1" x14ac:dyDescent="0.25">
      <c r="A67" s="36" t="s">
        <v>253</v>
      </c>
      <c r="B67" s="53" t="s">
        <v>481</v>
      </c>
      <c r="C67" s="69" t="s">
        <v>424</v>
      </c>
      <c r="D67" s="69"/>
      <c r="E67" s="53" t="s">
        <v>180</v>
      </c>
      <c r="F67" s="50">
        <v>2</v>
      </c>
      <c r="G67" s="29">
        <v>0</v>
      </c>
    </row>
    <row r="68" spans="1:7" ht="15" customHeight="1" x14ac:dyDescent="0.25">
      <c r="A68" s="36" t="s">
        <v>598</v>
      </c>
      <c r="B68" s="53" t="s">
        <v>193</v>
      </c>
      <c r="C68" s="69" t="s">
        <v>329</v>
      </c>
      <c r="D68" s="69"/>
      <c r="E68" s="53" t="s">
        <v>180</v>
      </c>
      <c r="F68" s="50">
        <v>2</v>
      </c>
      <c r="G68" s="29">
        <v>0</v>
      </c>
    </row>
    <row r="69" spans="1:7" ht="15" customHeight="1" x14ac:dyDescent="0.25">
      <c r="A69" s="36" t="s">
        <v>754</v>
      </c>
      <c r="B69" s="53" t="s">
        <v>813</v>
      </c>
      <c r="C69" s="69" t="s">
        <v>254</v>
      </c>
      <c r="D69" s="69"/>
      <c r="E69" s="53" t="s">
        <v>180</v>
      </c>
      <c r="F69" s="50">
        <v>2</v>
      </c>
      <c r="G69" s="29">
        <v>0</v>
      </c>
    </row>
    <row r="70" spans="1:7" ht="15" customHeight="1" x14ac:dyDescent="0.25">
      <c r="A70" s="36" t="s">
        <v>51</v>
      </c>
      <c r="B70" s="53" t="s">
        <v>71</v>
      </c>
      <c r="C70" s="69" t="s">
        <v>366</v>
      </c>
      <c r="D70" s="69"/>
      <c r="E70" s="53" t="s">
        <v>180</v>
      </c>
      <c r="F70" s="50">
        <v>1</v>
      </c>
      <c r="G70" s="29">
        <v>0</v>
      </c>
    </row>
    <row r="71" spans="1:7" ht="15" customHeight="1" x14ac:dyDescent="0.25">
      <c r="A71" s="36" t="s">
        <v>576</v>
      </c>
      <c r="B71" s="53" t="s">
        <v>71</v>
      </c>
      <c r="C71" s="69" t="s">
        <v>737</v>
      </c>
      <c r="D71" s="69"/>
      <c r="E71" s="53" t="s">
        <v>180</v>
      </c>
      <c r="F71" s="50">
        <v>1</v>
      </c>
      <c r="G71" s="29">
        <v>0</v>
      </c>
    </row>
    <row r="72" spans="1:7" ht="15" customHeight="1" x14ac:dyDescent="0.25">
      <c r="A72" s="36" t="s">
        <v>615</v>
      </c>
      <c r="B72" s="53" t="s">
        <v>261</v>
      </c>
      <c r="C72" s="69" t="s">
        <v>764</v>
      </c>
      <c r="D72" s="69"/>
      <c r="E72" s="53" t="s">
        <v>180</v>
      </c>
      <c r="F72" s="50">
        <v>2</v>
      </c>
      <c r="G72" s="29">
        <v>0</v>
      </c>
    </row>
    <row r="73" spans="1:7" ht="15" customHeight="1" x14ac:dyDescent="0.25">
      <c r="A73" s="36" t="s">
        <v>302</v>
      </c>
      <c r="B73" s="53" t="s">
        <v>772</v>
      </c>
      <c r="C73" s="69" t="s">
        <v>234</v>
      </c>
      <c r="D73" s="69"/>
      <c r="E73" s="53" t="s">
        <v>180</v>
      </c>
      <c r="F73" s="50">
        <v>2</v>
      </c>
      <c r="G73" s="29">
        <v>0</v>
      </c>
    </row>
    <row r="74" spans="1:7" ht="15" customHeight="1" x14ac:dyDescent="0.25">
      <c r="A74" s="36" t="s">
        <v>510</v>
      </c>
      <c r="B74" s="53" t="s">
        <v>510</v>
      </c>
      <c r="C74" s="11" t="s">
        <v>507</v>
      </c>
      <c r="D74" s="92" t="s">
        <v>248</v>
      </c>
      <c r="E74" s="92"/>
      <c r="F74" s="40">
        <v>2</v>
      </c>
      <c r="G74" s="27" t="s">
        <v>510</v>
      </c>
    </row>
    <row r="75" spans="1:7" ht="15" customHeight="1" x14ac:dyDescent="0.25">
      <c r="A75" s="36" t="s">
        <v>300</v>
      </c>
      <c r="B75" s="53" t="s">
        <v>512</v>
      </c>
      <c r="C75" s="69" t="s">
        <v>338</v>
      </c>
      <c r="D75" s="69"/>
      <c r="E75" s="53" t="s">
        <v>518</v>
      </c>
      <c r="F75" s="50">
        <v>2</v>
      </c>
      <c r="G75" s="29">
        <v>0</v>
      </c>
    </row>
    <row r="76" spans="1:7" ht="15" customHeight="1" x14ac:dyDescent="0.25">
      <c r="A76" s="36" t="s">
        <v>336</v>
      </c>
      <c r="B76" s="53" t="s">
        <v>465</v>
      </c>
      <c r="C76" s="69" t="s">
        <v>396</v>
      </c>
      <c r="D76" s="69"/>
      <c r="E76" s="53" t="s">
        <v>518</v>
      </c>
      <c r="F76" s="50">
        <v>1</v>
      </c>
      <c r="G76" s="29">
        <v>0</v>
      </c>
    </row>
    <row r="77" spans="1:7" ht="15" customHeight="1" x14ac:dyDescent="0.25">
      <c r="A77" s="36" t="s">
        <v>685</v>
      </c>
      <c r="B77" s="53" t="s">
        <v>425</v>
      </c>
      <c r="C77" s="69" t="s">
        <v>543</v>
      </c>
      <c r="D77" s="69"/>
      <c r="E77" s="53" t="s">
        <v>180</v>
      </c>
      <c r="F77" s="50">
        <v>2</v>
      </c>
      <c r="G77" s="29">
        <v>0</v>
      </c>
    </row>
    <row r="78" spans="1:7" ht="15" customHeight="1" x14ac:dyDescent="0.25">
      <c r="A78" s="36" t="s">
        <v>491</v>
      </c>
      <c r="B78" s="53" t="s">
        <v>465</v>
      </c>
      <c r="C78" s="69" t="s">
        <v>364</v>
      </c>
      <c r="D78" s="69"/>
      <c r="E78" s="53" t="s">
        <v>518</v>
      </c>
      <c r="F78" s="50">
        <v>1</v>
      </c>
      <c r="G78" s="29">
        <v>0</v>
      </c>
    </row>
    <row r="79" spans="1:7" ht="15" customHeight="1" x14ac:dyDescent="0.25">
      <c r="A79" s="36" t="s">
        <v>467</v>
      </c>
      <c r="B79" s="53" t="s">
        <v>110</v>
      </c>
      <c r="C79" s="69" t="s">
        <v>506</v>
      </c>
      <c r="D79" s="69"/>
      <c r="E79" s="53" t="s">
        <v>518</v>
      </c>
      <c r="F79" s="50">
        <v>2</v>
      </c>
      <c r="G79" s="29">
        <v>0</v>
      </c>
    </row>
    <row r="80" spans="1:7" ht="15" customHeight="1" x14ac:dyDescent="0.25">
      <c r="A80" s="36" t="s">
        <v>698</v>
      </c>
      <c r="B80" s="53" t="s">
        <v>465</v>
      </c>
      <c r="C80" s="69" t="s">
        <v>790</v>
      </c>
      <c r="D80" s="69"/>
      <c r="E80" s="53" t="s">
        <v>180</v>
      </c>
      <c r="F80" s="50">
        <v>2</v>
      </c>
      <c r="G80" s="29">
        <v>0</v>
      </c>
    </row>
    <row r="81" spans="1:7" ht="15" customHeight="1" x14ac:dyDescent="0.25">
      <c r="A81" s="36" t="s">
        <v>420</v>
      </c>
      <c r="B81" s="53" t="s">
        <v>592</v>
      </c>
      <c r="C81" s="69" t="s">
        <v>141</v>
      </c>
      <c r="D81" s="69"/>
      <c r="E81" s="53" t="s">
        <v>180</v>
      </c>
      <c r="F81" s="50">
        <v>1</v>
      </c>
      <c r="G81" s="29">
        <v>0</v>
      </c>
    </row>
    <row r="82" spans="1:7" ht="15" customHeight="1" x14ac:dyDescent="0.25">
      <c r="A82" s="36" t="s">
        <v>327</v>
      </c>
      <c r="B82" s="53" t="s">
        <v>555</v>
      </c>
      <c r="C82" s="69" t="s">
        <v>702</v>
      </c>
      <c r="D82" s="69"/>
      <c r="E82" s="53" t="s">
        <v>180</v>
      </c>
      <c r="F82" s="50">
        <v>1</v>
      </c>
      <c r="G82" s="29">
        <v>0</v>
      </c>
    </row>
    <row r="83" spans="1:7" ht="15" customHeight="1" x14ac:dyDescent="0.25">
      <c r="A83" s="36" t="s">
        <v>83</v>
      </c>
      <c r="B83" s="53" t="s">
        <v>6</v>
      </c>
      <c r="C83" s="69" t="s">
        <v>791</v>
      </c>
      <c r="D83" s="69"/>
      <c r="E83" s="53" t="s">
        <v>180</v>
      </c>
      <c r="F83" s="50">
        <v>1</v>
      </c>
      <c r="G83" s="29">
        <v>0</v>
      </c>
    </row>
    <row r="84" spans="1:7" ht="15" customHeight="1" x14ac:dyDescent="0.25">
      <c r="A84" s="31" t="s">
        <v>510</v>
      </c>
      <c r="B84" s="35" t="s">
        <v>494</v>
      </c>
      <c r="C84" s="71" t="s">
        <v>729</v>
      </c>
      <c r="D84" s="71"/>
      <c r="E84" s="35" t="s">
        <v>510</v>
      </c>
      <c r="F84" s="57" t="s">
        <v>510</v>
      </c>
      <c r="G84" s="7" t="s">
        <v>510</v>
      </c>
    </row>
    <row r="85" spans="1:7" ht="15" customHeight="1" x14ac:dyDescent="0.25">
      <c r="A85" s="36" t="s">
        <v>537</v>
      </c>
      <c r="B85" s="53" t="s">
        <v>468</v>
      </c>
      <c r="C85" s="69" t="s">
        <v>126</v>
      </c>
      <c r="D85" s="69"/>
      <c r="E85" s="53" t="s">
        <v>180</v>
      </c>
      <c r="F85" s="50">
        <v>1</v>
      </c>
      <c r="G85" s="29">
        <v>0</v>
      </c>
    </row>
    <row r="86" spans="1:7" ht="15" customHeight="1" x14ac:dyDescent="0.25">
      <c r="A86" s="36" t="s">
        <v>809</v>
      </c>
      <c r="B86" s="53" t="s">
        <v>400</v>
      </c>
      <c r="C86" s="69" t="s">
        <v>533</v>
      </c>
      <c r="D86" s="69"/>
      <c r="E86" s="53" t="s">
        <v>180</v>
      </c>
      <c r="F86" s="50">
        <v>1</v>
      </c>
      <c r="G86" s="29">
        <v>0</v>
      </c>
    </row>
    <row r="87" spans="1:7" ht="15" customHeight="1" x14ac:dyDescent="0.25">
      <c r="A87" s="36" t="s">
        <v>164</v>
      </c>
      <c r="B87" s="53" t="s">
        <v>323</v>
      </c>
      <c r="C87" s="69" t="s">
        <v>18</v>
      </c>
      <c r="D87" s="69"/>
      <c r="E87" s="53" t="s">
        <v>180</v>
      </c>
      <c r="F87" s="50">
        <v>2</v>
      </c>
      <c r="G87" s="29">
        <v>0</v>
      </c>
    </row>
    <row r="88" spans="1:7" ht="15" customHeight="1" x14ac:dyDescent="0.25">
      <c r="A88" s="36" t="s">
        <v>360</v>
      </c>
      <c r="B88" s="53" t="s">
        <v>719</v>
      </c>
      <c r="C88" s="69" t="s">
        <v>263</v>
      </c>
      <c r="D88" s="69"/>
      <c r="E88" s="53" t="s">
        <v>180</v>
      </c>
      <c r="F88" s="50">
        <v>2</v>
      </c>
      <c r="G88" s="29">
        <v>0</v>
      </c>
    </row>
    <row r="89" spans="1:7" ht="15" customHeight="1" x14ac:dyDescent="0.25">
      <c r="A89" s="36" t="s">
        <v>803</v>
      </c>
      <c r="B89" s="53" t="s">
        <v>668</v>
      </c>
      <c r="C89" s="69" t="s">
        <v>166</v>
      </c>
      <c r="D89" s="69"/>
      <c r="E89" s="53" t="s">
        <v>180</v>
      </c>
      <c r="F89" s="50">
        <v>1</v>
      </c>
      <c r="G89" s="29">
        <v>0</v>
      </c>
    </row>
    <row r="90" spans="1:7" ht="15" customHeight="1" x14ac:dyDescent="0.25">
      <c r="A90" s="36" t="s">
        <v>760</v>
      </c>
      <c r="B90" s="53" t="s">
        <v>816</v>
      </c>
      <c r="C90" s="69" t="s">
        <v>629</v>
      </c>
      <c r="D90" s="69"/>
      <c r="E90" s="53" t="s">
        <v>180</v>
      </c>
      <c r="F90" s="50">
        <v>10</v>
      </c>
      <c r="G90" s="29">
        <v>0</v>
      </c>
    </row>
    <row r="91" spans="1:7" ht="15" customHeight="1" x14ac:dyDescent="0.25">
      <c r="A91" s="36" t="s">
        <v>9</v>
      </c>
      <c r="B91" s="53" t="s">
        <v>642</v>
      </c>
      <c r="C91" s="69" t="s">
        <v>433</v>
      </c>
      <c r="D91" s="69"/>
      <c r="E91" s="53" t="s">
        <v>180</v>
      </c>
      <c r="F91" s="50">
        <v>1</v>
      </c>
      <c r="G91" s="29">
        <v>0</v>
      </c>
    </row>
    <row r="92" spans="1:7" ht="15" customHeight="1" x14ac:dyDescent="0.25">
      <c r="A92" s="36" t="s">
        <v>122</v>
      </c>
      <c r="B92" s="53" t="s">
        <v>149</v>
      </c>
      <c r="C92" s="69" t="s">
        <v>471</v>
      </c>
      <c r="D92" s="69"/>
      <c r="E92" s="53" t="s">
        <v>180</v>
      </c>
      <c r="F92" s="50">
        <v>1</v>
      </c>
      <c r="G92" s="29">
        <v>0</v>
      </c>
    </row>
    <row r="93" spans="1:7" ht="15" customHeight="1" x14ac:dyDescent="0.25">
      <c r="A93" s="36" t="s">
        <v>153</v>
      </c>
      <c r="B93" s="53" t="s">
        <v>642</v>
      </c>
      <c r="C93" s="69" t="s">
        <v>825</v>
      </c>
      <c r="D93" s="69"/>
      <c r="E93" s="53" t="s">
        <v>180</v>
      </c>
      <c r="F93" s="50">
        <v>1</v>
      </c>
      <c r="G93" s="29">
        <v>0</v>
      </c>
    </row>
    <row r="94" spans="1:7" ht="15" customHeight="1" x14ac:dyDescent="0.25">
      <c r="A94" s="36" t="s">
        <v>585</v>
      </c>
      <c r="B94" s="53" t="s">
        <v>460</v>
      </c>
      <c r="C94" s="69" t="s">
        <v>801</v>
      </c>
      <c r="D94" s="69"/>
      <c r="E94" s="53" t="s">
        <v>180</v>
      </c>
      <c r="F94" s="50">
        <v>1</v>
      </c>
      <c r="G94" s="29">
        <v>0</v>
      </c>
    </row>
    <row r="95" spans="1:7" ht="15" customHeight="1" x14ac:dyDescent="0.25">
      <c r="A95" s="36" t="s">
        <v>57</v>
      </c>
      <c r="B95" s="53" t="s">
        <v>779</v>
      </c>
      <c r="C95" s="69" t="s">
        <v>617</v>
      </c>
      <c r="D95" s="69"/>
      <c r="E95" s="53" t="s">
        <v>180</v>
      </c>
      <c r="F95" s="50">
        <v>1</v>
      </c>
      <c r="G95" s="29">
        <v>0</v>
      </c>
    </row>
    <row r="96" spans="1:7" ht="15" customHeight="1" x14ac:dyDescent="0.25">
      <c r="A96" s="36" t="s">
        <v>510</v>
      </c>
      <c r="B96" s="53" t="s">
        <v>510</v>
      </c>
      <c r="C96" s="11" t="s">
        <v>725</v>
      </c>
      <c r="D96" s="92" t="s">
        <v>244</v>
      </c>
      <c r="E96" s="92"/>
      <c r="F96" s="40">
        <v>1</v>
      </c>
      <c r="G96" s="27" t="s">
        <v>510</v>
      </c>
    </row>
    <row r="97" spans="1:7" ht="15" customHeight="1" x14ac:dyDescent="0.25">
      <c r="A97" s="31" t="s">
        <v>510</v>
      </c>
      <c r="B97" s="35" t="s">
        <v>748</v>
      </c>
      <c r="C97" s="71" t="s">
        <v>627</v>
      </c>
      <c r="D97" s="71"/>
      <c r="E97" s="35" t="s">
        <v>510</v>
      </c>
      <c r="F97" s="57" t="s">
        <v>510</v>
      </c>
      <c r="G97" s="7" t="s">
        <v>510</v>
      </c>
    </row>
    <row r="98" spans="1:7" ht="15" customHeight="1" x14ac:dyDescent="0.25">
      <c r="A98" s="36" t="s">
        <v>577</v>
      </c>
      <c r="B98" s="53" t="s">
        <v>814</v>
      </c>
      <c r="C98" s="69" t="s">
        <v>143</v>
      </c>
      <c r="D98" s="69"/>
      <c r="E98" s="53" t="s">
        <v>618</v>
      </c>
      <c r="F98" s="50">
        <v>40</v>
      </c>
      <c r="G98" s="29">
        <v>0</v>
      </c>
    </row>
    <row r="99" spans="1:7" ht="15" customHeight="1" x14ac:dyDescent="0.25">
      <c r="A99" s="36" t="s">
        <v>453</v>
      </c>
      <c r="B99" s="53" t="s">
        <v>8</v>
      </c>
      <c r="C99" s="69" t="s">
        <v>347</v>
      </c>
      <c r="D99" s="69"/>
      <c r="E99" s="53" t="s">
        <v>618</v>
      </c>
      <c r="F99" s="50">
        <v>20</v>
      </c>
      <c r="G99" s="29">
        <v>0</v>
      </c>
    </row>
    <row r="100" spans="1:7" ht="15" customHeight="1" x14ac:dyDescent="0.25">
      <c r="A100" s="36" t="s">
        <v>736</v>
      </c>
      <c r="B100" s="53" t="s">
        <v>572</v>
      </c>
      <c r="C100" s="69" t="s">
        <v>765</v>
      </c>
      <c r="D100" s="69"/>
      <c r="E100" s="53" t="s">
        <v>618</v>
      </c>
      <c r="F100" s="50">
        <v>6.0000000000000009</v>
      </c>
      <c r="G100" s="29">
        <v>0</v>
      </c>
    </row>
    <row r="101" spans="1:7" ht="15" customHeight="1" x14ac:dyDescent="0.25">
      <c r="A101" s="36" t="s">
        <v>684</v>
      </c>
      <c r="B101" s="53" t="s">
        <v>252</v>
      </c>
      <c r="C101" s="69" t="s">
        <v>120</v>
      </c>
      <c r="D101" s="69"/>
      <c r="E101" s="53" t="s">
        <v>618</v>
      </c>
      <c r="F101" s="50">
        <v>6.0000000000000009</v>
      </c>
      <c r="G101" s="29">
        <v>0</v>
      </c>
    </row>
    <row r="102" spans="1:7" ht="15" customHeight="1" x14ac:dyDescent="0.25">
      <c r="A102" s="36" t="s">
        <v>495</v>
      </c>
      <c r="B102" s="53" t="s">
        <v>452</v>
      </c>
      <c r="C102" s="69" t="s">
        <v>45</v>
      </c>
      <c r="D102" s="69"/>
      <c r="E102" s="53" t="s">
        <v>618</v>
      </c>
      <c r="F102" s="50">
        <v>10</v>
      </c>
      <c r="G102" s="29">
        <v>0</v>
      </c>
    </row>
    <row r="103" spans="1:7" ht="15" customHeight="1" x14ac:dyDescent="0.25">
      <c r="A103" s="36" t="s">
        <v>373</v>
      </c>
      <c r="B103" s="53" t="s">
        <v>536</v>
      </c>
      <c r="C103" s="69" t="s">
        <v>771</v>
      </c>
      <c r="D103" s="69"/>
      <c r="E103" s="53" t="s">
        <v>180</v>
      </c>
      <c r="F103" s="50">
        <v>4</v>
      </c>
      <c r="G103" s="29">
        <v>0</v>
      </c>
    </row>
    <row r="104" spans="1:7" ht="15" customHeight="1" x14ac:dyDescent="0.25">
      <c r="A104" s="36" t="s">
        <v>159</v>
      </c>
      <c r="B104" s="53" t="s">
        <v>44</v>
      </c>
      <c r="C104" s="69" t="s">
        <v>349</v>
      </c>
      <c r="D104" s="69"/>
      <c r="E104" s="53" t="s">
        <v>180</v>
      </c>
      <c r="F104" s="50">
        <v>3.0000000000000004</v>
      </c>
      <c r="G104" s="29">
        <v>0</v>
      </c>
    </row>
    <row r="105" spans="1:7" ht="15" customHeight="1" x14ac:dyDescent="0.25">
      <c r="A105" s="36" t="s">
        <v>56</v>
      </c>
      <c r="B105" s="53" t="s">
        <v>22</v>
      </c>
      <c r="C105" s="69" t="s">
        <v>763</v>
      </c>
      <c r="D105" s="69"/>
      <c r="E105" s="53" t="s">
        <v>618</v>
      </c>
      <c r="F105" s="50">
        <v>18</v>
      </c>
      <c r="G105" s="29">
        <v>0</v>
      </c>
    </row>
    <row r="106" spans="1:7" ht="15" customHeight="1" x14ac:dyDescent="0.25">
      <c r="A106" s="31" t="s">
        <v>510</v>
      </c>
      <c r="B106" s="35" t="s">
        <v>631</v>
      </c>
      <c r="C106" s="71" t="s">
        <v>490</v>
      </c>
      <c r="D106" s="71"/>
      <c r="E106" s="35" t="s">
        <v>510</v>
      </c>
      <c r="F106" s="57" t="s">
        <v>510</v>
      </c>
      <c r="G106" s="7" t="s">
        <v>510</v>
      </c>
    </row>
    <row r="107" spans="1:7" ht="15" customHeight="1" x14ac:dyDescent="0.25">
      <c r="A107" s="36" t="s">
        <v>715</v>
      </c>
      <c r="B107" s="53" t="s">
        <v>821</v>
      </c>
      <c r="C107" s="69" t="s">
        <v>108</v>
      </c>
      <c r="D107" s="69"/>
      <c r="E107" s="53" t="s">
        <v>180</v>
      </c>
      <c r="F107" s="50">
        <v>1</v>
      </c>
      <c r="G107" s="29">
        <v>0</v>
      </c>
    </row>
    <row r="108" spans="1:7" ht="15" customHeight="1" x14ac:dyDescent="0.25">
      <c r="A108" s="36" t="s">
        <v>124</v>
      </c>
      <c r="B108" s="53" t="s">
        <v>455</v>
      </c>
      <c r="C108" s="69" t="s">
        <v>362</v>
      </c>
      <c r="D108" s="69"/>
      <c r="E108" s="53" t="s">
        <v>180</v>
      </c>
      <c r="F108" s="50">
        <v>3.0000000000000004</v>
      </c>
      <c r="G108" s="29">
        <v>0</v>
      </c>
    </row>
    <row r="109" spans="1:7" ht="15" customHeight="1" x14ac:dyDescent="0.25">
      <c r="A109" s="36" t="s">
        <v>136</v>
      </c>
      <c r="B109" s="53" t="s">
        <v>310</v>
      </c>
      <c r="C109" s="69" t="s">
        <v>596</v>
      </c>
      <c r="D109" s="69"/>
      <c r="E109" s="53" t="s">
        <v>180</v>
      </c>
      <c r="F109" s="50">
        <v>2</v>
      </c>
      <c r="G109" s="29">
        <v>0</v>
      </c>
    </row>
    <row r="110" spans="1:7" ht="15" customHeight="1" x14ac:dyDescent="0.25">
      <c r="A110" s="36" t="s">
        <v>746</v>
      </c>
      <c r="B110" s="53" t="s">
        <v>488</v>
      </c>
      <c r="C110" s="69" t="s">
        <v>249</v>
      </c>
      <c r="D110" s="69"/>
      <c r="E110" s="53" t="s">
        <v>180</v>
      </c>
      <c r="F110" s="50">
        <v>6.0000000000000009</v>
      </c>
      <c r="G110" s="29">
        <v>0</v>
      </c>
    </row>
    <row r="111" spans="1:7" ht="15" customHeight="1" x14ac:dyDescent="0.25">
      <c r="A111" s="36" t="s">
        <v>429</v>
      </c>
      <c r="B111" s="53" t="s">
        <v>486</v>
      </c>
      <c r="C111" s="69" t="s">
        <v>31</v>
      </c>
      <c r="D111" s="69"/>
      <c r="E111" s="53" t="s">
        <v>180</v>
      </c>
      <c r="F111" s="50">
        <v>8</v>
      </c>
      <c r="G111" s="29">
        <v>0</v>
      </c>
    </row>
    <row r="112" spans="1:7" ht="15" customHeight="1" x14ac:dyDescent="0.25">
      <c r="A112" s="36" t="s">
        <v>358</v>
      </c>
      <c r="B112" s="53" t="s">
        <v>305</v>
      </c>
      <c r="C112" s="69" t="s">
        <v>150</v>
      </c>
      <c r="D112" s="69"/>
      <c r="E112" s="53" t="s">
        <v>180</v>
      </c>
      <c r="F112" s="50">
        <v>3.0000000000000004</v>
      </c>
      <c r="G112" s="29">
        <v>0</v>
      </c>
    </row>
    <row r="113" spans="1:7" ht="15" customHeight="1" x14ac:dyDescent="0.25">
      <c r="A113" s="36" t="s">
        <v>489</v>
      </c>
      <c r="B113" s="53" t="s">
        <v>29</v>
      </c>
      <c r="C113" s="69" t="s">
        <v>232</v>
      </c>
      <c r="D113" s="69"/>
      <c r="E113" s="53" t="s">
        <v>180</v>
      </c>
      <c r="F113" s="50">
        <v>2</v>
      </c>
      <c r="G113" s="29">
        <v>0</v>
      </c>
    </row>
    <row r="114" spans="1:7" ht="15" customHeight="1" x14ac:dyDescent="0.25">
      <c r="A114" s="36" t="s">
        <v>30</v>
      </c>
      <c r="B114" s="53" t="s">
        <v>635</v>
      </c>
      <c r="C114" s="69" t="s">
        <v>604</v>
      </c>
      <c r="D114" s="69"/>
      <c r="E114" s="53" t="s">
        <v>180</v>
      </c>
      <c r="F114" s="50">
        <v>2</v>
      </c>
      <c r="G114" s="29">
        <v>0</v>
      </c>
    </row>
    <row r="115" spans="1:7" ht="15" customHeight="1" x14ac:dyDescent="0.25">
      <c r="A115" s="36" t="s">
        <v>788</v>
      </c>
      <c r="B115" s="53" t="s">
        <v>354</v>
      </c>
      <c r="C115" s="69" t="s">
        <v>379</v>
      </c>
      <c r="D115" s="69"/>
      <c r="E115" s="53" t="s">
        <v>180</v>
      </c>
      <c r="F115" s="50">
        <v>2</v>
      </c>
      <c r="G115" s="29">
        <v>0</v>
      </c>
    </row>
    <row r="116" spans="1:7" ht="15" customHeight="1" x14ac:dyDescent="0.25">
      <c r="A116" s="36" t="s">
        <v>778</v>
      </c>
      <c r="B116" s="53" t="s">
        <v>123</v>
      </c>
      <c r="C116" s="69" t="s">
        <v>657</v>
      </c>
      <c r="D116" s="69"/>
      <c r="E116" s="53" t="s">
        <v>180</v>
      </c>
      <c r="F116" s="50">
        <v>40</v>
      </c>
      <c r="G116" s="29">
        <v>0</v>
      </c>
    </row>
    <row r="117" spans="1:7" ht="15" customHeight="1" x14ac:dyDescent="0.25">
      <c r="A117" s="36" t="s">
        <v>776</v>
      </c>
      <c r="B117" s="53" t="s">
        <v>264</v>
      </c>
      <c r="C117" s="69" t="s">
        <v>539</v>
      </c>
      <c r="D117" s="69"/>
      <c r="E117" s="53" t="s">
        <v>180</v>
      </c>
      <c r="F117" s="50">
        <v>2</v>
      </c>
      <c r="G117" s="29">
        <v>0</v>
      </c>
    </row>
    <row r="118" spans="1:7" ht="15" customHeight="1" x14ac:dyDescent="0.25">
      <c r="A118" s="36" t="s">
        <v>28</v>
      </c>
      <c r="B118" s="53" t="s">
        <v>339</v>
      </c>
      <c r="C118" s="69" t="s">
        <v>304</v>
      </c>
      <c r="D118" s="69"/>
      <c r="E118" s="53" t="s">
        <v>180</v>
      </c>
      <c r="F118" s="50">
        <v>2</v>
      </c>
      <c r="G118" s="29">
        <v>0</v>
      </c>
    </row>
    <row r="119" spans="1:7" ht="15" customHeight="1" x14ac:dyDescent="0.25">
      <c r="A119" s="36" t="s">
        <v>1</v>
      </c>
      <c r="B119" s="53" t="s">
        <v>527</v>
      </c>
      <c r="C119" s="69" t="s">
        <v>176</v>
      </c>
      <c r="D119" s="69"/>
      <c r="E119" s="53" t="s">
        <v>180</v>
      </c>
      <c r="F119" s="50">
        <v>6.0000000000000009</v>
      </c>
      <c r="G119" s="29">
        <v>0</v>
      </c>
    </row>
    <row r="120" spans="1:7" ht="15" customHeight="1" x14ac:dyDescent="0.25">
      <c r="A120" s="36" t="s">
        <v>678</v>
      </c>
      <c r="B120" s="53" t="s">
        <v>325</v>
      </c>
      <c r="C120" s="69" t="s">
        <v>242</v>
      </c>
      <c r="D120" s="69"/>
      <c r="E120" s="53" t="s">
        <v>180</v>
      </c>
      <c r="F120" s="50">
        <v>10</v>
      </c>
      <c r="G120" s="29">
        <v>0</v>
      </c>
    </row>
    <row r="121" spans="1:7" ht="15" customHeight="1" x14ac:dyDescent="0.25">
      <c r="A121" s="36" t="s">
        <v>78</v>
      </c>
      <c r="B121" s="53" t="s">
        <v>649</v>
      </c>
      <c r="C121" s="69" t="s">
        <v>483</v>
      </c>
      <c r="D121" s="69"/>
      <c r="E121" s="53" t="s">
        <v>180</v>
      </c>
      <c r="F121" s="50">
        <v>6.0000000000000009</v>
      </c>
      <c r="G121" s="29">
        <v>0</v>
      </c>
    </row>
    <row r="122" spans="1:7" ht="15" customHeight="1" x14ac:dyDescent="0.25">
      <c r="A122" s="36" t="s">
        <v>284</v>
      </c>
      <c r="B122" s="53" t="s">
        <v>223</v>
      </c>
      <c r="C122" s="69" t="s">
        <v>114</v>
      </c>
      <c r="D122" s="69"/>
      <c r="E122" s="53" t="s">
        <v>180</v>
      </c>
      <c r="F122" s="50">
        <v>5</v>
      </c>
      <c r="G122" s="29">
        <v>0</v>
      </c>
    </row>
    <row r="123" spans="1:7" ht="15" customHeight="1" x14ac:dyDescent="0.25">
      <c r="A123" s="36" t="s">
        <v>407</v>
      </c>
      <c r="B123" s="53" t="s">
        <v>669</v>
      </c>
      <c r="C123" s="69" t="s">
        <v>403</v>
      </c>
      <c r="D123" s="69"/>
      <c r="E123" s="53" t="s">
        <v>180</v>
      </c>
      <c r="F123" s="50">
        <v>5</v>
      </c>
      <c r="G123" s="29">
        <v>0</v>
      </c>
    </row>
    <row r="124" spans="1:7" ht="15" customHeight="1" x14ac:dyDescent="0.25">
      <c r="A124" s="36" t="s">
        <v>76</v>
      </c>
      <c r="B124" s="53" t="s">
        <v>735</v>
      </c>
      <c r="C124" s="69" t="s">
        <v>185</v>
      </c>
      <c r="D124" s="69"/>
      <c r="E124" s="53" t="s">
        <v>180</v>
      </c>
      <c r="F124" s="50">
        <v>4</v>
      </c>
      <c r="G124" s="29">
        <v>0</v>
      </c>
    </row>
    <row r="125" spans="1:7" ht="15" customHeight="1" x14ac:dyDescent="0.25">
      <c r="A125" s="36" t="s">
        <v>519</v>
      </c>
      <c r="B125" s="53" t="s">
        <v>58</v>
      </c>
      <c r="C125" s="69" t="s">
        <v>319</v>
      </c>
      <c r="D125" s="69"/>
      <c r="E125" s="53" t="s">
        <v>180</v>
      </c>
      <c r="F125" s="50">
        <v>3.0000000000000004</v>
      </c>
      <c r="G125" s="29">
        <v>0</v>
      </c>
    </row>
    <row r="126" spans="1:7" ht="15" customHeight="1" x14ac:dyDescent="0.25">
      <c r="A126" s="36" t="s">
        <v>341</v>
      </c>
      <c r="B126" s="53" t="s">
        <v>769</v>
      </c>
      <c r="C126" s="69" t="s">
        <v>39</v>
      </c>
      <c r="D126" s="69"/>
      <c r="E126" s="53" t="s">
        <v>180</v>
      </c>
      <c r="F126" s="50">
        <v>1</v>
      </c>
      <c r="G126" s="29">
        <v>0</v>
      </c>
    </row>
    <row r="127" spans="1:7" ht="15" customHeight="1" x14ac:dyDescent="0.25">
      <c r="A127" s="36" t="s">
        <v>611</v>
      </c>
      <c r="B127" s="53" t="s">
        <v>819</v>
      </c>
      <c r="C127" s="69" t="s">
        <v>198</v>
      </c>
      <c r="D127" s="69"/>
      <c r="E127" s="53" t="s">
        <v>180</v>
      </c>
      <c r="F127" s="50">
        <v>1</v>
      </c>
      <c r="G127" s="29">
        <v>0</v>
      </c>
    </row>
    <row r="128" spans="1:7" ht="15" customHeight="1" x14ac:dyDescent="0.25">
      <c r="A128" s="36" t="s">
        <v>683</v>
      </c>
      <c r="B128" s="53" t="s">
        <v>422</v>
      </c>
      <c r="C128" s="69" t="s">
        <v>430</v>
      </c>
      <c r="D128" s="69"/>
      <c r="E128" s="53" t="s">
        <v>250</v>
      </c>
      <c r="F128" s="50">
        <v>1</v>
      </c>
      <c r="G128" s="29">
        <v>0</v>
      </c>
    </row>
    <row r="129" spans="1:7" ht="15" customHeight="1" x14ac:dyDescent="0.25">
      <c r="A129" s="36" t="s">
        <v>647</v>
      </c>
      <c r="B129" s="53" t="s">
        <v>597</v>
      </c>
      <c r="C129" s="69" t="s">
        <v>492</v>
      </c>
      <c r="D129" s="69"/>
      <c r="E129" s="53" t="s">
        <v>180</v>
      </c>
      <c r="F129" s="50">
        <v>2</v>
      </c>
      <c r="G129" s="29">
        <v>0</v>
      </c>
    </row>
    <row r="130" spans="1:7" ht="15" customHeight="1" x14ac:dyDescent="0.25">
      <c r="A130" s="36" t="s">
        <v>15</v>
      </c>
      <c r="B130" s="53" t="s">
        <v>260</v>
      </c>
      <c r="C130" s="69" t="s">
        <v>175</v>
      </c>
      <c r="D130" s="69"/>
      <c r="E130" s="53" t="s">
        <v>180</v>
      </c>
      <c r="F130" s="50">
        <v>9</v>
      </c>
      <c r="G130" s="29">
        <v>0</v>
      </c>
    </row>
    <row r="131" spans="1:7" ht="15" customHeight="1" x14ac:dyDescent="0.25">
      <c r="A131" s="36" t="s">
        <v>280</v>
      </c>
      <c r="B131" s="53" t="s">
        <v>588</v>
      </c>
      <c r="C131" s="69" t="s">
        <v>97</v>
      </c>
      <c r="D131" s="69"/>
      <c r="E131" s="53" t="s">
        <v>180</v>
      </c>
      <c r="F131" s="50">
        <v>3.0000000000000004</v>
      </c>
      <c r="G131" s="29">
        <v>0</v>
      </c>
    </row>
    <row r="132" spans="1:7" ht="15" customHeight="1" x14ac:dyDescent="0.25">
      <c r="A132" s="36" t="s">
        <v>89</v>
      </c>
      <c r="B132" s="53" t="s">
        <v>602</v>
      </c>
      <c r="C132" s="69" t="s">
        <v>812</v>
      </c>
      <c r="D132" s="69"/>
      <c r="E132" s="53" t="s">
        <v>180</v>
      </c>
      <c r="F132" s="50">
        <v>7.0000000000000009</v>
      </c>
      <c r="G132" s="29">
        <v>0</v>
      </c>
    </row>
    <row r="133" spans="1:7" ht="15" customHeight="1" x14ac:dyDescent="0.25">
      <c r="A133" s="36" t="s">
        <v>800</v>
      </c>
      <c r="B133" s="53" t="s">
        <v>135</v>
      </c>
      <c r="C133" s="69" t="s">
        <v>266</v>
      </c>
      <c r="D133" s="69"/>
      <c r="E133" s="53" t="s">
        <v>180</v>
      </c>
      <c r="F133" s="50">
        <v>1</v>
      </c>
      <c r="G133" s="29">
        <v>0</v>
      </c>
    </row>
    <row r="134" spans="1:7" ht="15" customHeight="1" x14ac:dyDescent="0.25">
      <c r="A134" s="36" t="s">
        <v>346</v>
      </c>
      <c r="B134" s="53" t="s">
        <v>135</v>
      </c>
      <c r="C134" s="69" t="s">
        <v>616</v>
      </c>
      <c r="D134" s="69"/>
      <c r="E134" s="53" t="s">
        <v>180</v>
      </c>
      <c r="F134" s="50">
        <v>1</v>
      </c>
      <c r="G134" s="29">
        <v>0</v>
      </c>
    </row>
    <row r="135" spans="1:7" ht="15" customHeight="1" x14ac:dyDescent="0.25">
      <c r="A135" s="36" t="s">
        <v>613</v>
      </c>
      <c r="B135" s="53" t="s">
        <v>111</v>
      </c>
      <c r="C135" s="69" t="s">
        <v>798</v>
      </c>
      <c r="D135" s="69"/>
      <c r="E135" s="53" t="s">
        <v>180</v>
      </c>
      <c r="F135" s="50">
        <v>1</v>
      </c>
      <c r="G135" s="29">
        <v>0</v>
      </c>
    </row>
    <row r="136" spans="1:7" ht="15" customHeight="1" x14ac:dyDescent="0.25">
      <c r="A136" s="36" t="s">
        <v>330</v>
      </c>
      <c r="B136" s="53" t="s">
        <v>29</v>
      </c>
      <c r="C136" s="69" t="s">
        <v>357</v>
      </c>
      <c r="D136" s="69"/>
      <c r="E136" s="53" t="s">
        <v>180</v>
      </c>
      <c r="F136" s="50">
        <v>1</v>
      </c>
      <c r="G136" s="29">
        <v>0</v>
      </c>
    </row>
    <row r="137" spans="1:7" ht="15" customHeight="1" x14ac:dyDescent="0.25">
      <c r="A137" s="36" t="s">
        <v>476</v>
      </c>
      <c r="B137" s="53" t="s">
        <v>632</v>
      </c>
      <c r="C137" s="69" t="s">
        <v>464</v>
      </c>
      <c r="D137" s="69"/>
      <c r="E137" s="53" t="s">
        <v>180</v>
      </c>
      <c r="F137" s="50">
        <v>1</v>
      </c>
      <c r="G137" s="29">
        <v>0</v>
      </c>
    </row>
    <row r="138" spans="1:7" ht="15" customHeight="1" x14ac:dyDescent="0.25">
      <c r="A138" s="36" t="s">
        <v>794</v>
      </c>
      <c r="B138" s="53" t="s">
        <v>386</v>
      </c>
      <c r="C138" s="69" t="s">
        <v>42</v>
      </c>
      <c r="D138" s="69"/>
      <c r="E138" s="53" t="s">
        <v>180</v>
      </c>
      <c r="F138" s="50">
        <v>1</v>
      </c>
      <c r="G138" s="29">
        <v>0</v>
      </c>
    </row>
    <row r="139" spans="1:7" ht="15" customHeight="1" x14ac:dyDescent="0.25">
      <c r="A139" s="36" t="s">
        <v>521</v>
      </c>
      <c r="B139" s="53" t="s">
        <v>392</v>
      </c>
      <c r="C139" s="69" t="s">
        <v>139</v>
      </c>
      <c r="D139" s="69"/>
      <c r="E139" s="53" t="s">
        <v>180</v>
      </c>
      <c r="F139" s="50">
        <v>2</v>
      </c>
      <c r="G139" s="29">
        <v>0</v>
      </c>
    </row>
    <row r="140" spans="1:7" ht="15" customHeight="1" x14ac:dyDescent="0.25">
      <c r="A140" s="31" t="s">
        <v>510</v>
      </c>
      <c r="B140" s="35" t="s">
        <v>755</v>
      </c>
      <c r="C140" s="71" t="s">
        <v>155</v>
      </c>
      <c r="D140" s="71"/>
      <c r="E140" s="35" t="s">
        <v>510</v>
      </c>
      <c r="F140" s="57" t="s">
        <v>510</v>
      </c>
      <c r="G140" s="7" t="s">
        <v>510</v>
      </c>
    </row>
    <row r="141" spans="1:7" ht="15" customHeight="1" x14ac:dyDescent="0.25">
      <c r="A141" s="36" t="s">
        <v>799</v>
      </c>
      <c r="B141" s="53" t="s">
        <v>712</v>
      </c>
      <c r="C141" s="69" t="s">
        <v>795</v>
      </c>
      <c r="D141" s="69"/>
      <c r="E141" s="53" t="s">
        <v>716</v>
      </c>
      <c r="F141" s="50">
        <v>680</v>
      </c>
      <c r="G141" s="29">
        <v>0</v>
      </c>
    </row>
    <row r="142" spans="1:7" ht="15" customHeight="1" x14ac:dyDescent="0.25">
      <c r="A142" s="36" t="s">
        <v>510</v>
      </c>
      <c r="B142" s="53" t="s">
        <v>510</v>
      </c>
      <c r="C142" s="11" t="s">
        <v>644</v>
      </c>
      <c r="D142" s="92" t="s">
        <v>0</v>
      </c>
      <c r="E142" s="92"/>
      <c r="F142" s="40">
        <v>680</v>
      </c>
      <c r="G142" s="27" t="s">
        <v>510</v>
      </c>
    </row>
    <row r="143" spans="1:7" ht="15" customHeight="1" x14ac:dyDescent="0.25">
      <c r="A143" s="31" t="s">
        <v>510</v>
      </c>
      <c r="B143" s="35" t="s">
        <v>416</v>
      </c>
      <c r="C143" s="71" t="s">
        <v>590</v>
      </c>
      <c r="D143" s="71"/>
      <c r="E143" s="35" t="s">
        <v>510</v>
      </c>
      <c r="F143" s="57" t="s">
        <v>510</v>
      </c>
      <c r="G143" s="7" t="s">
        <v>510</v>
      </c>
    </row>
    <row r="144" spans="1:7" ht="15" customHeight="1" x14ac:dyDescent="0.25">
      <c r="A144" s="36" t="s">
        <v>750</v>
      </c>
      <c r="B144" s="53" t="s">
        <v>444</v>
      </c>
      <c r="C144" s="69" t="s">
        <v>466</v>
      </c>
      <c r="D144" s="69"/>
      <c r="E144" s="53" t="s">
        <v>180</v>
      </c>
      <c r="F144" s="50">
        <v>8</v>
      </c>
      <c r="G144" s="29">
        <v>0</v>
      </c>
    </row>
    <row r="145" spans="1:7" ht="15" customHeight="1" x14ac:dyDescent="0.25">
      <c r="A145" s="36" t="s">
        <v>706</v>
      </c>
      <c r="B145" s="53" t="s">
        <v>427</v>
      </c>
      <c r="C145" s="69" t="s">
        <v>517</v>
      </c>
      <c r="D145" s="69"/>
      <c r="E145" s="53" t="s">
        <v>618</v>
      </c>
      <c r="F145" s="50">
        <v>16</v>
      </c>
      <c r="G145" s="29">
        <v>0</v>
      </c>
    </row>
    <row r="146" spans="1:7" ht="15" customHeight="1" x14ac:dyDescent="0.25">
      <c r="A146" s="36" t="s">
        <v>383</v>
      </c>
      <c r="B146" s="53" t="s">
        <v>658</v>
      </c>
      <c r="C146" s="69" t="s">
        <v>431</v>
      </c>
      <c r="D146" s="69"/>
      <c r="E146" s="53" t="s">
        <v>618</v>
      </c>
      <c r="F146" s="50">
        <v>26.000000000000004</v>
      </c>
      <c r="G146" s="29">
        <v>0</v>
      </c>
    </row>
    <row r="147" spans="1:7" ht="15" customHeight="1" x14ac:dyDescent="0.25">
      <c r="A147" s="36" t="s">
        <v>334</v>
      </c>
      <c r="B147" s="53" t="s">
        <v>703</v>
      </c>
      <c r="C147" s="69" t="s">
        <v>761</v>
      </c>
      <c r="D147" s="69"/>
      <c r="E147" s="53" t="s">
        <v>618</v>
      </c>
      <c r="F147" s="50">
        <v>13.000000000000002</v>
      </c>
      <c r="G147" s="29">
        <v>0</v>
      </c>
    </row>
    <row r="148" spans="1:7" ht="15" customHeight="1" x14ac:dyDescent="0.25">
      <c r="A148" s="31" t="s">
        <v>510</v>
      </c>
      <c r="B148" s="35" t="s">
        <v>404</v>
      </c>
      <c r="C148" s="71" t="s">
        <v>12</v>
      </c>
      <c r="D148" s="71"/>
      <c r="E148" s="35" t="s">
        <v>510</v>
      </c>
      <c r="F148" s="57" t="s">
        <v>510</v>
      </c>
      <c r="G148" s="7" t="s">
        <v>510</v>
      </c>
    </row>
    <row r="149" spans="1:7" ht="15" customHeight="1" x14ac:dyDescent="0.25">
      <c r="A149" s="36" t="s">
        <v>301</v>
      </c>
      <c r="B149" s="53" t="s">
        <v>573</v>
      </c>
      <c r="C149" s="69" t="s">
        <v>350</v>
      </c>
      <c r="D149" s="69"/>
      <c r="E149" s="53" t="s">
        <v>716</v>
      </c>
      <c r="F149" s="50">
        <v>20</v>
      </c>
      <c r="G149" s="29">
        <v>0</v>
      </c>
    </row>
    <row r="150" spans="1:7" ht="15" customHeight="1" x14ac:dyDescent="0.25">
      <c r="A150" s="36" t="s">
        <v>127</v>
      </c>
      <c r="B150" s="53" t="s">
        <v>457</v>
      </c>
      <c r="C150" s="69" t="s">
        <v>356</v>
      </c>
      <c r="D150" s="69"/>
      <c r="E150" s="53" t="s">
        <v>716</v>
      </c>
      <c r="F150" s="50">
        <v>204.9</v>
      </c>
      <c r="G150" s="29">
        <v>0</v>
      </c>
    </row>
    <row r="151" spans="1:7" ht="15" customHeight="1" x14ac:dyDescent="0.25">
      <c r="A151" s="36" t="s">
        <v>510</v>
      </c>
      <c r="B151" s="53" t="s">
        <v>510</v>
      </c>
      <c r="C151" s="11" t="s">
        <v>247</v>
      </c>
      <c r="D151" s="92" t="s">
        <v>510</v>
      </c>
      <c r="E151" s="92"/>
      <c r="F151" s="40">
        <v>204.9</v>
      </c>
      <c r="G151" s="27" t="s">
        <v>510</v>
      </c>
    </row>
    <row r="152" spans="1:7" ht="15" customHeight="1" x14ac:dyDescent="0.25">
      <c r="A152" s="31" t="s">
        <v>510</v>
      </c>
      <c r="B152" s="35" t="s">
        <v>284</v>
      </c>
      <c r="C152" s="71" t="s">
        <v>558</v>
      </c>
      <c r="D152" s="71"/>
      <c r="E152" s="35" t="s">
        <v>510</v>
      </c>
      <c r="F152" s="57" t="s">
        <v>510</v>
      </c>
      <c r="G152" s="7" t="s">
        <v>510</v>
      </c>
    </row>
    <row r="153" spans="1:7" ht="15" customHeight="1" x14ac:dyDescent="0.25">
      <c r="A153" s="36" t="s">
        <v>163</v>
      </c>
      <c r="B153" s="53" t="s">
        <v>556</v>
      </c>
      <c r="C153" s="69" t="s">
        <v>580</v>
      </c>
      <c r="D153" s="69"/>
      <c r="E153" s="53" t="s">
        <v>696</v>
      </c>
      <c r="F153" s="50">
        <v>35</v>
      </c>
      <c r="G153" s="29">
        <v>0</v>
      </c>
    </row>
    <row r="154" spans="1:7" ht="15" customHeight="1" x14ac:dyDescent="0.25">
      <c r="A154" s="36" t="s">
        <v>77</v>
      </c>
      <c r="B154" s="53" t="s">
        <v>822</v>
      </c>
      <c r="C154" s="69" t="s">
        <v>90</v>
      </c>
      <c r="D154" s="69"/>
      <c r="E154" s="53" t="s">
        <v>618</v>
      </c>
      <c r="F154" s="50">
        <v>32</v>
      </c>
      <c r="G154" s="29">
        <v>0</v>
      </c>
    </row>
    <row r="155" spans="1:7" ht="15" customHeight="1" x14ac:dyDescent="0.25">
      <c r="A155" s="36" t="s">
        <v>99</v>
      </c>
      <c r="B155" s="53" t="s">
        <v>174</v>
      </c>
      <c r="C155" s="69" t="s">
        <v>345</v>
      </c>
      <c r="D155" s="69"/>
      <c r="E155" s="53" t="s">
        <v>180</v>
      </c>
      <c r="F155" s="50">
        <v>2</v>
      </c>
      <c r="G155" s="29">
        <v>0</v>
      </c>
    </row>
    <row r="156" spans="1:7" ht="15" customHeight="1" x14ac:dyDescent="0.25">
      <c r="A156" s="36" t="s">
        <v>693</v>
      </c>
      <c r="B156" s="53" t="s">
        <v>660</v>
      </c>
      <c r="C156" s="69" t="s">
        <v>524</v>
      </c>
      <c r="D156" s="69"/>
      <c r="E156" s="53" t="s">
        <v>180</v>
      </c>
      <c r="F156" s="50">
        <v>2</v>
      </c>
      <c r="G156" s="29">
        <v>0</v>
      </c>
    </row>
    <row r="157" spans="1:7" ht="15" customHeight="1" x14ac:dyDescent="0.25">
      <c r="A157" s="36" t="s">
        <v>540</v>
      </c>
      <c r="B157" s="53" t="s">
        <v>660</v>
      </c>
      <c r="C157" s="69" t="s">
        <v>387</v>
      </c>
      <c r="D157" s="69"/>
      <c r="E157" s="53" t="s">
        <v>180</v>
      </c>
      <c r="F157" s="50">
        <v>2</v>
      </c>
      <c r="G157" s="29">
        <v>0</v>
      </c>
    </row>
    <row r="158" spans="1:7" ht="15" customHeight="1" x14ac:dyDescent="0.25">
      <c r="A158" s="36" t="s">
        <v>351</v>
      </c>
      <c r="B158" s="53" t="s">
        <v>106</v>
      </c>
      <c r="C158" s="69" t="s">
        <v>344</v>
      </c>
      <c r="D158" s="69"/>
      <c r="E158" s="53" t="s">
        <v>180</v>
      </c>
      <c r="F158" s="50">
        <v>1</v>
      </c>
      <c r="G158" s="29">
        <v>0</v>
      </c>
    </row>
    <row r="159" spans="1:7" ht="15" customHeight="1" x14ac:dyDescent="0.25">
      <c r="A159" s="36" t="s">
        <v>538</v>
      </c>
      <c r="B159" s="53" t="s">
        <v>104</v>
      </c>
      <c r="C159" s="69" t="s">
        <v>509</v>
      </c>
      <c r="D159" s="69"/>
      <c r="E159" s="53" t="s">
        <v>180</v>
      </c>
      <c r="F159" s="50">
        <v>1</v>
      </c>
      <c r="G159" s="29">
        <v>0</v>
      </c>
    </row>
    <row r="160" spans="1:7" ht="15" customHeight="1" x14ac:dyDescent="0.25">
      <c r="A160" s="36" t="s">
        <v>233</v>
      </c>
      <c r="B160" s="53" t="s">
        <v>522</v>
      </c>
      <c r="C160" s="69" t="s">
        <v>727</v>
      </c>
      <c r="D160" s="69"/>
      <c r="E160" s="53" t="s">
        <v>180</v>
      </c>
      <c r="F160" s="50">
        <v>1</v>
      </c>
      <c r="G160" s="29">
        <v>0</v>
      </c>
    </row>
    <row r="161" spans="1:7" ht="15" customHeight="1" x14ac:dyDescent="0.25">
      <c r="A161" s="36" t="s">
        <v>324</v>
      </c>
      <c r="B161" s="53" t="s">
        <v>406</v>
      </c>
      <c r="C161" s="69" t="s">
        <v>782</v>
      </c>
      <c r="D161" s="69"/>
      <c r="E161" s="53" t="s">
        <v>180</v>
      </c>
      <c r="F161" s="50">
        <v>1</v>
      </c>
      <c r="G161" s="29">
        <v>0</v>
      </c>
    </row>
    <row r="162" spans="1:7" ht="15" customHeight="1" x14ac:dyDescent="0.25">
      <c r="A162" s="36" t="s">
        <v>209</v>
      </c>
      <c r="B162" s="53" t="s">
        <v>50</v>
      </c>
      <c r="C162" s="69" t="s">
        <v>382</v>
      </c>
      <c r="D162" s="69"/>
      <c r="E162" s="53" t="s">
        <v>180</v>
      </c>
      <c r="F162" s="50">
        <v>1</v>
      </c>
      <c r="G162" s="29">
        <v>0</v>
      </c>
    </row>
    <row r="163" spans="1:7" ht="15" customHeight="1" x14ac:dyDescent="0.25">
      <c r="A163" s="36" t="s">
        <v>196</v>
      </c>
      <c r="B163" s="53" t="s">
        <v>321</v>
      </c>
      <c r="C163" s="69" t="s">
        <v>767</v>
      </c>
      <c r="D163" s="69"/>
      <c r="E163" s="53" t="s">
        <v>180</v>
      </c>
      <c r="F163" s="50">
        <v>21</v>
      </c>
      <c r="G163" s="29">
        <v>0</v>
      </c>
    </row>
    <row r="164" spans="1:7" ht="15" customHeight="1" x14ac:dyDescent="0.25">
      <c r="A164" s="36" t="s">
        <v>744</v>
      </c>
      <c r="B164" s="53" t="s">
        <v>240</v>
      </c>
      <c r="C164" s="69" t="s">
        <v>417</v>
      </c>
      <c r="D164" s="69"/>
      <c r="E164" s="53" t="s">
        <v>180</v>
      </c>
      <c r="F164" s="50">
        <v>1</v>
      </c>
      <c r="G164" s="29">
        <v>0</v>
      </c>
    </row>
    <row r="165" spans="1:7" ht="15" customHeight="1" x14ac:dyDescent="0.25">
      <c r="A165" s="36" t="s">
        <v>265</v>
      </c>
      <c r="B165" s="53" t="s">
        <v>399</v>
      </c>
      <c r="C165" s="69" t="s">
        <v>218</v>
      </c>
      <c r="D165" s="69"/>
      <c r="E165" s="53" t="s">
        <v>180</v>
      </c>
      <c r="F165" s="50">
        <v>1</v>
      </c>
      <c r="G165" s="29">
        <v>0</v>
      </c>
    </row>
    <row r="166" spans="1:7" ht="15" customHeight="1" x14ac:dyDescent="0.25">
      <c r="A166" s="36" t="s">
        <v>199</v>
      </c>
      <c r="B166" s="53" t="s">
        <v>245</v>
      </c>
      <c r="C166" s="69" t="s">
        <v>665</v>
      </c>
      <c r="D166" s="69"/>
      <c r="E166" s="53" t="s">
        <v>180</v>
      </c>
      <c r="F166" s="50">
        <v>1</v>
      </c>
      <c r="G166" s="29">
        <v>0</v>
      </c>
    </row>
    <row r="167" spans="1:7" ht="15" customHeight="1" x14ac:dyDescent="0.25">
      <c r="A167" s="31" t="s">
        <v>510</v>
      </c>
      <c r="B167" s="35" t="s">
        <v>407</v>
      </c>
      <c r="C167" s="71" t="s">
        <v>549</v>
      </c>
      <c r="D167" s="71"/>
      <c r="E167" s="35" t="s">
        <v>510</v>
      </c>
      <c r="F167" s="57" t="s">
        <v>510</v>
      </c>
      <c r="G167" s="7" t="s">
        <v>510</v>
      </c>
    </row>
    <row r="168" spans="1:7" ht="15" customHeight="1" x14ac:dyDescent="0.25">
      <c r="A168" s="36" t="s">
        <v>554</v>
      </c>
      <c r="B168" s="53" t="s">
        <v>653</v>
      </c>
      <c r="C168" s="69" t="s">
        <v>378</v>
      </c>
      <c r="D168" s="69"/>
      <c r="E168" s="53" t="s">
        <v>710</v>
      </c>
      <c r="F168" s="50">
        <v>0.15000000000000002</v>
      </c>
      <c r="G168" s="29">
        <v>0</v>
      </c>
    </row>
    <row r="169" spans="1:7" ht="15" customHeight="1" x14ac:dyDescent="0.25">
      <c r="A169" s="31" t="s">
        <v>510</v>
      </c>
      <c r="B169" s="35" t="s">
        <v>76</v>
      </c>
      <c r="C169" s="71" t="s">
        <v>805</v>
      </c>
      <c r="D169" s="71"/>
      <c r="E169" s="35" t="s">
        <v>510</v>
      </c>
      <c r="F169" s="57" t="s">
        <v>510</v>
      </c>
      <c r="G169" s="7" t="s">
        <v>510</v>
      </c>
    </row>
    <row r="170" spans="1:7" ht="15" customHeight="1" x14ac:dyDescent="0.25">
      <c r="A170" s="36" t="s">
        <v>91</v>
      </c>
      <c r="B170" s="53" t="s">
        <v>529</v>
      </c>
      <c r="C170" s="69" t="s">
        <v>550</v>
      </c>
      <c r="D170" s="69"/>
      <c r="E170" s="53" t="s">
        <v>180</v>
      </c>
      <c r="F170" s="50">
        <v>1</v>
      </c>
      <c r="G170" s="29">
        <v>0</v>
      </c>
    </row>
    <row r="171" spans="1:7" ht="15" customHeight="1" x14ac:dyDescent="0.25">
      <c r="A171" s="36" t="s">
        <v>690</v>
      </c>
      <c r="B171" s="53" t="s">
        <v>326</v>
      </c>
      <c r="C171" s="69" t="s">
        <v>221</v>
      </c>
      <c r="D171" s="69"/>
      <c r="E171" s="53" t="s">
        <v>180</v>
      </c>
      <c r="F171" s="50">
        <v>1</v>
      </c>
      <c r="G171" s="29">
        <v>0</v>
      </c>
    </row>
    <row r="172" spans="1:7" ht="15" customHeight="1" x14ac:dyDescent="0.25">
      <c r="A172" s="31" t="s">
        <v>510</v>
      </c>
      <c r="B172" s="35" t="s">
        <v>484</v>
      </c>
      <c r="C172" s="71" t="s">
        <v>443</v>
      </c>
      <c r="D172" s="71"/>
      <c r="E172" s="35" t="s">
        <v>510</v>
      </c>
      <c r="F172" s="57" t="s">
        <v>510</v>
      </c>
      <c r="G172" s="7" t="s">
        <v>510</v>
      </c>
    </row>
    <row r="173" spans="1:7" ht="15" customHeight="1" x14ac:dyDescent="0.25">
      <c r="A173" s="36" t="s">
        <v>172</v>
      </c>
      <c r="B173" s="53" t="s">
        <v>194</v>
      </c>
      <c r="C173" s="69" t="s">
        <v>132</v>
      </c>
      <c r="D173" s="69"/>
      <c r="E173" s="53" t="s">
        <v>331</v>
      </c>
      <c r="F173" s="50">
        <v>0.60000000000000009</v>
      </c>
      <c r="G173" s="29">
        <v>0</v>
      </c>
    </row>
    <row r="174" spans="1:7" ht="15" customHeight="1" x14ac:dyDescent="0.25">
      <c r="A174" s="36" t="s">
        <v>102</v>
      </c>
      <c r="B174" s="53" t="s">
        <v>167</v>
      </c>
      <c r="C174" s="69" t="s">
        <v>227</v>
      </c>
      <c r="D174" s="69"/>
      <c r="E174" s="53" t="s">
        <v>331</v>
      </c>
      <c r="F174" s="50">
        <v>0.60000000000000009</v>
      </c>
      <c r="G174" s="29">
        <v>0</v>
      </c>
    </row>
    <row r="175" spans="1:7" ht="15" customHeight="1" x14ac:dyDescent="0.25">
      <c r="A175" s="31" t="s">
        <v>510</v>
      </c>
      <c r="B175" s="35" t="s">
        <v>94</v>
      </c>
      <c r="C175" s="71" t="s">
        <v>639</v>
      </c>
      <c r="D175" s="71"/>
      <c r="E175" s="35" t="s">
        <v>510</v>
      </c>
      <c r="F175" s="57" t="s">
        <v>510</v>
      </c>
      <c r="G175" s="7" t="s">
        <v>510</v>
      </c>
    </row>
    <row r="176" spans="1:7" ht="15" customHeight="1" x14ac:dyDescent="0.25">
      <c r="A176" s="36" t="s">
        <v>208</v>
      </c>
      <c r="B176" s="53" t="s">
        <v>255</v>
      </c>
      <c r="C176" s="69" t="s">
        <v>687</v>
      </c>
      <c r="D176" s="69"/>
      <c r="E176" s="53" t="s">
        <v>331</v>
      </c>
      <c r="F176" s="50">
        <v>0.04</v>
      </c>
      <c r="G176" s="29">
        <v>0</v>
      </c>
    </row>
    <row r="177" spans="1:7" ht="15" customHeight="1" x14ac:dyDescent="0.25">
      <c r="A177" s="36" t="s">
        <v>219</v>
      </c>
      <c r="B177" s="53" t="s">
        <v>567</v>
      </c>
      <c r="C177" s="69" t="s">
        <v>34</v>
      </c>
      <c r="D177" s="69"/>
      <c r="E177" s="53" t="s">
        <v>331</v>
      </c>
      <c r="F177" s="50">
        <v>0.04</v>
      </c>
      <c r="G177" s="29">
        <v>0</v>
      </c>
    </row>
    <row r="178" spans="1:7" ht="15" customHeight="1" x14ac:dyDescent="0.25">
      <c r="A178" s="31" t="s">
        <v>510</v>
      </c>
      <c r="B178" s="35" t="s">
        <v>753</v>
      </c>
      <c r="C178" s="71" t="s">
        <v>826</v>
      </c>
      <c r="D178" s="71"/>
      <c r="E178" s="35" t="s">
        <v>510</v>
      </c>
      <c r="F178" s="57" t="s">
        <v>510</v>
      </c>
      <c r="G178" s="7" t="s">
        <v>510</v>
      </c>
    </row>
    <row r="179" spans="1:7" ht="15" customHeight="1" x14ac:dyDescent="0.25">
      <c r="A179" s="36" t="s">
        <v>154</v>
      </c>
      <c r="B179" s="53" t="s">
        <v>19</v>
      </c>
      <c r="C179" s="69" t="s">
        <v>70</v>
      </c>
      <c r="D179" s="69"/>
      <c r="E179" s="53" t="s">
        <v>331</v>
      </c>
      <c r="F179" s="50">
        <v>0.01</v>
      </c>
      <c r="G179" s="29">
        <v>0</v>
      </c>
    </row>
    <row r="180" spans="1:7" ht="15" customHeight="1" x14ac:dyDescent="0.25">
      <c r="A180" s="36" t="s">
        <v>292</v>
      </c>
      <c r="B180" s="53" t="s">
        <v>633</v>
      </c>
      <c r="C180" s="69" t="s">
        <v>667</v>
      </c>
      <c r="D180" s="69"/>
      <c r="E180" s="53" t="s">
        <v>331</v>
      </c>
      <c r="F180" s="50">
        <v>0.01</v>
      </c>
      <c r="G180" s="29">
        <v>0</v>
      </c>
    </row>
    <row r="181" spans="1:7" ht="15" customHeight="1" x14ac:dyDescent="0.25">
      <c r="A181" s="31" t="s">
        <v>510</v>
      </c>
      <c r="B181" s="35" t="s">
        <v>701</v>
      </c>
      <c r="C181" s="71" t="s">
        <v>449</v>
      </c>
      <c r="D181" s="71"/>
      <c r="E181" s="35" t="s">
        <v>510</v>
      </c>
      <c r="F181" s="57" t="s">
        <v>510</v>
      </c>
      <c r="G181" s="7" t="s">
        <v>510</v>
      </c>
    </row>
    <row r="182" spans="1:7" ht="15" customHeight="1" x14ac:dyDescent="0.25">
      <c r="A182" s="36" t="s">
        <v>279</v>
      </c>
      <c r="B182" s="53" t="s">
        <v>499</v>
      </c>
      <c r="C182" s="69" t="s">
        <v>393</v>
      </c>
      <c r="D182" s="69"/>
      <c r="E182" s="53" t="s">
        <v>331</v>
      </c>
      <c r="F182" s="50">
        <v>0.04</v>
      </c>
      <c r="G182" s="29">
        <v>0</v>
      </c>
    </row>
    <row r="183" spans="1:7" ht="15" customHeight="1" x14ac:dyDescent="0.25">
      <c r="A183" s="36" t="s">
        <v>397</v>
      </c>
      <c r="B183" s="53" t="s">
        <v>412</v>
      </c>
      <c r="C183" s="69" t="s">
        <v>285</v>
      </c>
      <c r="D183" s="69"/>
      <c r="E183" s="53" t="s">
        <v>331</v>
      </c>
      <c r="F183" s="50">
        <v>0.04</v>
      </c>
      <c r="G183" s="29">
        <v>0</v>
      </c>
    </row>
    <row r="184" spans="1:7" ht="15" customHeight="1" x14ac:dyDescent="0.25">
      <c r="A184" s="31" t="s">
        <v>510</v>
      </c>
      <c r="B184" s="35" t="s">
        <v>368</v>
      </c>
      <c r="C184" s="71" t="s">
        <v>353</v>
      </c>
      <c r="D184" s="71"/>
      <c r="E184" s="35" t="s">
        <v>510</v>
      </c>
      <c r="F184" s="57" t="s">
        <v>510</v>
      </c>
      <c r="G184" s="7" t="s">
        <v>510</v>
      </c>
    </row>
    <row r="185" spans="1:7" ht="15" customHeight="1" x14ac:dyDescent="0.25">
      <c r="A185" s="36" t="s">
        <v>80</v>
      </c>
      <c r="B185" s="53" t="s">
        <v>578</v>
      </c>
      <c r="C185" s="69" t="s">
        <v>81</v>
      </c>
      <c r="D185" s="69"/>
      <c r="E185" s="53" t="s">
        <v>331</v>
      </c>
      <c r="F185" s="50">
        <v>0.30000000000000004</v>
      </c>
      <c r="G185" s="29">
        <v>0</v>
      </c>
    </row>
    <row r="186" spans="1:7" ht="15" customHeight="1" x14ac:dyDescent="0.25">
      <c r="A186" s="36" t="s">
        <v>385</v>
      </c>
      <c r="B186" s="53" t="s">
        <v>79</v>
      </c>
      <c r="C186" s="69" t="s">
        <v>432</v>
      </c>
      <c r="D186" s="69"/>
      <c r="E186" s="53" t="s">
        <v>331</v>
      </c>
      <c r="F186" s="50">
        <v>0.30000000000000004</v>
      </c>
      <c r="G186" s="29">
        <v>0</v>
      </c>
    </row>
    <row r="187" spans="1:7" ht="15" customHeight="1" x14ac:dyDescent="0.25">
      <c r="A187" s="31" t="s">
        <v>510</v>
      </c>
      <c r="B187" s="35" t="s">
        <v>569</v>
      </c>
      <c r="C187" s="71" t="s">
        <v>315</v>
      </c>
      <c r="D187" s="71"/>
      <c r="E187" s="35" t="s">
        <v>510</v>
      </c>
      <c r="F187" s="57" t="s">
        <v>510</v>
      </c>
      <c r="G187" s="7" t="s">
        <v>510</v>
      </c>
    </row>
    <row r="188" spans="1:7" ht="15" customHeight="1" x14ac:dyDescent="0.25">
      <c r="A188" s="36" t="s">
        <v>47</v>
      </c>
      <c r="B188" s="53" t="s">
        <v>151</v>
      </c>
      <c r="C188" s="69" t="s">
        <v>749</v>
      </c>
      <c r="D188" s="69"/>
      <c r="E188" s="53" t="s">
        <v>331</v>
      </c>
      <c r="F188" s="50">
        <v>1.1000000000000001</v>
      </c>
      <c r="G188" s="29">
        <v>0</v>
      </c>
    </row>
    <row r="189" spans="1:7" ht="15" customHeight="1" x14ac:dyDescent="0.25">
      <c r="A189" s="36" t="s">
        <v>789</v>
      </c>
      <c r="B189" s="53" t="s">
        <v>781</v>
      </c>
      <c r="C189" s="69" t="s">
        <v>662</v>
      </c>
      <c r="D189" s="69"/>
      <c r="E189" s="53" t="s">
        <v>331</v>
      </c>
      <c r="F189" s="50">
        <v>1.1000000000000001</v>
      </c>
      <c r="G189" s="29">
        <v>0</v>
      </c>
    </row>
    <row r="190" spans="1:7" ht="15" customHeight="1" x14ac:dyDescent="0.25">
      <c r="A190" s="31" t="s">
        <v>510</v>
      </c>
      <c r="B190" s="35" t="s">
        <v>442</v>
      </c>
      <c r="C190" s="71" t="s">
        <v>729</v>
      </c>
      <c r="D190" s="71"/>
      <c r="E190" s="35" t="s">
        <v>510</v>
      </c>
      <c r="F190" s="57" t="s">
        <v>510</v>
      </c>
      <c r="G190" s="7" t="s">
        <v>510</v>
      </c>
    </row>
    <row r="191" spans="1:7" ht="15" customHeight="1" x14ac:dyDescent="0.25">
      <c r="A191" s="36" t="s">
        <v>419</v>
      </c>
      <c r="B191" s="53" t="s">
        <v>402</v>
      </c>
      <c r="C191" s="69" t="s">
        <v>607</v>
      </c>
      <c r="D191" s="69"/>
      <c r="E191" s="53" t="s">
        <v>331</v>
      </c>
      <c r="F191" s="50">
        <v>0.22000000000000003</v>
      </c>
      <c r="G191" s="29">
        <v>0</v>
      </c>
    </row>
    <row r="192" spans="1:7" ht="15" customHeight="1" x14ac:dyDescent="0.25">
      <c r="A192" s="36" t="s">
        <v>297</v>
      </c>
      <c r="B192" s="53" t="s">
        <v>131</v>
      </c>
      <c r="C192" s="69" t="s">
        <v>303</v>
      </c>
      <c r="D192" s="69"/>
      <c r="E192" s="53" t="s">
        <v>331</v>
      </c>
      <c r="F192" s="50">
        <v>0.22000000000000003</v>
      </c>
      <c r="G192" s="29">
        <v>0</v>
      </c>
    </row>
    <row r="193" spans="1:7" ht="15" customHeight="1" x14ac:dyDescent="0.25">
      <c r="A193" s="31" t="s">
        <v>510</v>
      </c>
      <c r="B193" s="35" t="s">
        <v>620</v>
      </c>
      <c r="C193" s="71" t="s">
        <v>627</v>
      </c>
      <c r="D193" s="71"/>
      <c r="E193" s="35" t="s">
        <v>510</v>
      </c>
      <c r="F193" s="57" t="s">
        <v>510</v>
      </c>
      <c r="G193" s="7" t="s">
        <v>510</v>
      </c>
    </row>
    <row r="194" spans="1:7" ht="15" customHeight="1" x14ac:dyDescent="0.25">
      <c r="A194" s="36" t="s">
        <v>210</v>
      </c>
      <c r="B194" s="53" t="s">
        <v>676</v>
      </c>
      <c r="C194" s="69" t="s">
        <v>646</v>
      </c>
      <c r="D194" s="69"/>
      <c r="E194" s="53" t="s">
        <v>331</v>
      </c>
      <c r="F194" s="50">
        <v>0.82000000000000006</v>
      </c>
      <c r="G194" s="29">
        <v>0</v>
      </c>
    </row>
    <row r="195" spans="1:7" ht="15" customHeight="1" x14ac:dyDescent="0.25">
      <c r="A195" s="36" t="s">
        <v>515</v>
      </c>
      <c r="B195" s="53" t="s">
        <v>322</v>
      </c>
      <c r="C195" s="69" t="s">
        <v>10</v>
      </c>
      <c r="D195" s="69"/>
      <c r="E195" s="53" t="s">
        <v>331</v>
      </c>
      <c r="F195" s="50">
        <v>0.82000000000000006</v>
      </c>
      <c r="G195" s="29">
        <v>0</v>
      </c>
    </row>
    <row r="196" spans="1:7" ht="15" customHeight="1" x14ac:dyDescent="0.25">
      <c r="A196" s="31" t="s">
        <v>510</v>
      </c>
      <c r="B196" s="35" t="s">
        <v>69</v>
      </c>
      <c r="C196" s="71" t="s">
        <v>490</v>
      </c>
      <c r="D196" s="71"/>
      <c r="E196" s="35" t="s">
        <v>510</v>
      </c>
      <c r="F196" s="57" t="s">
        <v>510</v>
      </c>
      <c r="G196" s="7" t="s">
        <v>510</v>
      </c>
    </row>
    <row r="197" spans="1:7" ht="15" customHeight="1" x14ac:dyDescent="0.25">
      <c r="A197" s="36" t="s">
        <v>691</v>
      </c>
      <c r="B197" s="53" t="s">
        <v>23</v>
      </c>
      <c r="C197" s="69" t="s">
        <v>557</v>
      </c>
      <c r="D197" s="69"/>
      <c r="E197" s="53" t="s">
        <v>331</v>
      </c>
      <c r="F197" s="50">
        <v>0.15000000000000002</v>
      </c>
      <c r="G197" s="29">
        <v>0</v>
      </c>
    </row>
    <row r="198" spans="1:7" ht="15" customHeight="1" x14ac:dyDescent="0.25">
      <c r="A198" s="36" t="s">
        <v>169</v>
      </c>
      <c r="B198" s="53" t="s">
        <v>774</v>
      </c>
      <c r="C198" s="69" t="s">
        <v>477</v>
      </c>
      <c r="D198" s="69"/>
      <c r="E198" s="53" t="s">
        <v>331</v>
      </c>
      <c r="F198" s="50">
        <v>0.15000000000000002</v>
      </c>
      <c r="G198" s="29">
        <v>0</v>
      </c>
    </row>
    <row r="199" spans="1:7" ht="15" customHeight="1" x14ac:dyDescent="0.25">
      <c r="A199" s="31" t="s">
        <v>510</v>
      </c>
      <c r="B199" s="35" t="s">
        <v>145</v>
      </c>
      <c r="C199" s="71" t="s">
        <v>197</v>
      </c>
      <c r="D199" s="71"/>
      <c r="E199" s="35" t="s">
        <v>510</v>
      </c>
      <c r="F199" s="57" t="s">
        <v>510</v>
      </c>
      <c r="G199" s="7" t="s">
        <v>510</v>
      </c>
    </row>
    <row r="200" spans="1:7" ht="15" customHeight="1" x14ac:dyDescent="0.25">
      <c r="A200" s="36" t="s">
        <v>775</v>
      </c>
      <c r="B200" s="53" t="s">
        <v>568</v>
      </c>
      <c r="C200" s="69" t="s">
        <v>171</v>
      </c>
      <c r="D200" s="69"/>
      <c r="E200" s="53" t="s">
        <v>331</v>
      </c>
      <c r="F200" s="50">
        <v>0.15000000000000002</v>
      </c>
      <c r="G200" s="29">
        <v>0</v>
      </c>
    </row>
    <row r="201" spans="1:7" ht="15" customHeight="1" x14ac:dyDescent="0.25">
      <c r="A201" s="36" t="s">
        <v>294</v>
      </c>
      <c r="B201" s="53" t="s">
        <v>307</v>
      </c>
      <c r="C201" s="69" t="s">
        <v>277</v>
      </c>
      <c r="D201" s="69"/>
      <c r="E201" s="53" t="s">
        <v>331</v>
      </c>
      <c r="F201" s="50">
        <v>0.15000000000000002</v>
      </c>
      <c r="G201" s="29">
        <v>0</v>
      </c>
    </row>
    <row r="202" spans="1:7" ht="15" customHeight="1" x14ac:dyDescent="0.25">
      <c r="A202" s="31" t="s">
        <v>510</v>
      </c>
      <c r="B202" s="35" t="s">
        <v>24</v>
      </c>
      <c r="C202" s="71" t="s">
        <v>146</v>
      </c>
      <c r="D202" s="71"/>
      <c r="E202" s="35" t="s">
        <v>510</v>
      </c>
      <c r="F202" s="57" t="s">
        <v>510</v>
      </c>
      <c r="G202" s="7" t="s">
        <v>510</v>
      </c>
    </row>
    <row r="203" spans="1:7" ht="15" customHeight="1" x14ac:dyDescent="0.25">
      <c r="A203" s="36" t="s">
        <v>682</v>
      </c>
      <c r="B203" s="53" t="s">
        <v>699</v>
      </c>
      <c r="C203" s="69" t="s">
        <v>514</v>
      </c>
      <c r="D203" s="69"/>
      <c r="E203" s="53" t="s">
        <v>316</v>
      </c>
      <c r="F203" s="50">
        <v>16</v>
      </c>
      <c r="G203" s="29">
        <v>0</v>
      </c>
    </row>
    <row r="204" spans="1:7" ht="15" customHeight="1" x14ac:dyDescent="0.25">
      <c r="A204" s="36" t="s">
        <v>541</v>
      </c>
      <c r="B204" s="53" t="s">
        <v>270</v>
      </c>
      <c r="C204" s="69" t="s">
        <v>348</v>
      </c>
      <c r="D204" s="69"/>
      <c r="E204" s="53" t="s">
        <v>626</v>
      </c>
      <c r="F204" s="50">
        <v>10</v>
      </c>
      <c r="G204" s="29">
        <v>0</v>
      </c>
    </row>
    <row r="205" spans="1:7" ht="15" customHeight="1" x14ac:dyDescent="0.25">
      <c r="A205" s="36" t="s">
        <v>694</v>
      </c>
      <c r="B205" s="53" t="s">
        <v>189</v>
      </c>
      <c r="C205" s="69" t="s">
        <v>369</v>
      </c>
      <c r="D205" s="69"/>
      <c r="E205" s="53" t="s">
        <v>331</v>
      </c>
      <c r="F205" s="50">
        <v>1</v>
      </c>
      <c r="G205" s="29">
        <v>0</v>
      </c>
    </row>
    <row r="206" spans="1:7" ht="15" customHeight="1" x14ac:dyDescent="0.25">
      <c r="A206" s="31" t="s">
        <v>510</v>
      </c>
      <c r="B206" s="35" t="s">
        <v>273</v>
      </c>
      <c r="C206" s="71" t="s">
        <v>283</v>
      </c>
      <c r="D206" s="71"/>
      <c r="E206" s="35" t="s">
        <v>510</v>
      </c>
      <c r="F206" s="57" t="s">
        <v>510</v>
      </c>
      <c r="G206" s="7" t="s">
        <v>510</v>
      </c>
    </row>
    <row r="207" spans="1:7" ht="15" customHeight="1" x14ac:dyDescent="0.25">
      <c r="A207" s="36" t="s">
        <v>128</v>
      </c>
      <c r="B207" s="53" t="s">
        <v>27</v>
      </c>
      <c r="C207" s="69" t="s">
        <v>563</v>
      </c>
      <c r="D207" s="69"/>
      <c r="E207" s="53" t="s">
        <v>180</v>
      </c>
      <c r="F207" s="50">
        <v>2</v>
      </c>
      <c r="G207" s="29">
        <v>0</v>
      </c>
    </row>
    <row r="208" spans="1:7" ht="15" customHeight="1" x14ac:dyDescent="0.25">
      <c r="A208" s="36" t="s">
        <v>342</v>
      </c>
      <c r="B208" s="53" t="s">
        <v>17</v>
      </c>
      <c r="C208" s="69" t="s">
        <v>113</v>
      </c>
      <c r="D208" s="69"/>
      <c r="E208" s="53" t="s">
        <v>180</v>
      </c>
      <c r="F208" s="50">
        <v>1</v>
      </c>
      <c r="G208" s="29">
        <v>0</v>
      </c>
    </row>
    <row r="209" spans="1:7" ht="15" customHeight="1" x14ac:dyDescent="0.25">
      <c r="A209" s="36" t="s">
        <v>401</v>
      </c>
      <c r="B209" s="53" t="s">
        <v>645</v>
      </c>
      <c r="C209" s="69" t="s">
        <v>317</v>
      </c>
      <c r="D209" s="69"/>
      <c r="E209" s="53" t="s">
        <v>180</v>
      </c>
      <c r="F209" s="50">
        <v>1</v>
      </c>
      <c r="G209" s="29">
        <v>0</v>
      </c>
    </row>
    <row r="210" spans="1:7" ht="15" customHeight="1" x14ac:dyDescent="0.25">
      <c r="A210" s="36" t="s">
        <v>674</v>
      </c>
      <c r="B210" s="53" t="s">
        <v>747</v>
      </c>
      <c r="C210" s="69" t="s">
        <v>751</v>
      </c>
      <c r="D210" s="69"/>
      <c r="E210" s="53" t="s">
        <v>180</v>
      </c>
      <c r="F210" s="50">
        <v>1</v>
      </c>
      <c r="G210" s="29">
        <v>0</v>
      </c>
    </row>
    <row r="211" spans="1:7" ht="15" customHeight="1" x14ac:dyDescent="0.25">
      <c r="A211" s="31" t="s">
        <v>510</v>
      </c>
      <c r="B211" s="35" t="s">
        <v>103</v>
      </c>
      <c r="C211" s="71" t="s">
        <v>565</v>
      </c>
      <c r="D211" s="71"/>
      <c r="E211" s="35" t="s">
        <v>510</v>
      </c>
      <c r="F211" s="57" t="s">
        <v>510</v>
      </c>
      <c r="G211" s="7" t="s">
        <v>510</v>
      </c>
    </row>
    <row r="212" spans="1:7" ht="15" customHeight="1" x14ac:dyDescent="0.25">
      <c r="A212" s="36" t="s">
        <v>743</v>
      </c>
      <c r="B212" s="53" t="s">
        <v>116</v>
      </c>
      <c r="C212" s="69" t="s">
        <v>666</v>
      </c>
      <c r="D212" s="69"/>
      <c r="E212" s="53" t="s">
        <v>180</v>
      </c>
      <c r="F212" s="50">
        <v>1</v>
      </c>
      <c r="G212" s="29">
        <v>0</v>
      </c>
    </row>
    <row r="213" spans="1:7" ht="15" customHeight="1" x14ac:dyDescent="0.25">
      <c r="A213" s="36" t="s">
        <v>2</v>
      </c>
      <c r="B213" s="53" t="s">
        <v>217</v>
      </c>
      <c r="C213" s="69" t="s">
        <v>361</v>
      </c>
      <c r="D213" s="69"/>
      <c r="E213" s="53" t="s">
        <v>180</v>
      </c>
      <c r="F213" s="50">
        <v>1</v>
      </c>
      <c r="G213" s="29">
        <v>0</v>
      </c>
    </row>
    <row r="214" spans="1:7" ht="15" customHeight="1" x14ac:dyDescent="0.25">
      <c r="A214" s="36" t="s">
        <v>21</v>
      </c>
      <c r="B214" s="53" t="s">
        <v>374</v>
      </c>
      <c r="C214" s="69" t="s">
        <v>739</v>
      </c>
      <c r="D214" s="69"/>
      <c r="E214" s="53" t="s">
        <v>180</v>
      </c>
      <c r="F214" s="50">
        <v>9</v>
      </c>
      <c r="G214" s="29">
        <v>0</v>
      </c>
    </row>
    <row r="215" spans="1:7" ht="15" customHeight="1" x14ac:dyDescent="0.25">
      <c r="A215" s="36" t="s">
        <v>38</v>
      </c>
      <c r="B215" s="53" t="s">
        <v>374</v>
      </c>
      <c r="C215" s="69" t="s">
        <v>82</v>
      </c>
      <c r="D215" s="69"/>
      <c r="E215" s="53" t="s">
        <v>180</v>
      </c>
      <c r="F215" s="50">
        <v>1</v>
      </c>
      <c r="G215" s="29">
        <v>0</v>
      </c>
    </row>
    <row r="216" spans="1:7" ht="15" customHeight="1" x14ac:dyDescent="0.25">
      <c r="A216" s="36" t="s">
        <v>548</v>
      </c>
      <c r="B216" s="53" t="s">
        <v>374</v>
      </c>
      <c r="C216" s="69" t="s">
        <v>726</v>
      </c>
      <c r="D216" s="69"/>
      <c r="E216" s="53" t="s">
        <v>518</v>
      </c>
      <c r="F216" s="50">
        <v>1</v>
      </c>
      <c r="G216" s="29">
        <v>0</v>
      </c>
    </row>
    <row r="217" spans="1:7" ht="15" customHeight="1" x14ac:dyDescent="0.25">
      <c r="A217" s="36" t="s">
        <v>807</v>
      </c>
      <c r="B217" s="53" t="s">
        <v>501</v>
      </c>
      <c r="C217" s="69" t="s">
        <v>806</v>
      </c>
      <c r="D217" s="69"/>
      <c r="E217" s="53" t="s">
        <v>618</v>
      </c>
      <c r="F217" s="50">
        <v>6.0000000000000009</v>
      </c>
      <c r="G217" s="29">
        <v>0</v>
      </c>
    </row>
    <row r="218" spans="1:7" ht="15" customHeight="1" x14ac:dyDescent="0.25">
      <c r="A218" s="36" t="s">
        <v>202</v>
      </c>
      <c r="B218" s="53" t="s">
        <v>286</v>
      </c>
      <c r="C218" s="69" t="s">
        <v>688</v>
      </c>
      <c r="D218" s="69"/>
      <c r="E218" s="53" t="s">
        <v>618</v>
      </c>
      <c r="F218" s="50">
        <v>3.0000000000000004</v>
      </c>
      <c r="G218" s="29">
        <v>0</v>
      </c>
    </row>
    <row r="219" spans="1:7" ht="15" customHeight="1" x14ac:dyDescent="0.25">
      <c r="A219" s="36" t="s">
        <v>46</v>
      </c>
      <c r="B219" s="53" t="s">
        <v>610</v>
      </c>
      <c r="C219" s="69" t="s">
        <v>614</v>
      </c>
      <c r="D219" s="69"/>
      <c r="E219" s="53" t="s">
        <v>618</v>
      </c>
      <c r="F219" s="50">
        <v>70</v>
      </c>
      <c r="G219" s="29">
        <v>0</v>
      </c>
    </row>
    <row r="220" spans="1:7" ht="15" customHeight="1" x14ac:dyDescent="0.25">
      <c r="A220" s="36" t="s">
        <v>107</v>
      </c>
      <c r="B220" s="53" t="s">
        <v>497</v>
      </c>
      <c r="C220" s="69" t="s">
        <v>654</v>
      </c>
      <c r="D220" s="69"/>
      <c r="E220" s="53" t="s">
        <v>618</v>
      </c>
      <c r="F220" s="50">
        <v>15.000000000000002</v>
      </c>
      <c r="G220" s="29">
        <v>0</v>
      </c>
    </row>
    <row r="221" spans="1:7" ht="15" customHeight="1" x14ac:dyDescent="0.25">
      <c r="A221" s="36" t="s">
        <v>680</v>
      </c>
      <c r="B221" s="53" t="s">
        <v>144</v>
      </c>
      <c r="C221" s="69" t="s">
        <v>637</v>
      </c>
      <c r="D221" s="69"/>
      <c r="E221" s="53" t="s">
        <v>618</v>
      </c>
      <c r="F221" s="50">
        <v>70</v>
      </c>
      <c r="G221" s="29">
        <v>0</v>
      </c>
    </row>
    <row r="222" spans="1:7" ht="15" customHeight="1" x14ac:dyDescent="0.25">
      <c r="A222" s="36" t="s">
        <v>441</v>
      </c>
      <c r="B222" s="53" t="s">
        <v>380</v>
      </c>
      <c r="C222" s="69" t="s">
        <v>628</v>
      </c>
      <c r="D222" s="69"/>
      <c r="E222" s="53" t="s">
        <v>180</v>
      </c>
      <c r="F222" s="50">
        <v>8</v>
      </c>
      <c r="G222" s="29">
        <v>0</v>
      </c>
    </row>
    <row r="223" spans="1:7" ht="15" customHeight="1" x14ac:dyDescent="0.25">
      <c r="A223" s="36" t="s">
        <v>201</v>
      </c>
      <c r="B223" s="53" t="s">
        <v>591</v>
      </c>
      <c r="C223" s="69" t="s">
        <v>340</v>
      </c>
      <c r="D223" s="69"/>
      <c r="E223" s="53" t="s">
        <v>180</v>
      </c>
      <c r="F223" s="50">
        <v>30.000000000000004</v>
      </c>
      <c r="G223" s="29">
        <v>0</v>
      </c>
    </row>
    <row r="224" spans="1:7" ht="15" customHeight="1" x14ac:dyDescent="0.25">
      <c r="A224" s="36" t="s">
        <v>606</v>
      </c>
      <c r="B224" s="53" t="s">
        <v>212</v>
      </c>
      <c r="C224" s="69" t="s">
        <v>100</v>
      </c>
      <c r="D224" s="69"/>
      <c r="E224" s="53" t="s">
        <v>180</v>
      </c>
      <c r="F224" s="50">
        <v>1</v>
      </c>
      <c r="G224" s="29">
        <v>0</v>
      </c>
    </row>
    <row r="225" spans="1:7" ht="15" customHeight="1" x14ac:dyDescent="0.25">
      <c r="A225" s="36" t="s">
        <v>759</v>
      </c>
      <c r="B225" s="53" t="s">
        <v>689</v>
      </c>
      <c r="C225" s="69" t="s">
        <v>92</v>
      </c>
      <c r="D225" s="69"/>
      <c r="E225" s="53" t="s">
        <v>180</v>
      </c>
      <c r="F225" s="50">
        <v>1</v>
      </c>
      <c r="G225" s="29">
        <v>0</v>
      </c>
    </row>
    <row r="226" spans="1:7" ht="15" customHeight="1" x14ac:dyDescent="0.25">
      <c r="A226" s="36" t="s">
        <v>173</v>
      </c>
      <c r="B226" s="53" t="s">
        <v>461</v>
      </c>
      <c r="C226" s="69" t="s">
        <v>448</v>
      </c>
      <c r="D226" s="69"/>
      <c r="E226" s="53" t="s">
        <v>250</v>
      </c>
      <c r="F226" s="50">
        <v>1</v>
      </c>
      <c r="G226" s="29">
        <v>0</v>
      </c>
    </row>
    <row r="227" spans="1:7" ht="15" customHeight="1" x14ac:dyDescent="0.25">
      <c r="A227" s="36" t="s">
        <v>784</v>
      </c>
      <c r="B227" s="53" t="s">
        <v>623</v>
      </c>
      <c r="C227" s="69" t="s">
        <v>820</v>
      </c>
      <c r="D227" s="69"/>
      <c r="E227" s="53" t="s">
        <v>180</v>
      </c>
      <c r="F227" s="50">
        <v>1</v>
      </c>
      <c r="G227" s="29">
        <v>0</v>
      </c>
    </row>
    <row r="228" spans="1:7" ht="15" customHeight="1" x14ac:dyDescent="0.25">
      <c r="A228" s="36" t="s">
        <v>225</v>
      </c>
      <c r="B228" s="53" t="s">
        <v>634</v>
      </c>
      <c r="C228" s="69" t="s">
        <v>281</v>
      </c>
      <c r="D228" s="69"/>
      <c r="E228" s="53" t="s">
        <v>180</v>
      </c>
      <c r="F228" s="50">
        <v>1</v>
      </c>
      <c r="G228" s="29">
        <v>0</v>
      </c>
    </row>
    <row r="229" spans="1:7" ht="15" customHeight="1" x14ac:dyDescent="0.25">
      <c r="A229" s="36" t="s">
        <v>601</v>
      </c>
      <c r="B229" s="53" t="s">
        <v>205</v>
      </c>
      <c r="C229" s="69" t="s">
        <v>513</v>
      </c>
      <c r="D229" s="69"/>
      <c r="E229" s="53" t="s">
        <v>180</v>
      </c>
      <c r="F229" s="50">
        <v>2</v>
      </c>
      <c r="G229" s="29">
        <v>0</v>
      </c>
    </row>
    <row r="230" spans="1:7" ht="15" customHeight="1" x14ac:dyDescent="0.25">
      <c r="A230" s="36" t="s">
        <v>388</v>
      </c>
      <c r="B230" s="53" t="s">
        <v>526</v>
      </c>
      <c r="C230" s="69" t="s">
        <v>190</v>
      </c>
      <c r="D230" s="69"/>
      <c r="E230" s="53" t="s">
        <v>618</v>
      </c>
      <c r="F230" s="50">
        <v>20</v>
      </c>
      <c r="G230" s="29">
        <v>0</v>
      </c>
    </row>
    <row r="231" spans="1:7" ht="15" customHeight="1" x14ac:dyDescent="0.25">
      <c r="A231" s="36" t="s">
        <v>13</v>
      </c>
      <c r="B231" s="53" t="s">
        <v>343</v>
      </c>
      <c r="C231" s="69" t="s">
        <v>257</v>
      </c>
      <c r="D231" s="69"/>
      <c r="E231" s="53" t="s">
        <v>180</v>
      </c>
      <c r="F231" s="50">
        <v>1</v>
      </c>
      <c r="G231" s="29">
        <v>0</v>
      </c>
    </row>
    <row r="232" spans="1:7" ht="15" customHeight="1" x14ac:dyDescent="0.25">
      <c r="A232" s="36" t="s">
        <v>552</v>
      </c>
      <c r="B232" s="53" t="s">
        <v>461</v>
      </c>
      <c r="C232" s="69" t="s">
        <v>87</v>
      </c>
      <c r="D232" s="69"/>
      <c r="E232" s="53" t="s">
        <v>180</v>
      </c>
      <c r="F232" s="50">
        <v>1</v>
      </c>
      <c r="G232" s="29">
        <v>0</v>
      </c>
    </row>
    <row r="233" spans="1:7" ht="15" customHeight="1" x14ac:dyDescent="0.25">
      <c r="A233" s="36" t="s">
        <v>787</v>
      </c>
      <c r="B233" s="53" t="s">
        <v>229</v>
      </c>
      <c r="C233" s="69" t="s">
        <v>409</v>
      </c>
      <c r="D233" s="69"/>
      <c r="E233" s="53" t="s">
        <v>180</v>
      </c>
      <c r="F233" s="50">
        <v>40</v>
      </c>
      <c r="G233" s="29">
        <v>0</v>
      </c>
    </row>
    <row r="234" spans="1:7" ht="15" customHeight="1" x14ac:dyDescent="0.25">
      <c r="A234" s="36" t="s">
        <v>720</v>
      </c>
      <c r="B234" s="53" t="s">
        <v>359</v>
      </c>
      <c r="C234" s="69" t="s">
        <v>352</v>
      </c>
      <c r="D234" s="69"/>
      <c r="E234" s="53" t="s">
        <v>180</v>
      </c>
      <c r="F234" s="50">
        <v>1</v>
      </c>
      <c r="G234" s="29">
        <v>0</v>
      </c>
    </row>
    <row r="235" spans="1:7" ht="15" customHeight="1" x14ac:dyDescent="0.25">
      <c r="A235" s="36" t="s">
        <v>570</v>
      </c>
      <c r="B235" s="53" t="s">
        <v>195</v>
      </c>
      <c r="C235" s="69" t="s">
        <v>129</v>
      </c>
      <c r="D235" s="69"/>
      <c r="E235" s="53" t="s">
        <v>180</v>
      </c>
      <c r="F235" s="50">
        <v>1</v>
      </c>
      <c r="G235" s="29">
        <v>0</v>
      </c>
    </row>
    <row r="236" spans="1:7" ht="15" customHeight="1" x14ac:dyDescent="0.25">
      <c r="A236" s="36" t="s">
        <v>463</v>
      </c>
      <c r="B236" s="53" t="s">
        <v>308</v>
      </c>
      <c r="C236" s="69" t="s">
        <v>447</v>
      </c>
      <c r="D236" s="69"/>
      <c r="E236" s="53" t="s">
        <v>180</v>
      </c>
      <c r="F236" s="50">
        <v>1</v>
      </c>
      <c r="G236" s="29">
        <v>0</v>
      </c>
    </row>
    <row r="237" spans="1:7" ht="15" customHeight="1" x14ac:dyDescent="0.25">
      <c r="A237" s="36" t="s">
        <v>62</v>
      </c>
      <c r="B237" s="53" t="s">
        <v>328</v>
      </c>
      <c r="C237" s="69" t="s">
        <v>61</v>
      </c>
      <c r="D237" s="69"/>
      <c r="E237" s="53" t="s">
        <v>180</v>
      </c>
      <c r="F237" s="50">
        <v>1</v>
      </c>
      <c r="G237" s="29">
        <v>0</v>
      </c>
    </row>
    <row r="238" spans="1:7" ht="15" customHeight="1" x14ac:dyDescent="0.25">
      <c r="A238" s="36" t="s">
        <v>505</v>
      </c>
      <c r="B238" s="53" t="s">
        <v>313</v>
      </c>
      <c r="C238" s="69" t="s">
        <v>707</v>
      </c>
      <c r="D238" s="69"/>
      <c r="E238" s="53" t="s">
        <v>518</v>
      </c>
      <c r="F238" s="50">
        <v>1</v>
      </c>
      <c r="G238" s="29">
        <v>0</v>
      </c>
    </row>
    <row r="239" spans="1:7" ht="15" customHeight="1" x14ac:dyDescent="0.25">
      <c r="A239" s="36" t="s">
        <v>575</v>
      </c>
      <c r="B239" s="53" t="s">
        <v>479</v>
      </c>
      <c r="C239" s="69" t="s">
        <v>717</v>
      </c>
      <c r="D239" s="69"/>
      <c r="E239" s="53" t="s">
        <v>618</v>
      </c>
      <c r="F239" s="50">
        <v>70</v>
      </c>
      <c r="G239" s="29">
        <v>0</v>
      </c>
    </row>
    <row r="240" spans="1:7" ht="15" customHeight="1" x14ac:dyDescent="0.25">
      <c r="A240" s="36" t="s">
        <v>170</v>
      </c>
      <c r="B240" s="53" t="s">
        <v>224</v>
      </c>
      <c r="C240" s="69" t="s">
        <v>638</v>
      </c>
      <c r="D240" s="69"/>
      <c r="E240" s="53" t="s">
        <v>180</v>
      </c>
      <c r="F240" s="50">
        <v>14.000000000000002</v>
      </c>
      <c r="G240" s="29">
        <v>0</v>
      </c>
    </row>
    <row r="241" spans="1:8" ht="15" customHeight="1" x14ac:dyDescent="0.25">
      <c r="A241" s="36" t="s">
        <v>810</v>
      </c>
      <c r="B241" s="53" t="s">
        <v>299</v>
      </c>
      <c r="C241" s="69" t="s">
        <v>498</v>
      </c>
      <c r="D241" s="69"/>
      <c r="E241" s="53" t="s">
        <v>180</v>
      </c>
      <c r="F241" s="50">
        <v>1</v>
      </c>
      <c r="G241" s="29">
        <v>0</v>
      </c>
    </row>
    <row r="242" spans="1:8" ht="15" customHeight="1" x14ac:dyDescent="0.25">
      <c r="A242" s="31" t="s">
        <v>510</v>
      </c>
      <c r="B242" s="35" t="s">
        <v>612</v>
      </c>
      <c r="C242" s="71" t="s">
        <v>246</v>
      </c>
      <c r="D242" s="71"/>
      <c r="E242" s="35" t="s">
        <v>510</v>
      </c>
      <c r="F242" s="57" t="s">
        <v>510</v>
      </c>
      <c r="G242" s="7" t="s">
        <v>510</v>
      </c>
    </row>
    <row r="243" spans="1:8" ht="15" customHeight="1" x14ac:dyDescent="0.25">
      <c r="A243" s="36" t="s">
        <v>415</v>
      </c>
      <c r="B243" s="53" t="s">
        <v>375</v>
      </c>
      <c r="C243" s="69" t="s">
        <v>228</v>
      </c>
      <c r="D243" s="69"/>
      <c r="E243" s="53" t="s">
        <v>518</v>
      </c>
      <c r="F243" s="50">
        <v>2</v>
      </c>
      <c r="G243" s="29">
        <v>0</v>
      </c>
    </row>
    <row r="244" spans="1:8" ht="15" customHeight="1" x14ac:dyDescent="0.25">
      <c r="A244" s="36" t="s">
        <v>179</v>
      </c>
      <c r="B244" s="53" t="s">
        <v>148</v>
      </c>
      <c r="C244" s="69" t="s">
        <v>561</v>
      </c>
      <c r="D244" s="69"/>
      <c r="E244" s="53" t="s">
        <v>518</v>
      </c>
      <c r="F244" s="50">
        <v>2</v>
      </c>
      <c r="G244" s="29">
        <v>0</v>
      </c>
    </row>
    <row r="245" spans="1:8" ht="15" customHeight="1" x14ac:dyDescent="0.25">
      <c r="A245" s="36" t="s">
        <v>560</v>
      </c>
      <c r="B245" s="53" t="s">
        <v>20</v>
      </c>
      <c r="C245" s="69" t="s">
        <v>371</v>
      </c>
      <c r="D245" s="69"/>
      <c r="E245" s="53" t="s">
        <v>518</v>
      </c>
      <c r="F245" s="50">
        <v>1</v>
      </c>
      <c r="G245" s="29">
        <v>0</v>
      </c>
    </row>
    <row r="246" spans="1:8" ht="15" customHeight="1" x14ac:dyDescent="0.25">
      <c r="A246" s="36" t="s">
        <v>367</v>
      </c>
      <c r="B246" s="53" t="s">
        <v>288</v>
      </c>
      <c r="C246" s="69" t="s">
        <v>624</v>
      </c>
      <c r="D246" s="69"/>
      <c r="E246" s="53" t="s">
        <v>518</v>
      </c>
      <c r="F246" s="50">
        <v>1</v>
      </c>
      <c r="G246" s="29">
        <v>0</v>
      </c>
    </row>
    <row r="247" spans="1:8" ht="15" customHeight="1" x14ac:dyDescent="0.25">
      <c r="A247" s="36" t="s">
        <v>4</v>
      </c>
      <c r="B247" s="53" t="s">
        <v>290</v>
      </c>
      <c r="C247" s="69" t="s">
        <v>206</v>
      </c>
      <c r="D247" s="69"/>
      <c r="E247" s="53" t="s">
        <v>518</v>
      </c>
      <c r="F247" s="50">
        <v>1</v>
      </c>
      <c r="G247" s="29">
        <v>0</v>
      </c>
    </row>
    <row r="248" spans="1:8" ht="15" customHeight="1" x14ac:dyDescent="0.25">
      <c r="A248" s="36" t="s">
        <v>296</v>
      </c>
      <c r="B248" s="53" t="s">
        <v>504</v>
      </c>
      <c r="C248" s="69" t="s">
        <v>523</v>
      </c>
      <c r="D248" s="69"/>
      <c r="E248" s="53" t="s">
        <v>518</v>
      </c>
      <c r="F248" s="50">
        <v>1</v>
      </c>
      <c r="G248" s="29">
        <v>0</v>
      </c>
    </row>
    <row r="249" spans="1:8" ht="15" customHeight="1" x14ac:dyDescent="0.25">
      <c r="A249" s="36" t="s">
        <v>239</v>
      </c>
      <c r="B249" s="53" t="s">
        <v>724</v>
      </c>
      <c r="C249" s="69" t="s">
        <v>192</v>
      </c>
      <c r="D249" s="69"/>
      <c r="E249" s="53" t="s">
        <v>518</v>
      </c>
      <c r="F249" s="50">
        <v>2</v>
      </c>
      <c r="G249" s="29">
        <v>0</v>
      </c>
    </row>
    <row r="250" spans="1:8" ht="15" customHeight="1" x14ac:dyDescent="0.25">
      <c r="A250" s="36" t="s">
        <v>770</v>
      </c>
      <c r="B250" s="53" t="s">
        <v>161</v>
      </c>
      <c r="C250" s="69" t="s">
        <v>231</v>
      </c>
      <c r="D250" s="69"/>
      <c r="E250" s="53" t="s">
        <v>518</v>
      </c>
      <c r="F250" s="50">
        <v>1</v>
      </c>
      <c r="G250" s="29">
        <v>0</v>
      </c>
    </row>
    <row r="251" spans="1:8" ht="15" customHeight="1" x14ac:dyDescent="0.25">
      <c r="A251" s="31" t="s">
        <v>510</v>
      </c>
      <c r="B251" s="35" t="s">
        <v>236</v>
      </c>
      <c r="C251" s="71" t="s">
        <v>72</v>
      </c>
      <c r="D251" s="71"/>
      <c r="E251" s="35" t="s">
        <v>510</v>
      </c>
      <c r="F251" s="57" t="s">
        <v>510</v>
      </c>
      <c r="G251" s="7" t="s">
        <v>510</v>
      </c>
    </row>
    <row r="252" spans="1:8" ht="15" customHeight="1" x14ac:dyDescent="0.25">
      <c r="A252" s="36" t="s">
        <v>413</v>
      </c>
      <c r="B252" s="53" t="s">
        <v>147</v>
      </c>
      <c r="C252" s="69" t="s">
        <v>207</v>
      </c>
      <c r="D252" s="69"/>
      <c r="E252" s="53" t="s">
        <v>331</v>
      </c>
      <c r="F252" s="50">
        <v>1</v>
      </c>
      <c r="G252" s="29">
        <v>0</v>
      </c>
    </row>
    <row r="253" spans="1:8" ht="15" customHeight="1" x14ac:dyDescent="0.25">
      <c r="A253" s="20" t="s">
        <v>394</v>
      </c>
      <c r="B253" s="62" t="s">
        <v>459</v>
      </c>
      <c r="C253" s="73" t="s">
        <v>222</v>
      </c>
      <c r="D253" s="73"/>
      <c r="E253" s="62" t="s">
        <v>331</v>
      </c>
      <c r="F253" s="43">
        <v>3.0000000000000004</v>
      </c>
      <c r="G253" s="46">
        <v>0</v>
      </c>
    </row>
    <row r="255" spans="1:8" ht="15" customHeight="1" x14ac:dyDescent="0.25">
      <c r="A255" s="10" t="s">
        <v>55</v>
      </c>
    </row>
    <row r="256" spans="1:8" ht="12.75" customHeight="1" x14ac:dyDescent="0.25">
      <c r="A256" s="68" t="s">
        <v>510</v>
      </c>
      <c r="B256" s="69"/>
      <c r="C256" s="69"/>
      <c r="D256" s="69"/>
      <c r="E256" s="69"/>
      <c r="F256" s="69"/>
      <c r="G256" s="69"/>
      <c r="H256" s="69"/>
    </row>
  </sheetData>
  <mergeCells count="262">
    <mergeCell ref="E2:G3"/>
    <mergeCell ref="E4:G5"/>
    <mergeCell ref="E6:G7"/>
    <mergeCell ref="E8:G9"/>
    <mergeCell ref="A1:G1"/>
    <mergeCell ref="A2:A3"/>
    <mergeCell ref="A4:A5"/>
    <mergeCell ref="A6:A7"/>
    <mergeCell ref="A8:A9"/>
    <mergeCell ref="D2:D3"/>
    <mergeCell ref="D4:D5"/>
    <mergeCell ref="D6:D7"/>
    <mergeCell ref="D8:D9"/>
    <mergeCell ref="B2:C3"/>
    <mergeCell ref="C10:D10"/>
    <mergeCell ref="C11:D11"/>
    <mergeCell ref="C12:D12"/>
    <mergeCell ref="C13:D13"/>
    <mergeCell ref="C14:D14"/>
    <mergeCell ref="C15:D15"/>
    <mergeCell ref="B4:C5"/>
    <mergeCell ref="B6:C7"/>
    <mergeCell ref="B8:C9"/>
    <mergeCell ref="C22:D22"/>
    <mergeCell ref="C23:D23"/>
    <mergeCell ref="C24:D24"/>
    <mergeCell ref="C25:D25"/>
    <mergeCell ref="C26:D26"/>
    <mergeCell ref="C27:D27"/>
    <mergeCell ref="C16:D16"/>
    <mergeCell ref="C17:D17"/>
    <mergeCell ref="D18:E18"/>
    <mergeCell ref="C19:D19"/>
    <mergeCell ref="C20:D20"/>
    <mergeCell ref="D21:E21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70:D70"/>
    <mergeCell ref="C71:D71"/>
    <mergeCell ref="C72:D72"/>
    <mergeCell ref="C73:D73"/>
    <mergeCell ref="D74:E74"/>
    <mergeCell ref="C75:D75"/>
    <mergeCell ref="C64:D64"/>
    <mergeCell ref="C65:D65"/>
    <mergeCell ref="C66:D66"/>
    <mergeCell ref="C67:D67"/>
    <mergeCell ref="C68:D68"/>
    <mergeCell ref="C69:D69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94:D94"/>
    <mergeCell ref="C95:D95"/>
    <mergeCell ref="D96:E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118:D118"/>
    <mergeCell ref="C119:D119"/>
    <mergeCell ref="C120:D120"/>
    <mergeCell ref="C121:D121"/>
    <mergeCell ref="C122:D122"/>
    <mergeCell ref="C123:D123"/>
    <mergeCell ref="C112:D112"/>
    <mergeCell ref="C113:D113"/>
    <mergeCell ref="C114:D114"/>
    <mergeCell ref="C115:D115"/>
    <mergeCell ref="C116:D116"/>
    <mergeCell ref="C117:D117"/>
    <mergeCell ref="C130:D130"/>
    <mergeCell ref="C131:D131"/>
    <mergeCell ref="C132:D132"/>
    <mergeCell ref="C133:D133"/>
    <mergeCell ref="C134:D134"/>
    <mergeCell ref="C135:D135"/>
    <mergeCell ref="C124:D124"/>
    <mergeCell ref="C125:D125"/>
    <mergeCell ref="C126:D126"/>
    <mergeCell ref="C127:D127"/>
    <mergeCell ref="C128:D128"/>
    <mergeCell ref="C129:D129"/>
    <mergeCell ref="D142:E142"/>
    <mergeCell ref="C143:D143"/>
    <mergeCell ref="C144:D144"/>
    <mergeCell ref="C145:D145"/>
    <mergeCell ref="C146:D146"/>
    <mergeCell ref="C147:D147"/>
    <mergeCell ref="C136:D136"/>
    <mergeCell ref="C137:D137"/>
    <mergeCell ref="C138:D138"/>
    <mergeCell ref="C139:D139"/>
    <mergeCell ref="C140:D140"/>
    <mergeCell ref="C141:D141"/>
    <mergeCell ref="C154:D154"/>
    <mergeCell ref="C155:D155"/>
    <mergeCell ref="C156:D156"/>
    <mergeCell ref="C157:D157"/>
    <mergeCell ref="C158:D158"/>
    <mergeCell ref="C159:D159"/>
    <mergeCell ref="C148:D148"/>
    <mergeCell ref="C149:D149"/>
    <mergeCell ref="C150:D150"/>
    <mergeCell ref="D151:E151"/>
    <mergeCell ref="C152:D152"/>
    <mergeCell ref="C153:D153"/>
    <mergeCell ref="C166:D166"/>
    <mergeCell ref="C167:D167"/>
    <mergeCell ref="C168:D168"/>
    <mergeCell ref="C169:D169"/>
    <mergeCell ref="C170:D170"/>
    <mergeCell ref="C171:D171"/>
    <mergeCell ref="C160:D160"/>
    <mergeCell ref="C161:D161"/>
    <mergeCell ref="C162:D162"/>
    <mergeCell ref="C163:D163"/>
    <mergeCell ref="C164:D164"/>
    <mergeCell ref="C165:D165"/>
    <mergeCell ref="C178:D178"/>
    <mergeCell ref="C179:D179"/>
    <mergeCell ref="C180:D180"/>
    <mergeCell ref="C181:D181"/>
    <mergeCell ref="C182:D182"/>
    <mergeCell ref="C183:D183"/>
    <mergeCell ref="C172:D172"/>
    <mergeCell ref="C173:D173"/>
    <mergeCell ref="C174:D174"/>
    <mergeCell ref="C175:D175"/>
    <mergeCell ref="C176:D176"/>
    <mergeCell ref="C177:D177"/>
    <mergeCell ref="C190:D190"/>
    <mergeCell ref="C191:D191"/>
    <mergeCell ref="C192:D192"/>
    <mergeCell ref="C193:D193"/>
    <mergeCell ref="C194:D194"/>
    <mergeCell ref="C195:D195"/>
    <mergeCell ref="C184:D184"/>
    <mergeCell ref="C185:D185"/>
    <mergeCell ref="C186:D186"/>
    <mergeCell ref="C187:D187"/>
    <mergeCell ref="C188:D188"/>
    <mergeCell ref="C189:D189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214:D214"/>
    <mergeCell ref="C215:D215"/>
    <mergeCell ref="C216:D216"/>
    <mergeCell ref="C217:D217"/>
    <mergeCell ref="C218:D218"/>
    <mergeCell ref="C219:D219"/>
    <mergeCell ref="C208:D208"/>
    <mergeCell ref="C209:D209"/>
    <mergeCell ref="C210:D210"/>
    <mergeCell ref="C211:D211"/>
    <mergeCell ref="C212:D212"/>
    <mergeCell ref="C213:D213"/>
    <mergeCell ref="C226:D226"/>
    <mergeCell ref="C227:D227"/>
    <mergeCell ref="C228:D228"/>
    <mergeCell ref="C229:D229"/>
    <mergeCell ref="C230:D230"/>
    <mergeCell ref="C231:D231"/>
    <mergeCell ref="C220:D220"/>
    <mergeCell ref="C221:D221"/>
    <mergeCell ref="C222:D222"/>
    <mergeCell ref="C223:D223"/>
    <mergeCell ref="C224:D224"/>
    <mergeCell ref="C225:D225"/>
    <mergeCell ref="C238:D238"/>
    <mergeCell ref="C239:D239"/>
    <mergeCell ref="C240:D240"/>
    <mergeCell ref="C241:D241"/>
    <mergeCell ref="C242:D242"/>
    <mergeCell ref="C243:D243"/>
    <mergeCell ref="C232:D232"/>
    <mergeCell ref="C233:D233"/>
    <mergeCell ref="C234:D234"/>
    <mergeCell ref="C235:D235"/>
    <mergeCell ref="C236:D236"/>
    <mergeCell ref="C237:D237"/>
    <mergeCell ref="C250:D250"/>
    <mergeCell ref="C251:D251"/>
    <mergeCell ref="C252:D252"/>
    <mergeCell ref="C253:D253"/>
    <mergeCell ref="A256:H256"/>
    <mergeCell ref="C244:D244"/>
    <mergeCell ref="C245:D245"/>
    <mergeCell ref="C246:D246"/>
    <mergeCell ref="C247:D247"/>
    <mergeCell ref="C248:D248"/>
    <mergeCell ref="C249:D249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37"/>
  <sheetViews>
    <sheetView showOutlineSymbols="0" topLeftCell="A13" workbookViewId="0">
      <selection activeCell="A37" sqref="A37:I37"/>
    </sheetView>
  </sheetViews>
  <sheetFormatPr defaultColWidth="17" defaultRowHeight="15" customHeight="1" x14ac:dyDescent="0.25"/>
  <cols>
    <col min="1" max="1" width="12.796875"/>
    <col min="2" max="2" width="18"/>
    <col min="3" max="3" width="38"/>
    <col min="4" max="4" width="14"/>
    <col min="5" max="5" width="19.59765625"/>
    <col min="6" max="6" width="38"/>
    <col min="7" max="7" width="12.796875"/>
    <col min="8" max="8" width="18"/>
    <col min="9" max="9" width="38"/>
  </cols>
  <sheetData>
    <row r="1" spans="1:9" ht="54.75" customHeight="1" x14ac:dyDescent="0.25">
      <c r="A1" s="125" t="s">
        <v>162</v>
      </c>
      <c r="B1" s="88"/>
      <c r="C1" s="88"/>
      <c r="D1" s="88"/>
      <c r="E1" s="88"/>
      <c r="F1" s="88"/>
      <c r="G1" s="88"/>
      <c r="H1" s="88"/>
      <c r="I1" s="88"/>
    </row>
    <row r="2" spans="1:9" ht="15" customHeight="1" x14ac:dyDescent="0.25">
      <c r="A2" s="89" t="s">
        <v>48</v>
      </c>
      <c r="B2" s="81"/>
      <c r="C2" s="86" t="str">
        <f>'Stavební rozpočet'!C2</f>
        <v>ZŠ Starý Bohumín - rekonstrukce plynové kotelny</v>
      </c>
      <c r="D2" s="87"/>
      <c r="E2" s="80" t="s">
        <v>630</v>
      </c>
      <c r="F2" s="80" t="str">
        <f>'Stavební rozpočet'!I2</f>
        <v>Město Bohumín, Masarykova158, 735 81 Bohumín</v>
      </c>
      <c r="G2" s="81"/>
      <c r="H2" s="80" t="s">
        <v>482</v>
      </c>
      <c r="I2" s="82" t="s">
        <v>295</v>
      </c>
    </row>
    <row r="3" spans="1:9" ht="15" customHeight="1" x14ac:dyDescent="0.25">
      <c r="A3" s="90"/>
      <c r="B3" s="69"/>
      <c r="C3" s="67"/>
      <c r="D3" s="67"/>
      <c r="E3" s="69"/>
      <c r="F3" s="69"/>
      <c r="G3" s="69"/>
      <c r="H3" s="69"/>
      <c r="I3" s="83"/>
    </row>
    <row r="4" spans="1:9" ht="15" customHeight="1" x14ac:dyDescent="0.25">
      <c r="A4" s="91" t="s">
        <v>398</v>
      </c>
      <c r="B4" s="69"/>
      <c r="C4" s="68" t="str">
        <f>'Stavební rozpočet'!C4</f>
        <v>Občanská vybavenost</v>
      </c>
      <c r="D4" s="69"/>
      <c r="E4" s="68" t="s">
        <v>508</v>
      </c>
      <c r="F4" s="68" t="str">
        <f>'Stavební rozpočet'!I4</f>
        <v>Ing Stanislav Wilczek</v>
      </c>
      <c r="G4" s="69"/>
      <c r="H4" s="68" t="s">
        <v>482</v>
      </c>
      <c r="I4" s="83" t="s">
        <v>510</v>
      </c>
    </row>
    <row r="5" spans="1:9" ht="15" customHeight="1" x14ac:dyDescent="0.25">
      <c r="A5" s="90"/>
      <c r="B5" s="69"/>
      <c r="C5" s="69"/>
      <c r="D5" s="69"/>
      <c r="E5" s="69"/>
      <c r="F5" s="69"/>
      <c r="G5" s="69"/>
      <c r="H5" s="69"/>
      <c r="I5" s="83"/>
    </row>
    <row r="6" spans="1:9" ht="15" customHeight="1" x14ac:dyDescent="0.25">
      <c r="A6" s="91" t="s">
        <v>5</v>
      </c>
      <c r="B6" s="69"/>
      <c r="C6" s="68" t="str">
        <f>'Stavební rozpočet'!C6</f>
        <v>Bezručova 90, 735 81 Bohumín - Starý Bohumín</v>
      </c>
      <c r="D6" s="69"/>
      <c r="E6" s="68" t="s">
        <v>648</v>
      </c>
      <c r="F6" s="68" t="str">
        <f>'Stavební rozpočet'!I6</f>
        <v> </v>
      </c>
      <c r="G6" s="69"/>
      <c r="H6" s="68" t="s">
        <v>482</v>
      </c>
      <c r="I6" s="83" t="s">
        <v>510</v>
      </c>
    </row>
    <row r="7" spans="1:9" ht="15" customHeight="1" x14ac:dyDescent="0.25">
      <c r="A7" s="90"/>
      <c r="B7" s="69"/>
      <c r="C7" s="69"/>
      <c r="D7" s="69"/>
      <c r="E7" s="69"/>
      <c r="F7" s="69"/>
      <c r="G7" s="69"/>
      <c r="H7" s="69"/>
      <c r="I7" s="83"/>
    </row>
    <row r="8" spans="1:9" ht="15" customHeight="1" x14ac:dyDescent="0.25">
      <c r="A8" s="91" t="s">
        <v>664</v>
      </c>
      <c r="B8" s="69"/>
      <c r="C8" s="68" t="str">
        <f>'Stavební rozpočet'!G4</f>
        <v xml:space="preserve"> </v>
      </c>
      <c r="D8" s="69"/>
      <c r="E8" s="68" t="s">
        <v>230</v>
      </c>
      <c r="F8" s="68">
        <f>'Stavební rozpočet'!G6</f>
        <v>0</v>
      </c>
      <c r="G8" s="69"/>
      <c r="H8" s="69" t="s">
        <v>738</v>
      </c>
      <c r="I8" s="121">
        <v>203</v>
      </c>
    </row>
    <row r="9" spans="1:9" ht="15" customHeight="1" x14ac:dyDescent="0.25">
      <c r="A9" s="90"/>
      <c r="B9" s="69"/>
      <c r="C9" s="69"/>
      <c r="D9" s="69"/>
      <c r="E9" s="69"/>
      <c r="F9" s="69"/>
      <c r="G9" s="69"/>
      <c r="H9" s="69"/>
      <c r="I9" s="83"/>
    </row>
    <row r="10" spans="1:9" ht="15" customHeight="1" x14ac:dyDescent="0.25">
      <c r="A10" s="91" t="s">
        <v>355</v>
      </c>
      <c r="B10" s="69"/>
      <c r="C10" s="68" t="str">
        <f>'Stavební rozpočet'!C8</f>
        <v xml:space="preserve"> </v>
      </c>
      <c r="D10" s="69"/>
      <c r="E10" s="68" t="s">
        <v>493</v>
      </c>
      <c r="F10" s="68" t="str">
        <f>'Stavební rozpočet'!I8</f>
        <v>Ing. Stanislav Wilczek</v>
      </c>
      <c r="G10" s="69"/>
      <c r="H10" s="69" t="s">
        <v>711</v>
      </c>
      <c r="I10" s="122" t="str">
        <f>'Stavební rozpočet'!G8</f>
        <v>22.12.2023</v>
      </c>
    </row>
    <row r="11" spans="1:9" ht="15" customHeight="1" x14ac:dyDescent="0.25">
      <c r="A11" s="126"/>
      <c r="B11" s="73"/>
      <c r="C11" s="73"/>
      <c r="D11" s="73"/>
      <c r="E11" s="73"/>
      <c r="F11" s="73"/>
      <c r="G11" s="73"/>
      <c r="H11" s="73"/>
      <c r="I11" s="123"/>
    </row>
    <row r="12" spans="1:9" ht="22.5" customHeight="1" x14ac:dyDescent="0.25">
      <c r="A12" s="124" t="s">
        <v>119</v>
      </c>
      <c r="B12" s="124"/>
      <c r="C12" s="124"/>
      <c r="D12" s="124"/>
      <c r="E12" s="124"/>
      <c r="F12" s="124"/>
      <c r="G12" s="124"/>
      <c r="H12" s="124"/>
      <c r="I12" s="124"/>
    </row>
    <row r="13" spans="1:9" ht="26.25" customHeight="1" x14ac:dyDescent="0.25">
      <c r="A13" s="44" t="s">
        <v>670</v>
      </c>
      <c r="B13" s="116" t="s">
        <v>84</v>
      </c>
      <c r="C13" s="117"/>
      <c r="D13" s="13" t="s">
        <v>125</v>
      </c>
      <c r="E13" s="116" t="s">
        <v>262</v>
      </c>
      <c r="F13" s="117"/>
      <c r="G13" s="13" t="s">
        <v>472</v>
      </c>
      <c r="H13" s="116" t="s">
        <v>130</v>
      </c>
      <c r="I13" s="117"/>
    </row>
    <row r="14" spans="1:9" ht="15" customHeight="1" x14ac:dyDescent="0.25">
      <c r="A14" s="54" t="s">
        <v>269</v>
      </c>
      <c r="B14" s="18" t="s">
        <v>182</v>
      </c>
      <c r="C14" s="28">
        <f>SUM('Stavební rozpočet'!AB12:AB254)</f>
        <v>0</v>
      </c>
      <c r="D14" s="108" t="s">
        <v>531</v>
      </c>
      <c r="E14" s="109"/>
      <c r="F14" s="28">
        <f>VORN!I15</f>
        <v>0</v>
      </c>
      <c r="G14" s="108" t="s">
        <v>68</v>
      </c>
      <c r="H14" s="109"/>
      <c r="I14" s="9">
        <f>VORN!I21</f>
        <v>0</v>
      </c>
    </row>
    <row r="15" spans="1:9" ht="15" customHeight="1" x14ac:dyDescent="0.25">
      <c r="A15" s="61" t="s">
        <v>510</v>
      </c>
      <c r="B15" s="18" t="s">
        <v>137</v>
      </c>
      <c r="C15" s="28">
        <f>SUM('Stavební rozpočet'!AC12:AC254)</f>
        <v>0</v>
      </c>
      <c r="D15" s="108" t="s">
        <v>64</v>
      </c>
      <c r="E15" s="109"/>
      <c r="F15" s="28">
        <f>VORN!I16</f>
        <v>0</v>
      </c>
      <c r="G15" s="108" t="s">
        <v>589</v>
      </c>
      <c r="H15" s="109"/>
      <c r="I15" s="9">
        <f>VORN!I22</f>
        <v>0</v>
      </c>
    </row>
    <row r="16" spans="1:9" ht="15" customHeight="1" x14ac:dyDescent="0.25">
      <c r="A16" s="54" t="s">
        <v>60</v>
      </c>
      <c r="B16" s="18" t="s">
        <v>182</v>
      </c>
      <c r="C16" s="28">
        <f>SUM('Stavební rozpočet'!AD12:AD254)</f>
        <v>0</v>
      </c>
      <c r="D16" s="108" t="s">
        <v>547</v>
      </c>
      <c r="E16" s="109"/>
      <c r="F16" s="28">
        <f>VORN!I17</f>
        <v>0</v>
      </c>
      <c r="G16" s="108" t="s">
        <v>708</v>
      </c>
      <c r="H16" s="109"/>
      <c r="I16" s="9">
        <f>VORN!I23</f>
        <v>0</v>
      </c>
    </row>
    <row r="17" spans="1:9" ht="15" customHeight="1" x14ac:dyDescent="0.25">
      <c r="A17" s="61" t="s">
        <v>510</v>
      </c>
      <c r="B17" s="18" t="s">
        <v>137</v>
      </c>
      <c r="C17" s="28">
        <f>SUM('Stavební rozpočet'!AE12:AE254)</f>
        <v>0</v>
      </c>
      <c r="D17" s="108" t="s">
        <v>510</v>
      </c>
      <c r="E17" s="109"/>
      <c r="F17" s="9" t="s">
        <v>510</v>
      </c>
      <c r="G17" s="108" t="s">
        <v>389</v>
      </c>
      <c r="H17" s="109"/>
      <c r="I17" s="9">
        <f>VORN!I24</f>
        <v>0</v>
      </c>
    </row>
    <row r="18" spans="1:9" ht="15" customHeight="1" x14ac:dyDescent="0.25">
      <c r="A18" s="54" t="s">
        <v>213</v>
      </c>
      <c r="B18" s="18" t="s">
        <v>182</v>
      </c>
      <c r="C18" s="28">
        <f>SUM('Stavební rozpočet'!AF12:AF254)</f>
        <v>0</v>
      </c>
      <c r="D18" s="108" t="s">
        <v>510</v>
      </c>
      <c r="E18" s="109"/>
      <c r="F18" s="9" t="s">
        <v>510</v>
      </c>
      <c r="G18" s="108" t="s">
        <v>487</v>
      </c>
      <c r="H18" s="109"/>
      <c r="I18" s="9">
        <f>VORN!I25</f>
        <v>0</v>
      </c>
    </row>
    <row r="19" spans="1:9" ht="15" customHeight="1" x14ac:dyDescent="0.25">
      <c r="A19" s="61" t="s">
        <v>510</v>
      </c>
      <c r="B19" s="18" t="s">
        <v>137</v>
      </c>
      <c r="C19" s="28">
        <f>SUM('Stavební rozpočet'!AG12:AG254)</f>
        <v>0</v>
      </c>
      <c r="D19" s="108" t="s">
        <v>510</v>
      </c>
      <c r="E19" s="109"/>
      <c r="F19" s="9" t="s">
        <v>510</v>
      </c>
      <c r="G19" s="108" t="s">
        <v>722</v>
      </c>
      <c r="H19" s="109"/>
      <c r="I19" s="9">
        <f>VORN!I26</f>
        <v>0</v>
      </c>
    </row>
    <row r="20" spans="1:9" ht="15" customHeight="1" x14ac:dyDescent="0.25">
      <c r="A20" s="115" t="s">
        <v>49</v>
      </c>
      <c r="B20" s="114"/>
      <c r="C20" s="28">
        <f>SUM('Stavební rozpočet'!AH12:AH254)</f>
        <v>0</v>
      </c>
      <c r="D20" s="108" t="s">
        <v>510</v>
      </c>
      <c r="E20" s="109"/>
      <c r="F20" s="9" t="s">
        <v>510</v>
      </c>
      <c r="G20" s="108" t="s">
        <v>510</v>
      </c>
      <c r="H20" s="109"/>
      <c r="I20" s="9" t="s">
        <v>510</v>
      </c>
    </row>
    <row r="21" spans="1:9" ht="15" customHeight="1" x14ac:dyDescent="0.25">
      <c r="A21" s="118" t="s">
        <v>721</v>
      </c>
      <c r="B21" s="119"/>
      <c r="C21" s="65">
        <f>SUM('Stavební rozpočet'!Z12:Z254)</f>
        <v>0</v>
      </c>
      <c r="D21" s="97" t="s">
        <v>510</v>
      </c>
      <c r="E21" s="110"/>
      <c r="F21" s="37" t="s">
        <v>510</v>
      </c>
      <c r="G21" s="97" t="s">
        <v>510</v>
      </c>
      <c r="H21" s="110"/>
      <c r="I21" s="37" t="s">
        <v>510</v>
      </c>
    </row>
    <row r="22" spans="1:9" ht="16.5" customHeight="1" x14ac:dyDescent="0.25">
      <c r="A22" s="120" t="s">
        <v>142</v>
      </c>
      <c r="B22" s="112"/>
      <c r="C22" s="3">
        <f>ROUND(SUM(C14:C21),0)</f>
        <v>0</v>
      </c>
      <c r="D22" s="111" t="s">
        <v>377</v>
      </c>
      <c r="E22" s="112"/>
      <c r="F22" s="3">
        <f>SUM(F14:F21)</f>
        <v>0</v>
      </c>
      <c r="G22" s="111" t="s">
        <v>740</v>
      </c>
      <c r="H22" s="112"/>
      <c r="I22" s="3">
        <f>SUM(I14:I21)</f>
        <v>0</v>
      </c>
    </row>
    <row r="23" spans="1:9" ht="15" customHeight="1" x14ac:dyDescent="0.25">
      <c r="D23" s="115" t="s">
        <v>594</v>
      </c>
      <c r="E23" s="114"/>
      <c r="F23" s="41">
        <v>0</v>
      </c>
      <c r="G23" s="113" t="s">
        <v>36</v>
      </c>
      <c r="H23" s="114"/>
      <c r="I23" s="28">
        <v>0</v>
      </c>
    </row>
    <row r="24" spans="1:9" ht="15" customHeight="1" x14ac:dyDescent="0.25">
      <c r="G24" s="115" t="s">
        <v>439</v>
      </c>
      <c r="H24" s="114"/>
      <c r="I24" s="65">
        <f>vorn_sum</f>
        <v>0</v>
      </c>
    </row>
    <row r="25" spans="1:9" ht="15" customHeight="1" x14ac:dyDescent="0.25">
      <c r="G25" s="115" t="s">
        <v>216</v>
      </c>
      <c r="H25" s="114"/>
      <c r="I25" s="3">
        <v>0</v>
      </c>
    </row>
    <row r="27" spans="1:9" ht="15" customHeight="1" x14ac:dyDescent="0.25">
      <c r="A27" s="104" t="s">
        <v>293</v>
      </c>
      <c r="B27" s="105"/>
      <c r="C27" s="64">
        <f>ROUND(SUM('Stavební rozpočet'!AJ12:AJ254),0)</f>
        <v>0</v>
      </c>
    </row>
    <row r="28" spans="1:9" ht="15" customHeight="1" x14ac:dyDescent="0.25">
      <c r="A28" s="106" t="s">
        <v>11</v>
      </c>
      <c r="B28" s="107"/>
      <c r="C28" s="45">
        <f>ROUND(SUM('Stavební rozpočet'!AK12:AK254),0)</f>
        <v>0</v>
      </c>
      <c r="D28" s="105" t="s">
        <v>158</v>
      </c>
      <c r="E28" s="105"/>
      <c r="F28" s="64">
        <f>ROUND(C28*(15/100),2)</f>
        <v>0</v>
      </c>
      <c r="G28" s="105" t="s">
        <v>98</v>
      </c>
      <c r="H28" s="105"/>
      <c r="I28" s="64">
        <f>ROUND(SUM(C27:C29),0)</f>
        <v>0</v>
      </c>
    </row>
    <row r="29" spans="1:9" ht="15" customHeight="1" x14ac:dyDescent="0.25">
      <c r="A29" s="106" t="s">
        <v>32</v>
      </c>
      <c r="B29" s="107"/>
      <c r="C29" s="45">
        <f>ROUND(SUM('Stavební rozpočet'!AL12:AL254)+(F22+I22+F23+I23+I24+I25),0)</f>
        <v>0</v>
      </c>
      <c r="D29" s="107" t="s">
        <v>551</v>
      </c>
      <c r="E29" s="107"/>
      <c r="F29" s="45">
        <f>ROUND(C29*(21/100),2)</f>
        <v>0</v>
      </c>
      <c r="G29" s="107" t="s">
        <v>289</v>
      </c>
      <c r="H29" s="107"/>
      <c r="I29" s="45">
        <f>ROUND(SUM(F28:F29)+I28,0)</f>
        <v>0</v>
      </c>
    </row>
    <row r="31" spans="1:9" ht="15" customHeight="1" x14ac:dyDescent="0.25">
      <c r="A31" s="101" t="s">
        <v>7</v>
      </c>
      <c r="B31" s="95"/>
      <c r="C31" s="96"/>
      <c r="D31" s="95" t="s">
        <v>697</v>
      </c>
      <c r="E31" s="95"/>
      <c r="F31" s="96"/>
      <c r="G31" s="95" t="s">
        <v>502</v>
      </c>
      <c r="H31" s="95"/>
      <c r="I31" s="96"/>
    </row>
    <row r="32" spans="1:9" ht="15" customHeight="1" x14ac:dyDescent="0.25">
      <c r="A32" s="102" t="s">
        <v>510</v>
      </c>
      <c r="B32" s="97"/>
      <c r="C32" s="98"/>
      <c r="D32" s="97" t="s">
        <v>510</v>
      </c>
      <c r="E32" s="97"/>
      <c r="F32" s="98"/>
      <c r="G32" s="97" t="s">
        <v>510</v>
      </c>
      <c r="H32" s="97"/>
      <c r="I32" s="98"/>
    </row>
    <row r="33" spans="1:9" ht="15" customHeight="1" x14ac:dyDescent="0.25">
      <c r="A33" s="102" t="s">
        <v>510</v>
      </c>
      <c r="B33" s="97"/>
      <c r="C33" s="98"/>
      <c r="D33" s="97" t="s">
        <v>510</v>
      </c>
      <c r="E33" s="97"/>
      <c r="F33" s="98"/>
      <c r="G33" s="97" t="s">
        <v>510</v>
      </c>
      <c r="H33" s="97"/>
      <c r="I33" s="98"/>
    </row>
    <row r="34" spans="1:9" ht="15" customHeight="1" x14ac:dyDescent="0.25">
      <c r="A34" s="102" t="s">
        <v>510</v>
      </c>
      <c r="B34" s="97"/>
      <c r="C34" s="98"/>
      <c r="D34" s="97" t="s">
        <v>510</v>
      </c>
      <c r="E34" s="97"/>
      <c r="F34" s="98"/>
      <c r="G34" s="97" t="s">
        <v>510</v>
      </c>
      <c r="H34" s="97"/>
      <c r="I34" s="98"/>
    </row>
    <row r="35" spans="1:9" ht="15" customHeight="1" x14ac:dyDescent="0.25">
      <c r="A35" s="103" t="s">
        <v>140</v>
      </c>
      <c r="B35" s="99"/>
      <c r="C35" s="100"/>
      <c r="D35" s="99" t="s">
        <v>140</v>
      </c>
      <c r="E35" s="99"/>
      <c r="F35" s="100"/>
      <c r="G35" s="99" t="s">
        <v>140</v>
      </c>
      <c r="H35" s="99"/>
      <c r="I35" s="100"/>
    </row>
    <row r="36" spans="1:9" ht="15" customHeight="1" x14ac:dyDescent="0.25">
      <c r="A36" s="10" t="s">
        <v>55</v>
      </c>
    </row>
    <row r="37" spans="1:9" ht="12.75" customHeight="1" x14ac:dyDescent="0.25">
      <c r="A37" s="68" t="s">
        <v>510</v>
      </c>
      <c r="B37" s="69"/>
      <c r="C37" s="69"/>
      <c r="D37" s="69"/>
      <c r="E37" s="69"/>
      <c r="F37" s="69"/>
      <c r="G37" s="69"/>
      <c r="H37" s="69"/>
      <c r="I37" s="69"/>
    </row>
  </sheetData>
  <mergeCells count="83">
    <mergeCell ref="C10:D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E10:E11"/>
    <mergeCell ref="C2:D3"/>
    <mergeCell ref="C4:D5"/>
    <mergeCell ref="C6:D7"/>
    <mergeCell ref="C8:D9"/>
    <mergeCell ref="I2:I3"/>
    <mergeCell ref="I4:I5"/>
    <mergeCell ref="I6:I7"/>
    <mergeCell ref="I8:I9"/>
    <mergeCell ref="I10:I11"/>
    <mergeCell ref="D22:E22"/>
    <mergeCell ref="D23:E23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G19:H19"/>
    <mergeCell ref="D18:E18"/>
    <mergeCell ref="D19:E19"/>
    <mergeCell ref="D20:E20"/>
    <mergeCell ref="D21:E21"/>
    <mergeCell ref="G14:H14"/>
    <mergeCell ref="G15:H15"/>
    <mergeCell ref="G16:H16"/>
    <mergeCell ref="G17:H17"/>
    <mergeCell ref="G18:H18"/>
    <mergeCell ref="G28:H28"/>
    <mergeCell ref="G29:H2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A37:I37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G31:I31"/>
    <mergeCell ref="G32:I32"/>
    <mergeCell ref="G33:I33"/>
    <mergeCell ref="G34:I34"/>
    <mergeCell ref="G35:I35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36"/>
  <sheetViews>
    <sheetView showOutlineSymbols="0" workbookViewId="0">
      <selection activeCell="A36" sqref="A36:E36"/>
    </sheetView>
  </sheetViews>
  <sheetFormatPr defaultColWidth="17" defaultRowHeight="15" customHeight="1" x14ac:dyDescent="0.25"/>
  <cols>
    <col min="1" max="1" width="12.796875"/>
    <col min="2" max="2" width="18"/>
    <col min="3" max="3" width="32"/>
    <col min="4" max="4" width="14"/>
    <col min="5" max="5" width="19.59765625"/>
    <col min="6" max="6" width="32"/>
    <col min="7" max="7" width="12.796875"/>
    <col min="8" max="8" width="24"/>
    <col min="9" max="9" width="32"/>
  </cols>
  <sheetData>
    <row r="1" spans="1:9" ht="54.75" customHeight="1" x14ac:dyDescent="0.25">
      <c r="A1" s="125" t="s">
        <v>101</v>
      </c>
      <c r="B1" s="88"/>
      <c r="C1" s="88"/>
      <c r="D1" s="88"/>
      <c r="E1" s="88"/>
      <c r="F1" s="88"/>
      <c r="G1" s="88"/>
      <c r="H1" s="88"/>
      <c r="I1" s="88"/>
    </row>
    <row r="2" spans="1:9" ht="15" customHeight="1" x14ac:dyDescent="0.25">
      <c r="A2" s="89" t="s">
        <v>48</v>
      </c>
      <c r="B2" s="81"/>
      <c r="C2" s="86" t="str">
        <f>'Stavební rozpočet'!C2</f>
        <v>ZŠ Starý Bohumín - rekonstrukce plynové kotelny</v>
      </c>
      <c r="D2" s="87"/>
      <c r="E2" s="80" t="s">
        <v>630</v>
      </c>
      <c r="F2" s="80" t="str">
        <f>'Stavební rozpočet'!I2</f>
        <v>Město Bohumín, Masarykova158, 735 81 Bohumín</v>
      </c>
      <c r="G2" s="81"/>
      <c r="H2" s="80" t="s">
        <v>482</v>
      </c>
      <c r="I2" s="82" t="s">
        <v>295</v>
      </c>
    </row>
    <row r="3" spans="1:9" ht="25.5" customHeight="1" x14ac:dyDescent="0.25">
      <c r="A3" s="90"/>
      <c r="B3" s="69"/>
      <c r="C3" s="67"/>
      <c r="D3" s="67"/>
      <c r="E3" s="69"/>
      <c r="F3" s="69"/>
      <c r="G3" s="69"/>
      <c r="H3" s="69"/>
      <c r="I3" s="83"/>
    </row>
    <row r="4" spans="1:9" ht="15" customHeight="1" x14ac:dyDescent="0.25">
      <c r="A4" s="91" t="s">
        <v>398</v>
      </c>
      <c r="B4" s="69"/>
      <c r="C4" s="68" t="str">
        <f>'Stavební rozpočet'!C4</f>
        <v>Občanská vybavenost</v>
      </c>
      <c r="D4" s="69"/>
      <c r="E4" s="68" t="s">
        <v>508</v>
      </c>
      <c r="F4" s="68" t="str">
        <f>'Stavební rozpočet'!I4</f>
        <v>Ing Stanislav Wilczek</v>
      </c>
      <c r="G4" s="69"/>
      <c r="H4" s="68" t="s">
        <v>482</v>
      </c>
      <c r="I4" s="83" t="s">
        <v>510</v>
      </c>
    </row>
    <row r="5" spans="1:9" ht="15" customHeight="1" x14ac:dyDescent="0.25">
      <c r="A5" s="90"/>
      <c r="B5" s="69"/>
      <c r="C5" s="69"/>
      <c r="D5" s="69"/>
      <c r="E5" s="69"/>
      <c r="F5" s="69"/>
      <c r="G5" s="69"/>
      <c r="H5" s="69"/>
      <c r="I5" s="83"/>
    </row>
    <row r="6" spans="1:9" ht="15" customHeight="1" x14ac:dyDescent="0.25">
      <c r="A6" s="91" t="s">
        <v>5</v>
      </c>
      <c r="B6" s="69"/>
      <c r="C6" s="68" t="str">
        <f>'Stavební rozpočet'!C6</f>
        <v>Bezručova 90, 735 81 Bohumín - Starý Bohumín</v>
      </c>
      <c r="D6" s="69"/>
      <c r="E6" s="68" t="s">
        <v>648</v>
      </c>
      <c r="F6" s="68" t="str">
        <f>'Stavební rozpočet'!I6</f>
        <v> </v>
      </c>
      <c r="G6" s="69"/>
      <c r="H6" s="68" t="s">
        <v>482</v>
      </c>
      <c r="I6" s="83" t="s">
        <v>510</v>
      </c>
    </row>
    <row r="7" spans="1:9" ht="15" customHeight="1" x14ac:dyDescent="0.25">
      <c r="A7" s="90"/>
      <c r="B7" s="69"/>
      <c r="C7" s="69"/>
      <c r="D7" s="69"/>
      <c r="E7" s="69"/>
      <c r="F7" s="69"/>
      <c r="G7" s="69"/>
      <c r="H7" s="69"/>
      <c r="I7" s="83"/>
    </row>
    <row r="8" spans="1:9" ht="15" customHeight="1" x14ac:dyDescent="0.25">
      <c r="A8" s="91" t="s">
        <v>664</v>
      </c>
      <c r="B8" s="69"/>
      <c r="C8" s="68" t="str">
        <f>'Stavební rozpočet'!G4</f>
        <v xml:space="preserve"> </v>
      </c>
      <c r="D8" s="69"/>
      <c r="E8" s="68" t="s">
        <v>230</v>
      </c>
      <c r="F8" s="68">
        <f>'Stavební rozpočet'!G6</f>
        <v>0</v>
      </c>
      <c r="G8" s="69"/>
      <c r="H8" s="69" t="s">
        <v>738</v>
      </c>
      <c r="I8" s="121">
        <v>203</v>
      </c>
    </row>
    <row r="9" spans="1:9" ht="15" customHeight="1" x14ac:dyDescent="0.25">
      <c r="A9" s="90"/>
      <c r="B9" s="69"/>
      <c r="C9" s="69"/>
      <c r="D9" s="69"/>
      <c r="E9" s="69"/>
      <c r="F9" s="69"/>
      <c r="G9" s="69"/>
      <c r="H9" s="69"/>
      <c r="I9" s="83"/>
    </row>
    <row r="10" spans="1:9" ht="15" customHeight="1" x14ac:dyDescent="0.25">
      <c r="A10" s="91" t="s">
        <v>355</v>
      </c>
      <c r="B10" s="69"/>
      <c r="C10" s="68" t="str">
        <f>'Stavební rozpočet'!C8</f>
        <v xml:space="preserve"> </v>
      </c>
      <c r="D10" s="69"/>
      <c r="E10" s="68" t="s">
        <v>493</v>
      </c>
      <c r="F10" s="68" t="str">
        <f>'Stavební rozpočet'!I8</f>
        <v>Ing. Stanislav Wilczek</v>
      </c>
      <c r="G10" s="69"/>
      <c r="H10" s="69" t="s">
        <v>711</v>
      </c>
      <c r="I10" s="122" t="str">
        <f>'Stavební rozpočet'!G8</f>
        <v>22.12.2023</v>
      </c>
    </row>
    <row r="11" spans="1:9" ht="15" customHeight="1" x14ac:dyDescent="0.25">
      <c r="A11" s="126"/>
      <c r="B11" s="73"/>
      <c r="C11" s="73"/>
      <c r="D11" s="73"/>
      <c r="E11" s="73"/>
      <c r="F11" s="73"/>
      <c r="G11" s="73"/>
      <c r="H11" s="73"/>
      <c r="I11" s="123"/>
    </row>
    <row r="13" spans="1:9" ht="15.75" customHeight="1" x14ac:dyDescent="0.25">
      <c r="A13" s="135" t="s">
        <v>271</v>
      </c>
      <c r="B13" s="135"/>
      <c r="C13" s="135"/>
      <c r="D13" s="135"/>
      <c r="E13" s="135"/>
    </row>
    <row r="14" spans="1:9" ht="15" customHeight="1" x14ac:dyDescent="0.25">
      <c r="A14" s="136" t="s">
        <v>811</v>
      </c>
      <c r="B14" s="137"/>
      <c r="C14" s="137"/>
      <c r="D14" s="137"/>
      <c r="E14" s="138"/>
      <c r="F14" s="16" t="s">
        <v>757</v>
      </c>
      <c r="G14" s="16" t="s">
        <v>652</v>
      </c>
      <c r="H14" s="16" t="s">
        <v>177</v>
      </c>
      <c r="I14" s="16" t="s">
        <v>757</v>
      </c>
    </row>
    <row r="15" spans="1:9" ht="15" customHeight="1" x14ac:dyDescent="0.25">
      <c r="A15" s="126" t="s">
        <v>531</v>
      </c>
      <c r="B15" s="73"/>
      <c r="C15" s="73"/>
      <c r="D15" s="73"/>
      <c r="E15" s="123"/>
      <c r="F15" s="46">
        <v>0</v>
      </c>
      <c r="G15" s="4" t="s">
        <v>510</v>
      </c>
      <c r="H15" s="4" t="s">
        <v>510</v>
      </c>
      <c r="I15" s="46">
        <f>F15</f>
        <v>0</v>
      </c>
    </row>
    <row r="16" spans="1:9" ht="15" customHeight="1" x14ac:dyDescent="0.25">
      <c r="A16" s="126" t="s">
        <v>64</v>
      </c>
      <c r="B16" s="73"/>
      <c r="C16" s="73"/>
      <c r="D16" s="73"/>
      <c r="E16" s="123"/>
      <c r="F16" s="46">
        <v>0</v>
      </c>
      <c r="G16" s="4" t="s">
        <v>510</v>
      </c>
      <c r="H16" s="4" t="s">
        <v>510</v>
      </c>
      <c r="I16" s="46">
        <f>F16</f>
        <v>0</v>
      </c>
    </row>
    <row r="17" spans="1:9" ht="15" customHeight="1" x14ac:dyDescent="0.25">
      <c r="A17" s="90" t="s">
        <v>547</v>
      </c>
      <c r="B17" s="69"/>
      <c r="C17" s="69"/>
      <c r="D17" s="69"/>
      <c r="E17" s="83"/>
      <c r="F17" s="29">
        <v>0</v>
      </c>
      <c r="G17" s="12" t="s">
        <v>510</v>
      </c>
      <c r="H17" s="12" t="s">
        <v>510</v>
      </c>
      <c r="I17" s="29">
        <f>F17</f>
        <v>0</v>
      </c>
    </row>
    <row r="18" spans="1:9" ht="15" customHeight="1" x14ac:dyDescent="0.25">
      <c r="A18" s="127" t="s">
        <v>785</v>
      </c>
      <c r="B18" s="93"/>
      <c r="C18" s="93"/>
      <c r="D18" s="93"/>
      <c r="E18" s="128"/>
      <c r="F18" s="21" t="s">
        <v>510</v>
      </c>
      <c r="G18" s="19" t="s">
        <v>510</v>
      </c>
      <c r="H18" s="19" t="s">
        <v>510</v>
      </c>
      <c r="I18" s="24">
        <f>SUM(I15:I17)</f>
        <v>0</v>
      </c>
    </row>
    <row r="20" spans="1:9" ht="15" customHeight="1" x14ac:dyDescent="0.25">
      <c r="A20" s="136" t="s">
        <v>130</v>
      </c>
      <c r="B20" s="137"/>
      <c r="C20" s="137"/>
      <c r="D20" s="137"/>
      <c r="E20" s="138"/>
      <c r="F20" s="16" t="s">
        <v>757</v>
      </c>
      <c r="G20" s="16" t="s">
        <v>652</v>
      </c>
      <c r="H20" s="16" t="s">
        <v>177</v>
      </c>
      <c r="I20" s="16" t="s">
        <v>757</v>
      </c>
    </row>
    <row r="21" spans="1:9" ht="15" customHeight="1" x14ac:dyDescent="0.25">
      <c r="A21" s="126" t="s">
        <v>68</v>
      </c>
      <c r="B21" s="73"/>
      <c r="C21" s="73"/>
      <c r="D21" s="73"/>
      <c r="E21" s="123"/>
      <c r="F21" s="46">
        <v>0</v>
      </c>
      <c r="G21" s="4" t="s">
        <v>510</v>
      </c>
      <c r="H21" s="4" t="s">
        <v>510</v>
      </c>
      <c r="I21" s="46">
        <f t="shared" ref="I21:I26" si="0">F21</f>
        <v>0</v>
      </c>
    </row>
    <row r="22" spans="1:9" ht="15" customHeight="1" x14ac:dyDescent="0.25">
      <c r="A22" s="126" t="s">
        <v>589</v>
      </c>
      <c r="B22" s="73"/>
      <c r="C22" s="73"/>
      <c r="D22" s="73"/>
      <c r="E22" s="123"/>
      <c r="F22" s="46">
        <v>0</v>
      </c>
      <c r="G22" s="4" t="s">
        <v>510</v>
      </c>
      <c r="H22" s="4" t="s">
        <v>510</v>
      </c>
      <c r="I22" s="46">
        <f t="shared" si="0"/>
        <v>0</v>
      </c>
    </row>
    <row r="23" spans="1:9" ht="15" customHeight="1" x14ac:dyDescent="0.25">
      <c r="A23" s="126" t="s">
        <v>708</v>
      </c>
      <c r="B23" s="73"/>
      <c r="C23" s="73"/>
      <c r="D23" s="73"/>
      <c r="E23" s="123"/>
      <c r="F23" s="46">
        <v>0</v>
      </c>
      <c r="G23" s="4" t="s">
        <v>510</v>
      </c>
      <c r="H23" s="4" t="s">
        <v>510</v>
      </c>
      <c r="I23" s="46">
        <f t="shared" si="0"/>
        <v>0</v>
      </c>
    </row>
    <row r="24" spans="1:9" ht="15" customHeight="1" x14ac:dyDescent="0.25">
      <c r="A24" s="126" t="s">
        <v>389</v>
      </c>
      <c r="B24" s="73"/>
      <c r="C24" s="73"/>
      <c r="D24" s="73"/>
      <c r="E24" s="123"/>
      <c r="F24" s="46">
        <v>0</v>
      </c>
      <c r="G24" s="4" t="s">
        <v>510</v>
      </c>
      <c r="H24" s="4" t="s">
        <v>510</v>
      </c>
      <c r="I24" s="46">
        <f t="shared" si="0"/>
        <v>0</v>
      </c>
    </row>
    <row r="25" spans="1:9" ht="15" customHeight="1" x14ac:dyDescent="0.25">
      <c r="A25" s="126" t="s">
        <v>487</v>
      </c>
      <c r="B25" s="73"/>
      <c r="C25" s="73"/>
      <c r="D25" s="73"/>
      <c r="E25" s="123"/>
      <c r="F25" s="46">
        <v>0</v>
      </c>
      <c r="G25" s="4" t="s">
        <v>510</v>
      </c>
      <c r="H25" s="4" t="s">
        <v>510</v>
      </c>
      <c r="I25" s="46">
        <f t="shared" si="0"/>
        <v>0</v>
      </c>
    </row>
    <row r="26" spans="1:9" ht="15" customHeight="1" x14ac:dyDescent="0.25">
      <c r="A26" s="90" t="s">
        <v>722</v>
      </c>
      <c r="B26" s="69"/>
      <c r="C26" s="69"/>
      <c r="D26" s="69"/>
      <c r="E26" s="83"/>
      <c r="F26" s="29">
        <v>0</v>
      </c>
      <c r="G26" s="12" t="s">
        <v>510</v>
      </c>
      <c r="H26" s="12" t="s">
        <v>510</v>
      </c>
      <c r="I26" s="29">
        <f t="shared" si="0"/>
        <v>0</v>
      </c>
    </row>
    <row r="27" spans="1:9" ht="15" customHeight="1" x14ac:dyDescent="0.25">
      <c r="A27" s="127" t="s">
        <v>291</v>
      </c>
      <c r="B27" s="93"/>
      <c r="C27" s="93"/>
      <c r="D27" s="93"/>
      <c r="E27" s="128"/>
      <c r="F27" s="21" t="s">
        <v>510</v>
      </c>
      <c r="G27" s="19" t="s">
        <v>510</v>
      </c>
      <c r="H27" s="19" t="s">
        <v>510</v>
      </c>
      <c r="I27" s="24">
        <f>SUM(I21:I26)</f>
        <v>0</v>
      </c>
    </row>
    <row r="29" spans="1:9" ht="15.75" customHeight="1" x14ac:dyDescent="0.25">
      <c r="A29" s="129" t="s">
        <v>766</v>
      </c>
      <c r="B29" s="130"/>
      <c r="C29" s="130"/>
      <c r="D29" s="130"/>
      <c r="E29" s="131"/>
      <c r="F29" s="132">
        <f>I18+I27</f>
        <v>0</v>
      </c>
      <c r="G29" s="133"/>
      <c r="H29" s="133"/>
      <c r="I29" s="134"/>
    </row>
    <row r="33" spans="1:9" ht="15.75" customHeight="1" x14ac:dyDescent="0.25">
      <c r="A33" s="135" t="s">
        <v>752</v>
      </c>
      <c r="B33" s="135"/>
      <c r="C33" s="135"/>
      <c r="D33" s="135"/>
      <c r="E33" s="135"/>
    </row>
    <row r="34" spans="1:9" ht="15" customHeight="1" x14ac:dyDescent="0.25">
      <c r="A34" s="136" t="s">
        <v>780</v>
      </c>
      <c r="B34" s="137"/>
      <c r="C34" s="137"/>
      <c r="D34" s="137"/>
      <c r="E34" s="138"/>
      <c r="F34" s="16" t="s">
        <v>757</v>
      </c>
      <c r="G34" s="16" t="s">
        <v>652</v>
      </c>
      <c r="H34" s="16" t="s">
        <v>177</v>
      </c>
      <c r="I34" s="16" t="s">
        <v>757</v>
      </c>
    </row>
    <row r="35" spans="1:9" ht="15" customHeight="1" x14ac:dyDescent="0.25">
      <c r="A35" s="90" t="s">
        <v>510</v>
      </c>
      <c r="B35" s="69"/>
      <c r="C35" s="69"/>
      <c r="D35" s="69"/>
      <c r="E35" s="83"/>
      <c r="F35" s="29">
        <v>0</v>
      </c>
      <c r="G35" s="12" t="s">
        <v>510</v>
      </c>
      <c r="H35" s="12" t="s">
        <v>510</v>
      </c>
      <c r="I35" s="29">
        <f>F35</f>
        <v>0</v>
      </c>
    </row>
    <row r="36" spans="1:9" ht="15" customHeight="1" x14ac:dyDescent="0.25">
      <c r="A36" s="127" t="s">
        <v>259</v>
      </c>
      <c r="B36" s="93"/>
      <c r="C36" s="93"/>
      <c r="D36" s="93"/>
      <c r="E36" s="128"/>
      <c r="F36" s="21" t="s">
        <v>510</v>
      </c>
      <c r="G36" s="19" t="s">
        <v>510</v>
      </c>
      <c r="H36" s="19" t="s">
        <v>510</v>
      </c>
      <c r="I36" s="24">
        <f>SUM(I35:I35)</f>
        <v>0</v>
      </c>
    </row>
  </sheetData>
  <mergeCells count="51">
    <mergeCell ref="A1:I1"/>
    <mergeCell ref="A2:B3"/>
    <mergeCell ref="A4:B5"/>
    <mergeCell ref="A6:B7"/>
    <mergeCell ref="A8:B9"/>
    <mergeCell ref="E2:E3"/>
    <mergeCell ref="E4:E5"/>
    <mergeCell ref="E6:E7"/>
    <mergeCell ref="E8:E9"/>
    <mergeCell ref="H2:H3"/>
    <mergeCell ref="H4:H5"/>
    <mergeCell ref="H6:H7"/>
    <mergeCell ref="H8:H9"/>
    <mergeCell ref="H10:H11"/>
    <mergeCell ref="F2:G3"/>
    <mergeCell ref="F4:G5"/>
    <mergeCell ref="F6:G7"/>
    <mergeCell ref="F8:G9"/>
    <mergeCell ref="F10:G11"/>
    <mergeCell ref="A13:E13"/>
    <mergeCell ref="C2:D3"/>
    <mergeCell ref="C4:D5"/>
    <mergeCell ref="C6:D7"/>
    <mergeCell ref="C8:D9"/>
    <mergeCell ref="C10:D11"/>
    <mergeCell ref="E10:E11"/>
    <mergeCell ref="A10:B11"/>
    <mergeCell ref="I2:I3"/>
    <mergeCell ref="I4:I5"/>
    <mergeCell ref="I6:I7"/>
    <mergeCell ref="I8:I9"/>
    <mergeCell ref="I10:I11"/>
    <mergeCell ref="A26:E26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36:E36"/>
    <mergeCell ref="A27:E27"/>
    <mergeCell ref="A29:E29"/>
    <mergeCell ref="F29:I29"/>
    <mergeCell ref="A33:E33"/>
    <mergeCell ref="A34:E34"/>
    <mergeCell ref="A35:E35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</vt:lpstr>
      <vt:lpstr>Výkaz výměr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HP</dc:creator>
  <cp:lastModifiedBy>Lorenc Michal</cp:lastModifiedBy>
  <dcterms:created xsi:type="dcterms:W3CDTF">2021-06-10T20:06:38Z</dcterms:created>
  <dcterms:modified xsi:type="dcterms:W3CDTF">2024-07-17T06:22:19Z</dcterms:modified>
</cp:coreProperties>
</file>