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2"/>
  </bookViews>
  <sheets>
    <sheet name="Rozpočet - vybrané sloupce" sheetId="1" r:id="rId1"/>
    <sheet name="Rozpočet - Jen skupiny" sheetId="2" r:id="rId2"/>
    <sheet name="Krycí list rozpočtu" sheetId="3" r:id="rId3"/>
    <sheet name="VORN" sheetId="4" r:id="rId4"/>
    <sheet name="Stavební rozpočet" sheetId="5" state="veryHidden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<sst xmlns="http://schemas.openxmlformats.org/spreadsheetml/2006/main" count="1016" uniqueCount="350">
  <si>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</si>
  <si>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</si>
  <si>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</si>
  <si>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</si>
  <si>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</si>
  <si>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</si>
  <si>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</si>
  <si>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</si>
  <si>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</si>
  <si>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</si>
  <si>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</si>
  <si>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</si>
  <si>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</si>
  <si>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</si>
  <si>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</si>
  <si>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</si>
  <si>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</si>
  <si>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</si>
  <si>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</si>
  <si>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</si>
  <si>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</si>
  <si>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</si>
  <si>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</si>
  <si>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</si>
  <si>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</si>
  <si>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</si>
  <si>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</si>
  <si>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</si>
  <si>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</si>
  <si>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</si>
  <si>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</si>
  <si>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</si>
  <si>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</si>
  <si>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</si>
  <si>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</si>
  <si>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</si>
  <si>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</si>
  <si>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</si>
  <si>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</si>
  <si>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</si>
  <si>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</si>
  <si>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</si>
  <si>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</si>
  <si>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</si>
  <si>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</si>
  <si>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</si>
  <si>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Kód</t>
  </si>
  <si>
    <t>281604111R00</t>
  </si>
  <si>
    <t>281611116R00</t>
  </si>
  <si>
    <t>281811111R00</t>
  </si>
  <si>
    <t>262011112R00</t>
  </si>
  <si>
    <t>221941111R00</t>
  </si>
  <si>
    <t>998004011R00</t>
  </si>
  <si>
    <t>380941112RT1</t>
  </si>
  <si>
    <t>612403380RV1</t>
  </si>
  <si>
    <t>624601111R09</t>
  </si>
  <si>
    <t>59</t>
  </si>
  <si>
    <t>113106005RAC</t>
  </si>
  <si>
    <t>596811111R00</t>
  </si>
  <si>
    <t>639571110R00</t>
  </si>
  <si>
    <t>111VD</t>
  </si>
  <si>
    <t>111RVD</t>
  </si>
  <si>
    <t>131201201R00</t>
  </si>
  <si>
    <t>174100010RA0</t>
  </si>
  <si>
    <t>180402111R00</t>
  </si>
  <si>
    <t>00572400</t>
  </si>
  <si>
    <t>60</t>
  </si>
  <si>
    <t>602011112RT1</t>
  </si>
  <si>
    <t>602011141RT1</t>
  </si>
  <si>
    <t>61</t>
  </si>
  <si>
    <t>610991111R00</t>
  </si>
  <si>
    <t>781</t>
  </si>
  <si>
    <t>781735014R00</t>
  </si>
  <si>
    <t>781900010RA0</t>
  </si>
  <si>
    <t>59777100.1</t>
  </si>
  <si>
    <t>781900020RA0</t>
  </si>
  <si>
    <t>781101210R00</t>
  </si>
  <si>
    <t>781210121R00</t>
  </si>
  <si>
    <t>597813530</t>
  </si>
  <si>
    <t>585820510</t>
  </si>
  <si>
    <t>784</t>
  </si>
  <si>
    <t>784111101R00</t>
  </si>
  <si>
    <t>784115312R00</t>
  </si>
  <si>
    <t>94</t>
  </si>
  <si>
    <t>941955002R00</t>
  </si>
  <si>
    <t>95</t>
  </si>
  <si>
    <t>952901111R00</t>
  </si>
  <si>
    <t>97</t>
  </si>
  <si>
    <t>978013191R00</t>
  </si>
  <si>
    <t>978015291R00</t>
  </si>
  <si>
    <t>S</t>
  </si>
  <si>
    <t>979081111R00</t>
  </si>
  <si>
    <t>979081121R00</t>
  </si>
  <si>
    <t>979082111R00</t>
  </si>
  <si>
    <t>979086213R00</t>
  </si>
  <si>
    <t>979990001R00</t>
  </si>
  <si>
    <t>Zkrácený popis</t>
  </si>
  <si>
    <t>Zpevňování hornin a konstrukcí</t>
  </si>
  <si>
    <t>Injektáž aktiv.směsmi nízkotl.vzestupné do 0,6 MPa</t>
  </si>
  <si>
    <t>Hmoty pro injekt.nízkot.,cement struskp.CEM II/B-S</t>
  </si>
  <si>
    <t>Ocelové inj. trubky nízkotl. ponechané 1,5 m, 1,5"</t>
  </si>
  <si>
    <t>Vrtání otvorů injektáže dutin v obezdívce ze ŽB</t>
  </si>
  <si>
    <t>Úprava ocel. jehel z válcovaných tyčí do 15 kg/m</t>
  </si>
  <si>
    <t>Přesun hmot injektování, kotev, mikropilot</t>
  </si>
  <si>
    <t>Různé kompletní konstrukce nedělitelné do stav. dílů</t>
  </si>
  <si>
    <t>Výztuž helikální 1 x D 6 mm, drážka, cihel. zdivo</t>
  </si>
  <si>
    <t>Hrubá výplň rýh ve stěnách do 3x3 cm maltou ze SMS</t>
  </si>
  <si>
    <t>Vyčištění, proškrábnutí a tmelení trhlin tmelem</t>
  </si>
  <si>
    <t>Kryty pozemních komunikací, letišť a ploch dlážděných (předlažby)</t>
  </si>
  <si>
    <t>Odstranění beton.dlažby vč.podkladu, pl.do 50 m2</t>
  </si>
  <si>
    <t>Kladení dlaždic kom.pro pěší, lože z kameniva těž.</t>
  </si>
  <si>
    <t>Podklad pod okapový chodník ze štěrku tl.100 mm</t>
  </si>
  <si>
    <t>Ostatní práce</t>
  </si>
  <si>
    <t>Demontíáž a zpětná montáž prvků na fasádě</t>
  </si>
  <si>
    <t>Hloubené vykopávky</t>
  </si>
  <si>
    <t>Hloubení zapažených jam v hor.3 do 100 m3</t>
  </si>
  <si>
    <t>Konstrukce ze zemin</t>
  </si>
  <si>
    <t>Zásyp jam, rýh a šachet sypaninou</t>
  </si>
  <si>
    <t>Povrchové úpravy terénu</t>
  </si>
  <si>
    <t>Založení trávníku parkového výsevem v rovině</t>
  </si>
  <si>
    <t>Směs travní parková I. běžná zátěž PROFI</t>
  </si>
  <si>
    <t>Omítky ze suchých směsí</t>
  </si>
  <si>
    <t>Omítka jádrová, ručně</t>
  </si>
  <si>
    <t>Štuk na stěnách vnitřní Cemix 033, ručně</t>
  </si>
  <si>
    <t>Úprava povrchů vnitřní</t>
  </si>
  <si>
    <t>Zakrývání výplní vnitřních otvorů</t>
  </si>
  <si>
    <t>Obklady (keramické)</t>
  </si>
  <si>
    <t>Montáž cihelných pásků 240x70x20 mm, do tmele</t>
  </si>
  <si>
    <t>Odsekání obkladů vnitřních</t>
  </si>
  <si>
    <t>Obklad. fasádní cihelný písek</t>
  </si>
  <si>
    <t>Odsekání obkladů vnějších</t>
  </si>
  <si>
    <t>Penetrace podkladu pod obklady</t>
  </si>
  <si>
    <t>Obkládání stěn obkl. pórovin. do tmele do 150x150</t>
  </si>
  <si>
    <t>Obkládačka 15x15</t>
  </si>
  <si>
    <t>Spárovací hmota</t>
  </si>
  <si>
    <t>Malby</t>
  </si>
  <si>
    <t>Penetrace podkladu nátěrem</t>
  </si>
  <si>
    <t>Malba , bílá, bez penetrace, 2 x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</si>
  <si>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</si>
  <si>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</si>
  <si>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</si>
  <si>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</si>
  <si>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Prorážení otvorů a ostatní bourací práce</t>
  </si>
  <si>
    <t>Otlučení omítek vnitřních stěn v rozsahu do 100 %</t>
  </si>
  <si>
    <t>Otlučení omítek vnějších MVC v složit.1-4 do 100 %</t>
  </si>
  <si>
    <t>Přesuny sutí</t>
  </si>
  <si>
    <t>Odvoz suti a vybour. hmot na skládku do 1 km</t>
  </si>
  <si>
    <t>Příplatek k odvozu za každý další 1 km</t>
  </si>
  <si>
    <t>Vnitrostaveništní doprava suti do 10 m</t>
  </si>
  <si>
    <t>Nakládání vybouraných hmot na dopravní prostředek</t>
  </si>
  <si>
    <t>Poplatek za skládku stavební suti</t>
  </si>
  <si>
    <t>M.j.</t>
  </si>
  <si>
    <t>h</t>
  </si>
  <si>
    <t>t</t>
  </si>
  <si>
    <t>m</t>
  </si>
  <si>
    <t>kus</t>
  </si>
  <si>
    <t>m2</t>
  </si>
  <si>
    <t>soub</t>
  </si>
  <si>
    <t>m3</t>
  </si>
  <si>
    <t>kg</t>
  </si>
  <si>
    <t>Rozměry</t>
  </si>
  <si>
    <t>174</t>
  </si>
  <si>
    <t>116*0,10</t>
  </si>
  <si>
    <t>8*4,0   vnitřní</t>
  </si>
  <si>
    <t>21*4,0   vnější</t>
  </si>
  <si>
    <t>8   vnitřní</t>
  </si>
  <si>
    <t>21   vnější</t>
  </si>
  <si>
    <t>116*3,17/1000*1,05</t>
  </si>
  <si>
    <t>45*1,0   a.č. 18251/4</t>
  </si>
  <si>
    <t>6*1,5</t>
  </si>
  <si>
    <t>2*1,35</t>
  </si>
  <si>
    <t>6*1,2</t>
  </si>
  <si>
    <t>4*2,6</t>
  </si>
  <si>
    <t>22*2</t>
  </si>
  <si>
    <t>151,3</t>
  </si>
  <si>
    <t>2,3   a.č. 18251/4</t>
  </si>
  <si>
    <t>3,6</t>
  </si>
  <si>
    <t>1,2</t>
  </si>
  <si>
    <t>0,5</t>
  </si>
  <si>
    <t>1,5</t>
  </si>
  <si>
    <t>3,0</t>
  </si>
  <si>
    <t>4,8</t>
  </si>
  <si>
    <t>11,3</t>
  </si>
  <si>
    <t>14,6*0,5</t>
  </si>
  <si>
    <t>8,0*0,5</t>
  </si>
  <si>
    <t>23,0*1,0*1,0</t>
  </si>
  <si>
    <t>25,0*0,02</t>
  </si>
  <si>
    <t>16,2   viz. odsekání obkladů vnitřních</t>
  </si>
  <si>
    <t>57,3</t>
  </si>
  <si>
    <t>-16,2</t>
  </si>
  <si>
    <t>55   a.č. 18251/6</t>
  </si>
  <si>
    <t>7,2</t>
  </si>
  <si>
    <t>6,2</t>
  </si>
  <si>
    <t>2,8</t>
  </si>
  <si>
    <t>55*1,1</t>
  </si>
  <si>
    <t>55</t>
  </si>
  <si>
    <t>16,2</t>
  </si>
  <si>
    <t>16,2*1,1</t>
  </si>
  <si>
    <t>41,1</t>
  </si>
  <si>
    <t>35   vnitřní</t>
  </si>
  <si>
    <t>30   venkovní</t>
  </si>
  <si>
    <t>154</t>
  </si>
  <si>
    <t>11,4</t>
  </si>
  <si>
    <t>8,7</t>
  </si>
  <si>
    <t>3,3</t>
  </si>
  <si>
    <t>3,8</t>
  </si>
  <si>
    <t>4,7</t>
  </si>
  <si>
    <t>14,4</t>
  </si>
  <si>
    <t>55   pod obkladem</t>
  </si>
  <si>
    <t>11,875</t>
  </si>
  <si>
    <t>11,875*9</t>
  </si>
  <si>
    <t>Doba výstavby:</t>
  </si>
  <si>
    <t>Začátek výstavby:</t>
  </si>
  <si>
    <t>Konec výstavby:</t>
  </si>
  <si>
    <t>Zpracováno dne:</t>
  </si>
  <si>
    <t>Množství</t>
  </si>
  <si>
    <t>Objednatel:</t>
  </si>
  <si>
    <t>Projektant:</t>
  </si>
  <si>
    <t>Zhotovitel:</t>
  </si>
  <si>
    <t>Zpracoval:</t>
  </si>
  <si>
    <t>Jednotková cena (Kč)</t>
  </si>
  <si>
    <t>Celkem:</t>
  </si>
  <si>
    <t>Náklady celkem (Kč)</t>
  </si>
  <si>
    <t>Jednotková hmotnost(t)</t>
  </si>
  <si>
    <t>Celková hmotnost(t)</t>
  </si>
  <si>
    <t>Stavební rozpočet - Jen skupiny</t>
  </si>
  <si>
    <t>Objekt</t>
  </si>
  <si>
    <t>Poznámka:</t>
  </si>
  <si>
    <t>78</t>
  </si>
  <si>
    <t>Zemní práce</t>
  </si>
  <si>
    <t>Základy, zvláštní zakládání, zpevňování hornin</t>
  </si>
  <si>
    <t>Svislé a kompletní konstrukce</t>
  </si>
  <si>
    <t>Komunikace</t>
  </si>
  <si>
    <t>Úpravy povrchů a osazování výplní otvorů</t>
  </si>
  <si>
    <t>Dokončovací práce</t>
  </si>
  <si>
    <t>Dokončovací práce, demolice</t>
  </si>
  <si>
    <t>Náklady (Kč)</t>
  </si>
  <si>
    <t>Dodávka</t>
  </si>
  <si>
    <t>Montáž</t>
  </si>
  <si>
    <t>Celkem</t>
  </si>
  <si>
    <t>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</si>
  <si>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</si>
  <si>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</si>
  <si>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</si>
  <si>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</si>
  <si>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</si>
  <si>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</si>
  <si>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</si>
  <si>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</si>
  <si>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</si>
  <si>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</si>
  <si>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</si>
  <si>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</si>
  <si>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</si>
  <si>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</si>
  <si>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</si>
  <si>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</si>
  <si>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</si>
  <si>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</si>
  <si>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</si>
  <si>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</si>
  <si>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</si>
  <si>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</si>
  <si>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</si>
  <si>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</si>
  <si>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</si>
  <si>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</si>
  <si>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</si>
  <si>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</si>
  <si>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</si>
  <si>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</si>
  <si>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</si>
  <si>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</si>
  <si>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</si>
  <si>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</si>
  <si>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</si>
  <si>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</si>
  <si>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</si>
  <si>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</si>
  <si>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</si>
  <si>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</si>
  <si>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</si>
  <si>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</si>
  <si>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</si>
  <si>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</si>
  <si>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</si>
  <si>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</si>
  <si>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</si>
  <si>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</si>
  <si>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</si>
  <si>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</si>
  <si>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</si>
  <si>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</si>
  <si>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</si>
  <si>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</si>
  <si>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</si>
  <si>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</si>
  <si>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</si>
  <si>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Zimní stadión Bohumín- Přístavba</t>
  </si>
  <si>
    <t>Bohumín</t>
  </si>
  <si>
    <t>a.č. 18251/4</t>
  </si>
  <si>
    <t>14.04.2019</t>
  </si>
  <si>
    <t> </t>
  </si>
  <si>
    <t>Jednot.</t>
  </si>
  <si>
    <t>cena (Kč)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</si>
  <si>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</si>
  <si>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</si>
  <si>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</si>
  <si>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</si>
  <si>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</si>
  <si>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</si>
  <si>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</si>
  <si>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</si>
  <si>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</si>
  <si>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</si>
  <si>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</si>
  <si>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</si>
  <si>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28_</t>
  </si>
  <si>
    <t>38_</t>
  </si>
  <si>
    <t>59_</t>
  </si>
  <si>
    <t>111VD_</t>
  </si>
  <si>
    <t>13_</t>
  </si>
  <si>
    <t>17_</t>
  </si>
  <si>
    <t>18_</t>
  </si>
  <si>
    <t>60_</t>
  </si>
  <si>
    <t>61_</t>
  </si>
  <si>
    <t>781_</t>
  </si>
  <si>
    <t>784_</t>
  </si>
  <si>
    <t>94_</t>
  </si>
  <si>
    <t>95_</t>
  </si>
  <si>
    <t>97_</t>
  </si>
  <si>
    <t>S_</t>
  </si>
  <si>
    <t>2_</t>
  </si>
  <si>
    <t>3_</t>
  </si>
  <si>
    <t>5_</t>
  </si>
  <si>
    <t>1_</t>
  </si>
  <si>
    <t>6_</t>
  </si>
  <si>
    <t>78_</t>
  </si>
  <si>
    <t>9_</t>
  </si>
  <si>
    <t>_</t>
  </si>
  <si>
    <t>MAT</t>
  </si>
  <si>
    <t>WORK</t>
  </si>
  <si>
    <t>CELK</t>
  </si>
  <si>
    <t>dokumentace dílenská a skutečného stavu</t>
  </si>
  <si>
    <t xml:space="preserve">Ostatní </t>
  </si>
  <si>
    <t xml:space="preserve">Ing. Jaromír Ferdian </t>
  </si>
  <si>
    <t>14578476</t>
  </si>
  <si>
    <t>Rozpočet zpracován v cenové úrovni RTS II/2018</t>
  </si>
  <si>
    <t>Ing. Jaromír Ferdian</t>
  </si>
  <si>
    <t>Rozpočet zpracován na základě dokumentace arch.č. 18251/1 - 6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</si>
</sst>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i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4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9" fillId="34" borderId="21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34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3" fillId="33" borderId="13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right" vertical="top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right" vertical="center"/>
      <protection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2" xfId="0" applyNumberFormat="1" applyFont="1" applyFill="1" applyBorder="1" applyAlignment="1" applyProtection="1">
      <alignment horizontal="left" vertical="center"/>
      <protection/>
    </xf>
    <xf numFmtId="49" fontId="11" fillId="0" borderId="53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49" fontId="10" fillId="34" borderId="54" xfId="0" applyNumberFormat="1" applyFont="1" applyFill="1" applyBorder="1" applyAlignment="1" applyProtection="1">
      <alignment horizontal="left" vertical="center"/>
      <protection/>
    </xf>
    <xf numFmtId="0" fontId="10" fillId="34" borderId="55" xfId="0" applyNumberFormat="1" applyFont="1" applyFill="1" applyBorder="1" applyAlignment="1" applyProtection="1">
      <alignment horizontal="left" vertical="center"/>
      <protection/>
    </xf>
    <xf numFmtId="49" fontId="11" fillId="0" borderId="56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49" fontId="10" fillId="0" borderId="54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0" fillId="0" borderId="58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59" xfId="0" applyNumberFormat="1" applyFont="1" applyFill="1" applyBorder="1" applyAlignment="1" applyProtection="1">
      <alignment horizontal="left" vertical="center"/>
      <protection/>
    </xf>
    <xf numFmtId="4" fontId="10" fillId="0" borderId="58" xfId="0" applyNumberFormat="1" applyFont="1" applyFill="1" applyBorder="1" applyAlignment="1" applyProtection="1">
      <alignment horizontal="right" vertical="center"/>
      <protection/>
    </xf>
    <xf numFmtId="0" fontId="10" fillId="0" borderId="30" xfId="0" applyNumberFormat="1" applyFont="1" applyFill="1" applyBorder="1" applyAlignment="1" applyProtection="1">
      <alignment horizontal="right" vertical="center"/>
      <protection/>
    </xf>
    <xf numFmtId="0" fontId="10" fillId="0" borderId="59" xfId="0" applyNumberFormat="1" applyFont="1" applyFill="1" applyBorder="1" applyAlignment="1" applyProtection="1">
      <alignment horizontal="righ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8" fontId="1" fillId="0" borderId="15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8" sqref="F8:AI9"/>
    </sheetView>
  </sheetViews>
  <sheetFormatPr defaultColWidth="11.57421875" defaultRowHeight="12.75"/>
  <cols>
    <col min="1" max="81" width="2.8515625" style="0" customWidth="1"/>
    <col min="82" max="250" width="11.57421875" style="0" customWidth="1"/>
    <col min="251" max="254" width="12.140625" style="0" hidden="1" customWidth="1"/>
  </cols>
  <sheetData>
    <row r="1" spans="1:81" ht="7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</row>
    <row r="2" spans="1:82" ht="12.75">
      <c r="A2" s="114" t="s">
        <v>1</v>
      </c>
      <c r="B2" s="115"/>
      <c r="C2" s="115"/>
      <c r="D2" s="115"/>
      <c r="E2" s="115"/>
      <c r="F2" s="116" t="str">
        <f>'Stavební rozpočet'!D2</f>
        <v>Zimní stadión Bohumín- Přístavba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 t="s">
        <v>211</v>
      </c>
      <c r="AK2" s="115"/>
      <c r="AL2" s="115"/>
      <c r="AM2" s="115"/>
      <c r="AN2" s="115"/>
      <c r="AO2" s="115"/>
      <c r="AP2" s="115"/>
      <c r="AQ2" s="119" t="str">
        <f>'Stavební rozpočet'!G2</f>
        <v> </v>
      </c>
      <c r="AR2" s="115"/>
      <c r="AS2" s="115"/>
      <c r="AT2" s="115"/>
      <c r="AU2" s="115"/>
      <c r="AV2" s="115"/>
      <c r="AW2" s="119" t="s">
        <v>216</v>
      </c>
      <c r="AX2" s="115"/>
      <c r="AY2" s="115"/>
      <c r="AZ2" s="115"/>
      <c r="BA2" s="115"/>
      <c r="BB2" s="115"/>
      <c r="BC2" s="115"/>
      <c r="BD2" s="119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20"/>
      <c r="CD2" s="6"/>
    </row>
    <row r="3" spans="1:82" ht="12.75">
      <c r="A3" s="111"/>
      <c r="B3" s="104"/>
      <c r="C3" s="104"/>
      <c r="D3" s="104"/>
      <c r="E3" s="104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9"/>
      <c r="CD3" s="6"/>
    </row>
    <row r="4" spans="1:82" ht="12.75">
      <c r="A4" s="103" t="s">
        <v>2</v>
      </c>
      <c r="B4" s="104"/>
      <c r="C4" s="104"/>
      <c r="D4" s="104"/>
      <c r="E4" s="104"/>
      <c r="F4" s="107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8" t="s">
        <v>212</v>
      </c>
      <c r="AK4" s="104"/>
      <c r="AL4" s="104"/>
      <c r="AM4" s="104"/>
      <c r="AN4" s="104"/>
      <c r="AO4" s="104"/>
      <c r="AP4" s="104"/>
      <c r="AQ4" s="107"/>
      <c r="AR4" s="104"/>
      <c r="AS4" s="104"/>
      <c r="AT4" s="104"/>
      <c r="AU4" s="104"/>
      <c r="AV4" s="104"/>
      <c r="AW4" s="107" t="s">
        <v>217</v>
      </c>
      <c r="AX4" s="104"/>
      <c r="AY4" s="104"/>
      <c r="AZ4" s="104"/>
      <c r="BA4" s="104"/>
      <c r="BB4" s="104"/>
      <c r="BC4" s="104"/>
      <c r="BD4" s="107" t="s">
        <v>348</v>
      </c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9"/>
      <c r="CD4" s="6"/>
    </row>
    <row r="5" spans="1:82" ht="12.75">
      <c r="A5" s="111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9"/>
      <c r="CD5" s="6"/>
    </row>
    <row r="6" spans="1:82" ht="12.75">
      <c r="A6" s="103" t="s">
        <v>3</v>
      </c>
      <c r="B6" s="104"/>
      <c r="C6" s="104"/>
      <c r="D6" s="104"/>
      <c r="E6" s="104"/>
      <c r="F6" s="107" t="str">
        <f>'Stavební rozpočet'!D6</f>
        <v>Bohumín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8" t="s">
        <v>213</v>
      </c>
      <c r="AK6" s="104"/>
      <c r="AL6" s="104"/>
      <c r="AM6" s="104"/>
      <c r="AN6" s="104"/>
      <c r="AO6" s="104"/>
      <c r="AP6" s="104"/>
      <c r="AQ6" s="107" t="str">
        <f>'Stavební rozpočet'!G6</f>
        <v> </v>
      </c>
      <c r="AR6" s="104"/>
      <c r="AS6" s="104"/>
      <c r="AT6" s="104"/>
      <c r="AU6" s="104"/>
      <c r="AV6" s="104"/>
      <c r="AW6" s="107" t="s">
        <v>218</v>
      </c>
      <c r="AX6" s="104"/>
      <c r="AY6" s="104"/>
      <c r="AZ6" s="104"/>
      <c r="BA6" s="104"/>
      <c r="BB6" s="104"/>
      <c r="BC6" s="104"/>
      <c r="BD6" s="107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9"/>
      <c r="CD6" s="6"/>
    </row>
    <row r="7" spans="1:82" ht="12.75">
      <c r="A7" s="11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9"/>
      <c r="CD7" s="6"/>
    </row>
    <row r="8" spans="1:82" ht="12.75">
      <c r="A8" s="103" t="s">
        <v>4</v>
      </c>
      <c r="B8" s="104"/>
      <c r="C8" s="104"/>
      <c r="D8" s="104"/>
      <c r="E8" s="104"/>
      <c r="F8" s="107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8" t="s">
        <v>214</v>
      </c>
      <c r="AK8" s="104"/>
      <c r="AL8" s="104"/>
      <c r="AM8" s="104"/>
      <c r="AN8" s="104"/>
      <c r="AO8" s="104"/>
      <c r="AP8" s="104"/>
      <c r="AQ8" s="107" t="str">
        <f>'Stavební rozpočet'!G8</f>
        <v>14.04.2019</v>
      </c>
      <c r="AR8" s="104"/>
      <c r="AS8" s="104"/>
      <c r="AT8" s="104"/>
      <c r="AU8" s="104"/>
      <c r="AV8" s="104"/>
      <c r="AW8" s="107" t="s">
        <v>219</v>
      </c>
      <c r="AX8" s="104"/>
      <c r="AY8" s="104"/>
      <c r="AZ8" s="104"/>
      <c r="BA8" s="104"/>
      <c r="BB8" s="104"/>
      <c r="BC8" s="104"/>
      <c r="BD8" s="107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9"/>
      <c r="CD8" s="6"/>
    </row>
    <row r="9" spans="1:82" ht="12.7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10"/>
      <c r="CD9" s="6"/>
    </row>
    <row r="10" spans="1:82" ht="12.75">
      <c r="A10" s="97" t="s">
        <v>5</v>
      </c>
      <c r="B10" s="99"/>
      <c r="C10" s="97" t="s">
        <v>46</v>
      </c>
      <c r="D10" s="98"/>
      <c r="E10" s="98"/>
      <c r="F10" s="98"/>
      <c r="G10" s="98"/>
      <c r="H10" s="99"/>
      <c r="I10" s="97" t="s">
        <v>96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97" t="s">
        <v>151</v>
      </c>
      <c r="AF10" s="99"/>
      <c r="AG10" s="97" t="s">
        <v>160</v>
      </c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9"/>
      <c r="AS10" s="97" t="s">
        <v>215</v>
      </c>
      <c r="AT10" s="98"/>
      <c r="AU10" s="98"/>
      <c r="AV10" s="98"/>
      <c r="AW10" s="99"/>
      <c r="AX10" s="97" t="s">
        <v>220</v>
      </c>
      <c r="AY10" s="98"/>
      <c r="AZ10" s="98"/>
      <c r="BA10" s="98"/>
      <c r="BB10" s="98"/>
      <c r="BC10" s="98"/>
      <c r="BD10" s="98"/>
      <c r="BE10" s="99"/>
      <c r="BF10" s="97" t="s">
        <v>222</v>
      </c>
      <c r="BG10" s="98"/>
      <c r="BH10" s="98"/>
      <c r="BI10" s="98"/>
      <c r="BJ10" s="98"/>
      <c r="BK10" s="98"/>
      <c r="BL10" s="98"/>
      <c r="BM10" s="99"/>
      <c r="BN10" s="97" t="s">
        <v>223</v>
      </c>
      <c r="BO10" s="98"/>
      <c r="BP10" s="98"/>
      <c r="BQ10" s="98"/>
      <c r="BR10" s="98"/>
      <c r="BS10" s="98"/>
      <c r="BT10" s="98"/>
      <c r="BU10" s="99"/>
      <c r="BV10" s="97" t="s">
        <v>224</v>
      </c>
      <c r="BW10" s="98"/>
      <c r="BX10" s="98"/>
      <c r="BY10" s="98"/>
      <c r="BZ10" s="98"/>
      <c r="CA10" s="98"/>
      <c r="CB10" s="98"/>
      <c r="CC10" s="100"/>
      <c r="CD10" s="6"/>
    </row>
    <row r="11" spans="1:81" ht="12.75">
      <c r="A11" s="101" t="s">
        <v>6</v>
      </c>
      <c r="B11" s="102"/>
      <c r="C11" s="101" t="s">
        <v>34</v>
      </c>
      <c r="D11" s="102"/>
      <c r="E11" s="102"/>
      <c r="F11" s="102"/>
      <c r="G11" s="102"/>
      <c r="H11" s="102"/>
      <c r="I11" s="101" t="s">
        <v>97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1" t="s">
        <v>6</v>
      </c>
      <c r="AF11" s="102"/>
      <c r="AG11" s="101" t="s">
        <v>6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94" t="s">
        <v>6</v>
      </c>
      <c r="AT11" s="95"/>
      <c r="AU11" s="95"/>
      <c r="AV11" s="95"/>
      <c r="AW11" s="95"/>
      <c r="AX11" s="94" t="s">
        <v>6</v>
      </c>
      <c r="AY11" s="95"/>
      <c r="AZ11" s="95"/>
      <c r="BA11" s="95"/>
      <c r="BB11" s="95"/>
      <c r="BC11" s="95"/>
      <c r="BD11" s="95"/>
      <c r="BE11" s="95"/>
      <c r="BF11" s="96">
        <f>SUM(BF12:BF19)</f>
        <v>0</v>
      </c>
      <c r="BG11" s="95"/>
      <c r="BH11" s="95"/>
      <c r="BI11" s="95"/>
      <c r="BJ11" s="95"/>
      <c r="BK11" s="95"/>
      <c r="BL11" s="95"/>
      <c r="BM11" s="95"/>
      <c r="BN11" s="94" t="s">
        <v>6</v>
      </c>
      <c r="BO11" s="95"/>
      <c r="BP11" s="95"/>
      <c r="BQ11" s="95"/>
      <c r="BR11" s="95"/>
      <c r="BS11" s="95"/>
      <c r="BT11" s="95"/>
      <c r="BU11" s="95"/>
      <c r="BV11" s="96">
        <f>SUM(BV12:BV19)</f>
        <v>13.0337819141</v>
      </c>
      <c r="BW11" s="95"/>
      <c r="BX11" s="95"/>
      <c r="BY11" s="95"/>
      <c r="BZ11" s="95"/>
      <c r="CA11" s="95"/>
      <c r="CB11" s="95"/>
      <c r="CC11" s="95"/>
    </row>
    <row r="12" spans="1:253" ht="12.75">
      <c r="A12" s="81" t="s">
        <v>7</v>
      </c>
      <c r="B12" s="82"/>
      <c r="C12" s="81" t="s">
        <v>47</v>
      </c>
      <c r="D12" s="82"/>
      <c r="E12" s="82"/>
      <c r="F12" s="82"/>
      <c r="G12" s="82"/>
      <c r="H12" s="82"/>
      <c r="I12" s="81" t="s">
        <v>98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1" t="s">
        <v>152</v>
      </c>
      <c r="AF12" s="82"/>
      <c r="AG12" s="81" t="s">
        <v>161</v>
      </c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75">
        <v>174</v>
      </c>
      <c r="AT12" s="76"/>
      <c r="AU12" s="76"/>
      <c r="AV12" s="76"/>
      <c r="AW12" s="76"/>
      <c r="AX12" s="75">
        <v>0</v>
      </c>
      <c r="AY12" s="76"/>
      <c r="AZ12" s="76"/>
      <c r="BA12" s="76"/>
      <c r="BB12" s="76"/>
      <c r="BC12" s="76"/>
      <c r="BD12" s="76"/>
      <c r="BE12" s="76"/>
      <c r="BF12" s="75">
        <f>IR12*AS12+IS12*AS12</f>
        <v>0</v>
      </c>
      <c r="BG12" s="76"/>
      <c r="BH12" s="76"/>
      <c r="BI12" s="76"/>
      <c r="BJ12" s="76"/>
      <c r="BK12" s="76"/>
      <c r="BL12" s="76"/>
      <c r="BM12" s="76"/>
      <c r="BN12" s="75">
        <f>'Stavební rozpočet'!K13</f>
        <v>7E-05</v>
      </c>
      <c r="BO12" s="76"/>
      <c r="BP12" s="76"/>
      <c r="BQ12" s="76"/>
      <c r="BR12" s="76"/>
      <c r="BS12" s="76"/>
      <c r="BT12" s="76"/>
      <c r="BU12" s="76"/>
      <c r="BV12" s="75">
        <f>BN12*AS12</f>
        <v>0.012179999999999998</v>
      </c>
      <c r="BW12" s="76"/>
      <c r="BX12" s="76"/>
      <c r="BY12" s="76"/>
      <c r="BZ12" s="76"/>
      <c r="CA12" s="76"/>
      <c r="CB12" s="76"/>
      <c r="CC12" s="76"/>
      <c r="IR12" s="8">
        <f>AX12*0.0352433793180669</f>
        <v>0</v>
      </c>
      <c r="IS12" s="8">
        <f>AX12*(1-0.0352433793180669)</f>
        <v>0</v>
      </c>
    </row>
    <row r="13" spans="1:253" ht="12.75">
      <c r="A13" s="81" t="s">
        <v>8</v>
      </c>
      <c r="B13" s="82"/>
      <c r="C13" s="81" t="s">
        <v>48</v>
      </c>
      <c r="D13" s="82"/>
      <c r="E13" s="82"/>
      <c r="F13" s="82"/>
      <c r="G13" s="82"/>
      <c r="H13" s="82"/>
      <c r="I13" s="81" t="s">
        <v>99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1" t="s">
        <v>153</v>
      </c>
      <c r="AF13" s="82"/>
      <c r="AG13" s="81" t="s">
        <v>162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75">
        <v>11.6</v>
      </c>
      <c r="AT13" s="76"/>
      <c r="AU13" s="76"/>
      <c r="AV13" s="76"/>
      <c r="AW13" s="76"/>
      <c r="AX13" s="75">
        <v>0</v>
      </c>
      <c r="AY13" s="76"/>
      <c r="AZ13" s="76"/>
      <c r="BA13" s="76"/>
      <c r="BB13" s="76"/>
      <c r="BC13" s="76"/>
      <c r="BD13" s="76"/>
      <c r="BE13" s="76"/>
      <c r="BF13" s="75">
        <f>IR13*AS13+IS13*AS13</f>
        <v>0</v>
      </c>
      <c r="BG13" s="76"/>
      <c r="BH13" s="76"/>
      <c r="BI13" s="76"/>
      <c r="BJ13" s="76"/>
      <c r="BK13" s="76"/>
      <c r="BL13" s="76"/>
      <c r="BM13" s="76"/>
      <c r="BN13" s="75">
        <f>'Stavební rozpočet'!K14</f>
        <v>1.0712</v>
      </c>
      <c r="BO13" s="76"/>
      <c r="BP13" s="76"/>
      <c r="BQ13" s="76"/>
      <c r="BR13" s="76"/>
      <c r="BS13" s="76"/>
      <c r="BT13" s="76"/>
      <c r="BU13" s="76"/>
      <c r="BV13" s="75">
        <f>BN13*AS13</f>
        <v>12.42592</v>
      </c>
      <c r="BW13" s="76"/>
      <c r="BX13" s="76"/>
      <c r="BY13" s="76"/>
      <c r="BZ13" s="76"/>
      <c r="CA13" s="76"/>
      <c r="CB13" s="76"/>
      <c r="CC13" s="76"/>
      <c r="IR13" s="8">
        <f>AX13*1</f>
        <v>0</v>
      </c>
      <c r="IS13" s="8">
        <f>AX13*(1-1)</f>
        <v>0</v>
      </c>
    </row>
    <row r="14" spans="1:253" ht="12.75">
      <c r="A14" s="81" t="s">
        <v>9</v>
      </c>
      <c r="B14" s="82"/>
      <c r="C14" s="81" t="s">
        <v>49</v>
      </c>
      <c r="D14" s="82"/>
      <c r="E14" s="82"/>
      <c r="F14" s="82"/>
      <c r="G14" s="82"/>
      <c r="H14" s="82"/>
      <c r="I14" s="81" t="s">
        <v>100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1" t="s">
        <v>154</v>
      </c>
      <c r="AF14" s="82"/>
      <c r="AG14" s="81" t="s">
        <v>163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75">
        <v>116</v>
      </c>
      <c r="AT14" s="76"/>
      <c r="AU14" s="76"/>
      <c r="AV14" s="76"/>
      <c r="AW14" s="76"/>
      <c r="AX14" s="75">
        <v>0</v>
      </c>
      <c r="AY14" s="76"/>
      <c r="AZ14" s="76"/>
      <c r="BA14" s="76"/>
      <c r="BB14" s="76"/>
      <c r="BC14" s="76"/>
      <c r="BD14" s="76"/>
      <c r="BE14" s="76"/>
      <c r="BF14" s="75">
        <f>IR14*AS14+IS14*AS14</f>
        <v>0</v>
      </c>
      <c r="BG14" s="76"/>
      <c r="BH14" s="76"/>
      <c r="BI14" s="76"/>
      <c r="BJ14" s="76"/>
      <c r="BK14" s="76"/>
      <c r="BL14" s="76"/>
      <c r="BM14" s="76"/>
      <c r="BN14" s="75">
        <f>'Stavební rozpočet'!K15</f>
        <v>0.00508</v>
      </c>
      <c r="BO14" s="76"/>
      <c r="BP14" s="76"/>
      <c r="BQ14" s="76"/>
      <c r="BR14" s="76"/>
      <c r="BS14" s="76"/>
      <c r="BT14" s="76"/>
      <c r="BU14" s="76"/>
      <c r="BV14" s="75">
        <f>BN14*AS14</f>
        <v>0.58928</v>
      </c>
      <c r="BW14" s="76"/>
      <c r="BX14" s="76"/>
      <c r="BY14" s="76"/>
      <c r="BZ14" s="76"/>
      <c r="CA14" s="76"/>
      <c r="CB14" s="76"/>
      <c r="CC14" s="76"/>
      <c r="IR14" s="8">
        <f>AX14*0.635775647616836</f>
        <v>0</v>
      </c>
      <c r="IS14" s="8">
        <f>AX14*(1-0.635775647616836)</f>
        <v>0</v>
      </c>
    </row>
    <row r="15" spans="1:253" ht="12.75">
      <c r="A15" s="81"/>
      <c r="B15" s="82"/>
      <c r="C15" s="81"/>
      <c r="D15" s="82"/>
      <c r="E15" s="82"/>
      <c r="F15" s="82"/>
      <c r="G15" s="82"/>
      <c r="H15" s="82"/>
      <c r="I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1"/>
      <c r="AF15" s="82"/>
      <c r="AG15" s="81" t="s">
        <v>164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75">
        <v>84</v>
      </c>
      <c r="AT15" s="76"/>
      <c r="AU15" s="76"/>
      <c r="AV15" s="76"/>
      <c r="AW15" s="76"/>
      <c r="AX15" s="75"/>
      <c r="AY15" s="76"/>
      <c r="AZ15" s="76"/>
      <c r="BA15" s="76"/>
      <c r="BB15" s="76"/>
      <c r="BC15" s="76"/>
      <c r="BD15" s="76"/>
      <c r="BE15" s="76"/>
      <c r="BF15" s="82"/>
      <c r="BG15" s="82"/>
      <c r="BH15" s="82"/>
      <c r="BI15" s="82"/>
      <c r="BJ15" s="82"/>
      <c r="BK15" s="82"/>
      <c r="BL15" s="82"/>
      <c r="BM15" s="82"/>
      <c r="BN15" s="75"/>
      <c r="BO15" s="76"/>
      <c r="BP15" s="76"/>
      <c r="BQ15" s="76"/>
      <c r="BR15" s="76"/>
      <c r="BS15" s="76"/>
      <c r="BT15" s="76"/>
      <c r="BU15" s="76"/>
      <c r="BV15" s="82"/>
      <c r="BW15" s="82"/>
      <c r="BX15" s="82"/>
      <c r="BY15" s="82"/>
      <c r="BZ15" s="82"/>
      <c r="CA15" s="82"/>
      <c r="CB15" s="82"/>
      <c r="CC15" s="82"/>
      <c r="IR15" s="8">
        <f>AX15*0.635775647616836</f>
        <v>0</v>
      </c>
      <c r="IS15" s="8">
        <f>AX15*(1-0.635775647616836)</f>
        <v>0</v>
      </c>
    </row>
    <row r="16" spans="1:253" ht="12.75">
      <c r="A16" s="81" t="s">
        <v>10</v>
      </c>
      <c r="B16" s="82"/>
      <c r="C16" s="81" t="s">
        <v>50</v>
      </c>
      <c r="D16" s="82"/>
      <c r="E16" s="82"/>
      <c r="F16" s="82"/>
      <c r="G16" s="82"/>
      <c r="H16" s="82"/>
      <c r="I16" s="81" t="s">
        <v>101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1" t="s">
        <v>155</v>
      </c>
      <c r="AF16" s="82"/>
      <c r="AG16" s="81" t="s">
        <v>165</v>
      </c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75">
        <v>29</v>
      </c>
      <c r="AT16" s="76"/>
      <c r="AU16" s="76"/>
      <c r="AV16" s="76"/>
      <c r="AW16" s="76"/>
      <c r="AX16" s="75">
        <v>0</v>
      </c>
      <c r="AY16" s="76"/>
      <c r="AZ16" s="76"/>
      <c r="BA16" s="76"/>
      <c r="BB16" s="76"/>
      <c r="BC16" s="76"/>
      <c r="BD16" s="76"/>
      <c r="BE16" s="76"/>
      <c r="BF16" s="75">
        <f>IR16*AS16+IS16*AS16</f>
        <v>0</v>
      </c>
      <c r="BG16" s="76"/>
      <c r="BH16" s="76"/>
      <c r="BI16" s="76"/>
      <c r="BJ16" s="76"/>
      <c r="BK16" s="76"/>
      <c r="BL16" s="76"/>
      <c r="BM16" s="76"/>
      <c r="BN16" s="75">
        <f>'Stavební rozpočet'!K16</f>
        <v>0.00019</v>
      </c>
      <c r="BO16" s="76"/>
      <c r="BP16" s="76"/>
      <c r="BQ16" s="76"/>
      <c r="BR16" s="76"/>
      <c r="BS16" s="76"/>
      <c r="BT16" s="76"/>
      <c r="BU16" s="76"/>
      <c r="BV16" s="75">
        <f>BN16*AS16</f>
        <v>0.00551</v>
      </c>
      <c r="BW16" s="76"/>
      <c r="BX16" s="76"/>
      <c r="BY16" s="76"/>
      <c r="BZ16" s="76"/>
      <c r="CA16" s="76"/>
      <c r="CB16" s="76"/>
      <c r="CC16" s="76"/>
      <c r="IR16" s="8">
        <f>AX16*0.016551724137931</f>
        <v>0</v>
      </c>
      <c r="IS16" s="8">
        <f>AX16*(1-0.016551724137931)</f>
        <v>0</v>
      </c>
    </row>
    <row r="17" spans="1:253" ht="12.75">
      <c r="A17" s="81"/>
      <c r="B17" s="82"/>
      <c r="C17" s="81"/>
      <c r="D17" s="82"/>
      <c r="E17" s="82"/>
      <c r="F17" s="82"/>
      <c r="G17" s="82"/>
      <c r="H17" s="82"/>
      <c r="I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1"/>
      <c r="AF17" s="82"/>
      <c r="AG17" s="81" t="s">
        <v>166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75">
        <v>21</v>
      </c>
      <c r="AT17" s="76"/>
      <c r="AU17" s="76"/>
      <c r="AV17" s="76"/>
      <c r="AW17" s="76"/>
      <c r="AX17" s="75"/>
      <c r="AY17" s="76"/>
      <c r="AZ17" s="76"/>
      <c r="BA17" s="76"/>
      <c r="BB17" s="76"/>
      <c r="BC17" s="76"/>
      <c r="BD17" s="76"/>
      <c r="BE17" s="76"/>
      <c r="BF17" s="82"/>
      <c r="BG17" s="82"/>
      <c r="BH17" s="82"/>
      <c r="BI17" s="82"/>
      <c r="BJ17" s="82"/>
      <c r="BK17" s="82"/>
      <c r="BL17" s="82"/>
      <c r="BM17" s="82"/>
      <c r="BN17" s="75"/>
      <c r="BO17" s="76"/>
      <c r="BP17" s="76"/>
      <c r="BQ17" s="76"/>
      <c r="BR17" s="76"/>
      <c r="BS17" s="76"/>
      <c r="BT17" s="76"/>
      <c r="BU17" s="76"/>
      <c r="BV17" s="82"/>
      <c r="BW17" s="82"/>
      <c r="BX17" s="82"/>
      <c r="BY17" s="82"/>
      <c r="BZ17" s="82"/>
      <c r="CA17" s="82"/>
      <c r="CB17" s="82"/>
      <c r="CC17" s="82"/>
      <c r="IR17" s="8">
        <f>AX17*0.016551724137931</f>
        <v>0</v>
      </c>
      <c r="IS17" s="8">
        <f>AX17*(1-0.016551724137931)</f>
        <v>0</v>
      </c>
    </row>
    <row r="18" spans="1:253" ht="12.75">
      <c r="A18" s="81" t="s">
        <v>11</v>
      </c>
      <c r="B18" s="82"/>
      <c r="C18" s="81" t="s">
        <v>51</v>
      </c>
      <c r="D18" s="82"/>
      <c r="E18" s="82"/>
      <c r="F18" s="82"/>
      <c r="G18" s="82"/>
      <c r="H18" s="82"/>
      <c r="I18" s="81" t="s">
        <v>102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1" t="s">
        <v>153</v>
      </c>
      <c r="AF18" s="82"/>
      <c r="AG18" s="81" t="s">
        <v>167</v>
      </c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75">
        <v>0.38611</v>
      </c>
      <c r="AT18" s="76"/>
      <c r="AU18" s="76"/>
      <c r="AV18" s="76"/>
      <c r="AW18" s="76"/>
      <c r="AX18" s="75">
        <v>0</v>
      </c>
      <c r="AY18" s="76"/>
      <c r="AZ18" s="76"/>
      <c r="BA18" s="76"/>
      <c r="BB18" s="76"/>
      <c r="BC18" s="76"/>
      <c r="BD18" s="76"/>
      <c r="BE18" s="76"/>
      <c r="BF18" s="75">
        <f>IR18*AS18+IS18*AS18</f>
        <v>0</v>
      </c>
      <c r="BG18" s="76"/>
      <c r="BH18" s="76"/>
      <c r="BI18" s="76"/>
      <c r="BJ18" s="76"/>
      <c r="BK18" s="76"/>
      <c r="BL18" s="76"/>
      <c r="BM18" s="76"/>
      <c r="BN18" s="75">
        <f>'Stavební rozpočet'!K17</f>
        <v>0.00231</v>
      </c>
      <c r="BO18" s="76"/>
      <c r="BP18" s="76"/>
      <c r="BQ18" s="76"/>
      <c r="BR18" s="76"/>
      <c r="BS18" s="76"/>
      <c r="BT18" s="76"/>
      <c r="BU18" s="76"/>
      <c r="BV18" s="75">
        <f>BN18*AS18</f>
        <v>0.0008919141</v>
      </c>
      <c r="BW18" s="76"/>
      <c r="BX18" s="76"/>
      <c r="BY18" s="76"/>
      <c r="BZ18" s="76"/>
      <c r="CA18" s="76"/>
      <c r="CB18" s="76"/>
      <c r="CC18" s="76"/>
      <c r="IR18" s="8">
        <f>AX18*0.255487583282859</f>
        <v>0</v>
      </c>
      <c r="IS18" s="8">
        <f>AX18*(1-0.255487583282859)</f>
        <v>0</v>
      </c>
    </row>
    <row r="19" spans="1:253" ht="12.75">
      <c r="A19" s="81" t="s">
        <v>12</v>
      </c>
      <c r="B19" s="82"/>
      <c r="C19" s="81" t="s">
        <v>52</v>
      </c>
      <c r="D19" s="82"/>
      <c r="E19" s="82"/>
      <c r="F19" s="82"/>
      <c r="G19" s="82"/>
      <c r="H19" s="82"/>
      <c r="I19" s="81" t="s">
        <v>103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1" t="s">
        <v>153</v>
      </c>
      <c r="AF19" s="82"/>
      <c r="AG19" s="81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75">
        <v>13.02738</v>
      </c>
      <c r="AT19" s="76"/>
      <c r="AU19" s="76"/>
      <c r="AV19" s="76"/>
      <c r="AW19" s="76"/>
      <c r="AX19" s="75">
        <v>0</v>
      </c>
      <c r="AY19" s="76"/>
      <c r="AZ19" s="76"/>
      <c r="BA19" s="76"/>
      <c r="BB19" s="76"/>
      <c r="BC19" s="76"/>
      <c r="BD19" s="76"/>
      <c r="BE19" s="76"/>
      <c r="BF19" s="75">
        <f>IR19*AS19+IS19*AS19</f>
        <v>0</v>
      </c>
      <c r="BG19" s="76"/>
      <c r="BH19" s="76"/>
      <c r="BI19" s="76"/>
      <c r="BJ19" s="76"/>
      <c r="BK19" s="76"/>
      <c r="BL19" s="76"/>
      <c r="BM19" s="76"/>
      <c r="BN19" s="75">
        <f>'Stavební rozpočet'!K18</f>
        <v>0</v>
      </c>
      <c r="BO19" s="76"/>
      <c r="BP19" s="76"/>
      <c r="BQ19" s="76"/>
      <c r="BR19" s="76"/>
      <c r="BS19" s="76"/>
      <c r="BT19" s="76"/>
      <c r="BU19" s="76"/>
      <c r="BV19" s="75">
        <f>BN19*AS19</f>
        <v>0</v>
      </c>
      <c r="BW19" s="76"/>
      <c r="BX19" s="76"/>
      <c r="BY19" s="76"/>
      <c r="BZ19" s="76"/>
      <c r="CA19" s="76"/>
      <c r="CB19" s="76"/>
      <c r="CC19" s="76"/>
      <c r="IR19" s="8">
        <f>AX19*0</f>
        <v>0</v>
      </c>
      <c r="IS19" s="8">
        <f>AX19*(1-0)</f>
        <v>0</v>
      </c>
    </row>
    <row r="20" spans="1:81" ht="12.75">
      <c r="A20" s="87" t="s">
        <v>6</v>
      </c>
      <c r="B20" s="88"/>
      <c r="C20" s="87" t="s">
        <v>44</v>
      </c>
      <c r="D20" s="88"/>
      <c r="E20" s="88"/>
      <c r="F20" s="88"/>
      <c r="G20" s="88"/>
      <c r="H20" s="88"/>
      <c r="I20" s="87" t="s">
        <v>104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7" t="s">
        <v>6</v>
      </c>
      <c r="AF20" s="88"/>
      <c r="AG20" s="87" t="s">
        <v>6</v>
      </c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3" t="s">
        <v>6</v>
      </c>
      <c r="AT20" s="84"/>
      <c r="AU20" s="84"/>
      <c r="AV20" s="84"/>
      <c r="AW20" s="84"/>
      <c r="AX20" s="83" t="s">
        <v>6</v>
      </c>
      <c r="AY20" s="84"/>
      <c r="AZ20" s="84"/>
      <c r="BA20" s="84"/>
      <c r="BB20" s="84"/>
      <c r="BC20" s="84"/>
      <c r="BD20" s="84"/>
      <c r="BE20" s="84"/>
      <c r="BF20" s="89">
        <f>SUM(BF21:BF36)</f>
        <v>0</v>
      </c>
      <c r="BG20" s="84"/>
      <c r="BH20" s="84"/>
      <c r="BI20" s="84"/>
      <c r="BJ20" s="84"/>
      <c r="BK20" s="84"/>
      <c r="BL20" s="84"/>
      <c r="BM20" s="84"/>
      <c r="BN20" s="83" t="s">
        <v>6</v>
      </c>
      <c r="BO20" s="84"/>
      <c r="BP20" s="84"/>
      <c r="BQ20" s="84"/>
      <c r="BR20" s="84"/>
      <c r="BS20" s="84"/>
      <c r="BT20" s="84"/>
      <c r="BU20" s="84"/>
      <c r="BV20" s="89">
        <f>SUM(BV21:BV36)</f>
        <v>1.410072</v>
      </c>
      <c r="BW20" s="84"/>
      <c r="BX20" s="84"/>
      <c r="BY20" s="84"/>
      <c r="BZ20" s="84"/>
      <c r="CA20" s="84"/>
      <c r="CB20" s="84"/>
      <c r="CC20" s="84"/>
    </row>
    <row r="21" spans="1:253" ht="12.75">
      <c r="A21" s="81" t="s">
        <v>13</v>
      </c>
      <c r="B21" s="82"/>
      <c r="C21" s="81" t="s">
        <v>53</v>
      </c>
      <c r="D21" s="82"/>
      <c r="E21" s="82"/>
      <c r="F21" s="82"/>
      <c r="G21" s="82"/>
      <c r="H21" s="82"/>
      <c r="I21" s="81" t="s">
        <v>105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1" t="s">
        <v>154</v>
      </c>
      <c r="AF21" s="82"/>
      <c r="AG21" s="81" t="s">
        <v>168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75">
        <v>151.3</v>
      </c>
      <c r="AT21" s="76"/>
      <c r="AU21" s="76"/>
      <c r="AV21" s="76"/>
      <c r="AW21" s="76"/>
      <c r="AX21" s="75">
        <v>0</v>
      </c>
      <c r="AY21" s="76"/>
      <c r="AZ21" s="76"/>
      <c r="BA21" s="76"/>
      <c r="BB21" s="76"/>
      <c r="BC21" s="76"/>
      <c r="BD21" s="76"/>
      <c r="BE21" s="76"/>
      <c r="BF21" s="75">
        <f>IR21*AS21+IS21*AS21</f>
        <v>0</v>
      </c>
      <c r="BG21" s="76"/>
      <c r="BH21" s="76"/>
      <c r="BI21" s="76"/>
      <c r="BJ21" s="76"/>
      <c r="BK21" s="76"/>
      <c r="BL21" s="76"/>
      <c r="BM21" s="76"/>
      <c r="BN21" s="75">
        <f>'Stavební rozpočet'!K20</f>
        <v>0.00869</v>
      </c>
      <c r="BO21" s="76"/>
      <c r="BP21" s="76"/>
      <c r="BQ21" s="76"/>
      <c r="BR21" s="76"/>
      <c r="BS21" s="76"/>
      <c r="BT21" s="76"/>
      <c r="BU21" s="76"/>
      <c r="BV21" s="75">
        <f>BN21*AS21</f>
        <v>1.314797</v>
      </c>
      <c r="BW21" s="76"/>
      <c r="BX21" s="76"/>
      <c r="BY21" s="76"/>
      <c r="BZ21" s="76"/>
      <c r="CA21" s="76"/>
      <c r="CB21" s="76"/>
      <c r="CC21" s="76"/>
      <c r="IR21" s="8">
        <f aca="true" t="shared" si="0" ref="IR21:IR27">AX21*0.227266055045872</f>
        <v>0</v>
      </c>
      <c r="IS21" s="8">
        <f aca="true" t="shared" si="1" ref="IS21:IS27">AX21*(1-0.227266055045872)</f>
        <v>0</v>
      </c>
    </row>
    <row r="22" spans="1:253" ht="12.75">
      <c r="A22" s="81"/>
      <c r="B22" s="82"/>
      <c r="C22" s="81"/>
      <c r="D22" s="82"/>
      <c r="E22" s="82"/>
      <c r="F22" s="82"/>
      <c r="G22" s="82"/>
      <c r="H22" s="82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1"/>
      <c r="AF22" s="82"/>
      <c r="AG22" s="81" t="s">
        <v>169</v>
      </c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75">
        <v>9</v>
      </c>
      <c r="AT22" s="76"/>
      <c r="AU22" s="76"/>
      <c r="AV22" s="76"/>
      <c r="AW22" s="76"/>
      <c r="AX22" s="75"/>
      <c r="AY22" s="76"/>
      <c r="AZ22" s="76"/>
      <c r="BA22" s="76"/>
      <c r="BB22" s="76"/>
      <c r="BC22" s="76"/>
      <c r="BD22" s="76"/>
      <c r="BE22" s="76"/>
      <c r="BF22" s="82"/>
      <c r="BG22" s="82"/>
      <c r="BH22" s="82"/>
      <c r="BI22" s="82"/>
      <c r="BJ22" s="82"/>
      <c r="BK22" s="82"/>
      <c r="BL22" s="82"/>
      <c r="BM22" s="82"/>
      <c r="BN22" s="75"/>
      <c r="BO22" s="76"/>
      <c r="BP22" s="76"/>
      <c r="BQ22" s="76"/>
      <c r="BR22" s="76"/>
      <c r="BS22" s="76"/>
      <c r="BT22" s="76"/>
      <c r="BU22" s="76"/>
      <c r="BV22" s="82"/>
      <c r="BW22" s="82"/>
      <c r="BX22" s="82"/>
      <c r="BY22" s="82"/>
      <c r="BZ22" s="82"/>
      <c r="CA22" s="82"/>
      <c r="CB22" s="82"/>
      <c r="CC22" s="82"/>
      <c r="IR22" s="8">
        <f t="shared" si="0"/>
        <v>0</v>
      </c>
      <c r="IS22" s="8">
        <f t="shared" si="1"/>
        <v>0</v>
      </c>
    </row>
    <row r="23" spans="1:253" ht="12.75">
      <c r="A23" s="81"/>
      <c r="B23" s="82"/>
      <c r="C23" s="81"/>
      <c r="D23" s="82"/>
      <c r="E23" s="82"/>
      <c r="F23" s="82"/>
      <c r="G23" s="82"/>
      <c r="H23" s="82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1"/>
      <c r="AF23" s="82"/>
      <c r="AG23" s="81" t="s">
        <v>170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75">
        <v>2.7</v>
      </c>
      <c r="AT23" s="76"/>
      <c r="AU23" s="76"/>
      <c r="AV23" s="76"/>
      <c r="AW23" s="76"/>
      <c r="AX23" s="75"/>
      <c r="AY23" s="76"/>
      <c r="AZ23" s="76"/>
      <c r="BA23" s="76"/>
      <c r="BB23" s="76"/>
      <c r="BC23" s="76"/>
      <c r="BD23" s="76"/>
      <c r="BE23" s="76"/>
      <c r="BF23" s="82"/>
      <c r="BG23" s="82"/>
      <c r="BH23" s="82"/>
      <c r="BI23" s="82"/>
      <c r="BJ23" s="82"/>
      <c r="BK23" s="82"/>
      <c r="BL23" s="82"/>
      <c r="BM23" s="82"/>
      <c r="BN23" s="75"/>
      <c r="BO23" s="76"/>
      <c r="BP23" s="76"/>
      <c r="BQ23" s="76"/>
      <c r="BR23" s="76"/>
      <c r="BS23" s="76"/>
      <c r="BT23" s="76"/>
      <c r="BU23" s="76"/>
      <c r="BV23" s="82"/>
      <c r="BW23" s="82"/>
      <c r="BX23" s="82"/>
      <c r="BY23" s="82"/>
      <c r="BZ23" s="82"/>
      <c r="CA23" s="82"/>
      <c r="CB23" s="82"/>
      <c r="CC23" s="82"/>
      <c r="IR23" s="8">
        <f t="shared" si="0"/>
        <v>0</v>
      </c>
      <c r="IS23" s="8">
        <f t="shared" si="1"/>
        <v>0</v>
      </c>
    </row>
    <row r="24" spans="1:253" ht="12.75">
      <c r="A24" s="81"/>
      <c r="B24" s="82"/>
      <c r="C24" s="81"/>
      <c r="D24" s="82"/>
      <c r="E24" s="82"/>
      <c r="F24" s="82"/>
      <c r="G24" s="82"/>
      <c r="H24" s="82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1"/>
      <c r="AF24" s="82"/>
      <c r="AG24" s="81" t="s">
        <v>171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75">
        <v>7.2</v>
      </c>
      <c r="AT24" s="76"/>
      <c r="AU24" s="76"/>
      <c r="AV24" s="76"/>
      <c r="AW24" s="76"/>
      <c r="AX24" s="75"/>
      <c r="AY24" s="76"/>
      <c r="AZ24" s="76"/>
      <c r="BA24" s="76"/>
      <c r="BB24" s="76"/>
      <c r="BC24" s="76"/>
      <c r="BD24" s="76"/>
      <c r="BE24" s="76"/>
      <c r="BF24" s="82"/>
      <c r="BG24" s="82"/>
      <c r="BH24" s="82"/>
      <c r="BI24" s="82"/>
      <c r="BJ24" s="82"/>
      <c r="BK24" s="82"/>
      <c r="BL24" s="82"/>
      <c r="BM24" s="82"/>
      <c r="BN24" s="75"/>
      <c r="BO24" s="76"/>
      <c r="BP24" s="76"/>
      <c r="BQ24" s="76"/>
      <c r="BR24" s="76"/>
      <c r="BS24" s="76"/>
      <c r="BT24" s="76"/>
      <c r="BU24" s="76"/>
      <c r="BV24" s="82"/>
      <c r="BW24" s="82"/>
      <c r="BX24" s="82"/>
      <c r="BY24" s="82"/>
      <c r="BZ24" s="82"/>
      <c r="CA24" s="82"/>
      <c r="CB24" s="82"/>
      <c r="CC24" s="82"/>
      <c r="IR24" s="8">
        <f t="shared" si="0"/>
        <v>0</v>
      </c>
      <c r="IS24" s="8">
        <f t="shared" si="1"/>
        <v>0</v>
      </c>
    </row>
    <row r="25" spans="1:253" ht="12.75">
      <c r="A25" s="81"/>
      <c r="B25" s="82"/>
      <c r="C25" s="81"/>
      <c r="D25" s="82"/>
      <c r="E25" s="82"/>
      <c r="F25" s="82"/>
      <c r="G25" s="82"/>
      <c r="H25" s="82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1"/>
      <c r="AF25" s="82"/>
      <c r="AG25" s="81" t="s">
        <v>172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75">
        <v>10.4</v>
      </c>
      <c r="AT25" s="76"/>
      <c r="AU25" s="76"/>
      <c r="AV25" s="76"/>
      <c r="AW25" s="76"/>
      <c r="AX25" s="75"/>
      <c r="AY25" s="76"/>
      <c r="AZ25" s="76"/>
      <c r="BA25" s="76"/>
      <c r="BB25" s="76"/>
      <c r="BC25" s="76"/>
      <c r="BD25" s="76"/>
      <c r="BE25" s="76"/>
      <c r="BF25" s="82"/>
      <c r="BG25" s="82"/>
      <c r="BH25" s="82"/>
      <c r="BI25" s="82"/>
      <c r="BJ25" s="82"/>
      <c r="BK25" s="82"/>
      <c r="BL25" s="82"/>
      <c r="BM25" s="82"/>
      <c r="BN25" s="75"/>
      <c r="BO25" s="76"/>
      <c r="BP25" s="76"/>
      <c r="BQ25" s="76"/>
      <c r="BR25" s="76"/>
      <c r="BS25" s="76"/>
      <c r="BT25" s="76"/>
      <c r="BU25" s="76"/>
      <c r="BV25" s="82"/>
      <c r="BW25" s="82"/>
      <c r="BX25" s="82"/>
      <c r="BY25" s="82"/>
      <c r="BZ25" s="82"/>
      <c r="CA25" s="82"/>
      <c r="CB25" s="82"/>
      <c r="CC25" s="82"/>
      <c r="IR25" s="8">
        <f t="shared" si="0"/>
        <v>0</v>
      </c>
      <c r="IS25" s="8">
        <f t="shared" si="1"/>
        <v>0</v>
      </c>
    </row>
    <row r="26" spans="1:253" ht="12.75">
      <c r="A26" s="81"/>
      <c r="B26" s="82"/>
      <c r="C26" s="81"/>
      <c r="D26" s="82"/>
      <c r="E26" s="82"/>
      <c r="F26" s="82"/>
      <c r="G26" s="82"/>
      <c r="H26" s="82"/>
      <c r="I26" s="81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1"/>
      <c r="AF26" s="82"/>
      <c r="AG26" s="81" t="s">
        <v>173</v>
      </c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75">
        <v>44</v>
      </c>
      <c r="AT26" s="76"/>
      <c r="AU26" s="76"/>
      <c r="AV26" s="76"/>
      <c r="AW26" s="76"/>
      <c r="AX26" s="75"/>
      <c r="AY26" s="76"/>
      <c r="AZ26" s="76"/>
      <c r="BA26" s="76"/>
      <c r="BB26" s="76"/>
      <c r="BC26" s="76"/>
      <c r="BD26" s="76"/>
      <c r="BE26" s="76"/>
      <c r="BF26" s="82"/>
      <c r="BG26" s="82"/>
      <c r="BH26" s="82"/>
      <c r="BI26" s="82"/>
      <c r="BJ26" s="82"/>
      <c r="BK26" s="82"/>
      <c r="BL26" s="82"/>
      <c r="BM26" s="82"/>
      <c r="BN26" s="75"/>
      <c r="BO26" s="76"/>
      <c r="BP26" s="76"/>
      <c r="BQ26" s="76"/>
      <c r="BR26" s="76"/>
      <c r="BS26" s="76"/>
      <c r="BT26" s="76"/>
      <c r="BU26" s="76"/>
      <c r="BV26" s="82"/>
      <c r="BW26" s="82"/>
      <c r="BX26" s="82"/>
      <c r="BY26" s="82"/>
      <c r="BZ26" s="82"/>
      <c r="CA26" s="82"/>
      <c r="CB26" s="82"/>
      <c r="CC26" s="82"/>
      <c r="IR26" s="8">
        <f t="shared" si="0"/>
        <v>0</v>
      </c>
      <c r="IS26" s="8">
        <f t="shared" si="1"/>
        <v>0</v>
      </c>
    </row>
    <row r="27" spans="1:253" ht="12.75">
      <c r="A27" s="81"/>
      <c r="B27" s="82"/>
      <c r="C27" s="81"/>
      <c r="D27" s="82"/>
      <c r="E27" s="82"/>
      <c r="F27" s="82"/>
      <c r="G27" s="82"/>
      <c r="H27" s="82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1"/>
      <c r="AF27" s="82"/>
      <c r="AG27" s="81" t="s">
        <v>39</v>
      </c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75">
        <v>33</v>
      </c>
      <c r="AT27" s="76"/>
      <c r="AU27" s="76"/>
      <c r="AV27" s="76"/>
      <c r="AW27" s="76"/>
      <c r="AX27" s="75"/>
      <c r="AY27" s="76"/>
      <c r="AZ27" s="76"/>
      <c r="BA27" s="76"/>
      <c r="BB27" s="76"/>
      <c r="BC27" s="76"/>
      <c r="BD27" s="76"/>
      <c r="BE27" s="76"/>
      <c r="BF27" s="82"/>
      <c r="BG27" s="82"/>
      <c r="BH27" s="82"/>
      <c r="BI27" s="82"/>
      <c r="BJ27" s="82"/>
      <c r="BK27" s="82"/>
      <c r="BL27" s="82"/>
      <c r="BM27" s="82"/>
      <c r="BN27" s="75"/>
      <c r="BO27" s="76"/>
      <c r="BP27" s="76"/>
      <c r="BQ27" s="76"/>
      <c r="BR27" s="76"/>
      <c r="BS27" s="76"/>
      <c r="BT27" s="76"/>
      <c r="BU27" s="76"/>
      <c r="BV27" s="82"/>
      <c r="BW27" s="82"/>
      <c r="BX27" s="82"/>
      <c r="BY27" s="82"/>
      <c r="BZ27" s="82"/>
      <c r="CA27" s="82"/>
      <c r="CB27" s="82"/>
      <c r="CC27" s="82"/>
      <c r="IR27" s="8">
        <f t="shared" si="0"/>
        <v>0</v>
      </c>
      <c r="IS27" s="8">
        <f t="shared" si="1"/>
        <v>0</v>
      </c>
    </row>
    <row r="28" spans="1:253" ht="12.75">
      <c r="A28" s="81" t="s">
        <v>14</v>
      </c>
      <c r="B28" s="82"/>
      <c r="C28" s="81" t="s">
        <v>54</v>
      </c>
      <c r="D28" s="82"/>
      <c r="E28" s="82"/>
      <c r="F28" s="82"/>
      <c r="G28" s="82"/>
      <c r="H28" s="82"/>
      <c r="I28" s="81" t="s">
        <v>106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1" t="s">
        <v>154</v>
      </c>
      <c r="AF28" s="82"/>
      <c r="AG28" s="81" t="s">
        <v>174</v>
      </c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75">
        <v>151.3</v>
      </c>
      <c r="AT28" s="76"/>
      <c r="AU28" s="76"/>
      <c r="AV28" s="76"/>
      <c r="AW28" s="76"/>
      <c r="AX28" s="75">
        <v>0</v>
      </c>
      <c r="AY28" s="76"/>
      <c r="AZ28" s="76"/>
      <c r="BA28" s="76"/>
      <c r="BB28" s="76"/>
      <c r="BC28" s="76"/>
      <c r="BD28" s="76"/>
      <c r="BE28" s="76"/>
      <c r="BF28" s="75">
        <f>IR28*AS28+IS28*AS28</f>
        <v>0</v>
      </c>
      <c r="BG28" s="76"/>
      <c r="BH28" s="76"/>
      <c r="BI28" s="76"/>
      <c r="BJ28" s="76"/>
      <c r="BK28" s="76"/>
      <c r="BL28" s="76"/>
      <c r="BM28" s="76"/>
      <c r="BN28" s="75">
        <f>'Stavební rozpočet'!K22</f>
        <v>0.00056</v>
      </c>
      <c r="BO28" s="76"/>
      <c r="BP28" s="76"/>
      <c r="BQ28" s="76"/>
      <c r="BR28" s="76"/>
      <c r="BS28" s="76"/>
      <c r="BT28" s="76"/>
      <c r="BU28" s="76"/>
      <c r="BV28" s="75">
        <f>BN28*AS28</f>
        <v>0.084728</v>
      </c>
      <c r="BW28" s="76"/>
      <c r="BX28" s="76"/>
      <c r="BY28" s="76"/>
      <c r="BZ28" s="76"/>
      <c r="CA28" s="76"/>
      <c r="CB28" s="76"/>
      <c r="CC28" s="76"/>
      <c r="IR28" s="8">
        <f>AX28*0.101913241144156</f>
        <v>0</v>
      </c>
      <c r="IS28" s="8">
        <f>AX28*(1-0.101913241144156)</f>
        <v>0</v>
      </c>
    </row>
    <row r="29" spans="1:253" ht="12.75">
      <c r="A29" s="81" t="s">
        <v>15</v>
      </c>
      <c r="B29" s="82"/>
      <c r="C29" s="81" t="s">
        <v>55</v>
      </c>
      <c r="D29" s="82"/>
      <c r="E29" s="82"/>
      <c r="F29" s="82"/>
      <c r="G29" s="82"/>
      <c r="H29" s="82"/>
      <c r="I29" s="81" t="s">
        <v>107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1" t="s">
        <v>154</v>
      </c>
      <c r="AF29" s="82"/>
      <c r="AG29" s="81" t="s">
        <v>175</v>
      </c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75">
        <v>19.9</v>
      </c>
      <c r="AT29" s="76"/>
      <c r="AU29" s="76"/>
      <c r="AV29" s="76"/>
      <c r="AW29" s="76"/>
      <c r="AX29" s="75">
        <v>0</v>
      </c>
      <c r="AY29" s="76"/>
      <c r="AZ29" s="76"/>
      <c r="BA29" s="76"/>
      <c r="BB29" s="76"/>
      <c r="BC29" s="76"/>
      <c r="BD29" s="76"/>
      <c r="BE29" s="76"/>
      <c r="BF29" s="75">
        <f>IR29*AS29+IS29*AS29</f>
        <v>0</v>
      </c>
      <c r="BG29" s="76"/>
      <c r="BH29" s="76"/>
      <c r="BI29" s="76"/>
      <c r="BJ29" s="76"/>
      <c r="BK29" s="76"/>
      <c r="BL29" s="76"/>
      <c r="BM29" s="76"/>
      <c r="BN29" s="75">
        <f>'Stavební rozpočet'!K23</f>
        <v>0.00053</v>
      </c>
      <c r="BO29" s="76"/>
      <c r="BP29" s="76"/>
      <c r="BQ29" s="76"/>
      <c r="BR29" s="76"/>
      <c r="BS29" s="76"/>
      <c r="BT29" s="76"/>
      <c r="BU29" s="76"/>
      <c r="BV29" s="75">
        <f>BN29*AS29</f>
        <v>0.010546999999999999</v>
      </c>
      <c r="BW29" s="76"/>
      <c r="BX29" s="76"/>
      <c r="BY29" s="76"/>
      <c r="BZ29" s="76"/>
      <c r="CA29" s="76"/>
      <c r="CB29" s="76"/>
      <c r="CC29" s="76"/>
      <c r="IR29" s="8">
        <f aca="true" t="shared" si="2" ref="IR29:IR36">AX29*0.4138</f>
        <v>0</v>
      </c>
      <c r="IS29" s="8">
        <f aca="true" t="shared" si="3" ref="IS29:IS36">AX29*(1-0.4138)</f>
        <v>0</v>
      </c>
    </row>
    <row r="30" spans="1:253" ht="12.75">
      <c r="A30" s="81"/>
      <c r="B30" s="82"/>
      <c r="C30" s="81"/>
      <c r="D30" s="82"/>
      <c r="E30" s="82"/>
      <c r="F30" s="82"/>
      <c r="G30" s="82"/>
      <c r="H30" s="82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1"/>
      <c r="AF30" s="82"/>
      <c r="AG30" s="81" t="s">
        <v>176</v>
      </c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75">
        <v>3.6</v>
      </c>
      <c r="AT30" s="76"/>
      <c r="AU30" s="76"/>
      <c r="AV30" s="76"/>
      <c r="AW30" s="76"/>
      <c r="AX30" s="75"/>
      <c r="AY30" s="76"/>
      <c r="AZ30" s="76"/>
      <c r="BA30" s="76"/>
      <c r="BB30" s="76"/>
      <c r="BC30" s="76"/>
      <c r="BD30" s="76"/>
      <c r="BE30" s="76"/>
      <c r="BF30" s="82"/>
      <c r="BG30" s="82"/>
      <c r="BH30" s="82"/>
      <c r="BI30" s="82"/>
      <c r="BJ30" s="82"/>
      <c r="BK30" s="82"/>
      <c r="BL30" s="82"/>
      <c r="BM30" s="82"/>
      <c r="BN30" s="75"/>
      <c r="BO30" s="76"/>
      <c r="BP30" s="76"/>
      <c r="BQ30" s="76"/>
      <c r="BR30" s="76"/>
      <c r="BS30" s="76"/>
      <c r="BT30" s="76"/>
      <c r="BU30" s="76"/>
      <c r="BV30" s="82"/>
      <c r="BW30" s="82"/>
      <c r="BX30" s="82"/>
      <c r="BY30" s="82"/>
      <c r="BZ30" s="82"/>
      <c r="CA30" s="82"/>
      <c r="CB30" s="82"/>
      <c r="CC30" s="82"/>
      <c r="IR30" s="8">
        <f t="shared" si="2"/>
        <v>0</v>
      </c>
      <c r="IS30" s="8">
        <f t="shared" si="3"/>
        <v>0</v>
      </c>
    </row>
    <row r="31" spans="1:253" ht="12.75">
      <c r="A31" s="81"/>
      <c r="B31" s="82"/>
      <c r="C31" s="81"/>
      <c r="D31" s="82"/>
      <c r="E31" s="82"/>
      <c r="F31" s="82"/>
      <c r="G31" s="82"/>
      <c r="H31" s="82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1"/>
      <c r="AF31" s="82"/>
      <c r="AG31" s="81" t="s">
        <v>177</v>
      </c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75">
        <v>1.2</v>
      </c>
      <c r="AT31" s="76"/>
      <c r="AU31" s="76"/>
      <c r="AV31" s="76"/>
      <c r="AW31" s="76"/>
      <c r="AX31" s="75"/>
      <c r="AY31" s="76"/>
      <c r="AZ31" s="76"/>
      <c r="BA31" s="76"/>
      <c r="BB31" s="76"/>
      <c r="BC31" s="76"/>
      <c r="BD31" s="76"/>
      <c r="BE31" s="76"/>
      <c r="BF31" s="82"/>
      <c r="BG31" s="82"/>
      <c r="BH31" s="82"/>
      <c r="BI31" s="82"/>
      <c r="BJ31" s="82"/>
      <c r="BK31" s="82"/>
      <c r="BL31" s="82"/>
      <c r="BM31" s="82"/>
      <c r="BN31" s="75"/>
      <c r="BO31" s="76"/>
      <c r="BP31" s="76"/>
      <c r="BQ31" s="76"/>
      <c r="BR31" s="76"/>
      <c r="BS31" s="76"/>
      <c r="BT31" s="76"/>
      <c r="BU31" s="76"/>
      <c r="BV31" s="82"/>
      <c r="BW31" s="82"/>
      <c r="BX31" s="82"/>
      <c r="BY31" s="82"/>
      <c r="BZ31" s="82"/>
      <c r="CA31" s="82"/>
      <c r="CB31" s="82"/>
      <c r="CC31" s="82"/>
      <c r="IR31" s="8">
        <f t="shared" si="2"/>
        <v>0</v>
      </c>
      <c r="IS31" s="8">
        <f t="shared" si="3"/>
        <v>0</v>
      </c>
    </row>
    <row r="32" spans="1:253" ht="12.75">
      <c r="A32" s="81"/>
      <c r="B32" s="82"/>
      <c r="C32" s="81"/>
      <c r="D32" s="82"/>
      <c r="E32" s="82"/>
      <c r="F32" s="82"/>
      <c r="G32" s="82"/>
      <c r="H32" s="82"/>
      <c r="I32" s="81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1"/>
      <c r="AF32" s="82"/>
      <c r="AG32" s="81" t="s">
        <v>178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75">
        <v>0.5</v>
      </c>
      <c r="AT32" s="76"/>
      <c r="AU32" s="76"/>
      <c r="AV32" s="76"/>
      <c r="AW32" s="76"/>
      <c r="AX32" s="75"/>
      <c r="AY32" s="76"/>
      <c r="AZ32" s="76"/>
      <c r="BA32" s="76"/>
      <c r="BB32" s="76"/>
      <c r="BC32" s="76"/>
      <c r="BD32" s="76"/>
      <c r="BE32" s="76"/>
      <c r="BF32" s="82"/>
      <c r="BG32" s="82"/>
      <c r="BH32" s="82"/>
      <c r="BI32" s="82"/>
      <c r="BJ32" s="82"/>
      <c r="BK32" s="82"/>
      <c r="BL32" s="82"/>
      <c r="BM32" s="82"/>
      <c r="BN32" s="75"/>
      <c r="BO32" s="76"/>
      <c r="BP32" s="76"/>
      <c r="BQ32" s="76"/>
      <c r="BR32" s="76"/>
      <c r="BS32" s="76"/>
      <c r="BT32" s="76"/>
      <c r="BU32" s="76"/>
      <c r="BV32" s="82"/>
      <c r="BW32" s="82"/>
      <c r="BX32" s="82"/>
      <c r="BY32" s="82"/>
      <c r="BZ32" s="82"/>
      <c r="CA32" s="82"/>
      <c r="CB32" s="82"/>
      <c r="CC32" s="82"/>
      <c r="IR32" s="8">
        <f t="shared" si="2"/>
        <v>0</v>
      </c>
      <c r="IS32" s="8">
        <f t="shared" si="3"/>
        <v>0</v>
      </c>
    </row>
    <row r="33" spans="1:253" ht="12.75">
      <c r="A33" s="81"/>
      <c r="B33" s="82"/>
      <c r="C33" s="81"/>
      <c r="D33" s="82"/>
      <c r="E33" s="82"/>
      <c r="F33" s="82"/>
      <c r="G33" s="82"/>
      <c r="H33" s="82"/>
      <c r="I33" s="81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1"/>
      <c r="AF33" s="82"/>
      <c r="AG33" s="81" t="s">
        <v>179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75">
        <v>1.5</v>
      </c>
      <c r="AT33" s="76"/>
      <c r="AU33" s="76"/>
      <c r="AV33" s="76"/>
      <c r="AW33" s="76"/>
      <c r="AX33" s="75"/>
      <c r="AY33" s="76"/>
      <c r="AZ33" s="76"/>
      <c r="BA33" s="76"/>
      <c r="BB33" s="76"/>
      <c r="BC33" s="76"/>
      <c r="BD33" s="76"/>
      <c r="BE33" s="76"/>
      <c r="BF33" s="82"/>
      <c r="BG33" s="82"/>
      <c r="BH33" s="82"/>
      <c r="BI33" s="82"/>
      <c r="BJ33" s="82"/>
      <c r="BK33" s="82"/>
      <c r="BL33" s="82"/>
      <c r="BM33" s="82"/>
      <c r="BN33" s="75"/>
      <c r="BO33" s="76"/>
      <c r="BP33" s="76"/>
      <c r="BQ33" s="76"/>
      <c r="BR33" s="76"/>
      <c r="BS33" s="76"/>
      <c r="BT33" s="76"/>
      <c r="BU33" s="76"/>
      <c r="BV33" s="82"/>
      <c r="BW33" s="82"/>
      <c r="BX33" s="82"/>
      <c r="BY33" s="82"/>
      <c r="BZ33" s="82"/>
      <c r="CA33" s="82"/>
      <c r="CB33" s="82"/>
      <c r="CC33" s="82"/>
      <c r="IR33" s="8">
        <f t="shared" si="2"/>
        <v>0</v>
      </c>
      <c r="IS33" s="8">
        <f t="shared" si="3"/>
        <v>0</v>
      </c>
    </row>
    <row r="34" spans="1:253" ht="12.75">
      <c r="A34" s="81"/>
      <c r="B34" s="82"/>
      <c r="C34" s="81"/>
      <c r="D34" s="82"/>
      <c r="E34" s="82"/>
      <c r="F34" s="82"/>
      <c r="G34" s="82"/>
      <c r="H34" s="82"/>
      <c r="I34" s="81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1"/>
      <c r="AF34" s="82"/>
      <c r="AG34" s="81" t="s">
        <v>180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75">
        <v>3</v>
      </c>
      <c r="AT34" s="76"/>
      <c r="AU34" s="76"/>
      <c r="AV34" s="76"/>
      <c r="AW34" s="76"/>
      <c r="AX34" s="75"/>
      <c r="AY34" s="76"/>
      <c r="AZ34" s="76"/>
      <c r="BA34" s="76"/>
      <c r="BB34" s="76"/>
      <c r="BC34" s="76"/>
      <c r="BD34" s="76"/>
      <c r="BE34" s="76"/>
      <c r="BF34" s="82"/>
      <c r="BG34" s="82"/>
      <c r="BH34" s="82"/>
      <c r="BI34" s="82"/>
      <c r="BJ34" s="82"/>
      <c r="BK34" s="82"/>
      <c r="BL34" s="82"/>
      <c r="BM34" s="82"/>
      <c r="BN34" s="75"/>
      <c r="BO34" s="76"/>
      <c r="BP34" s="76"/>
      <c r="BQ34" s="76"/>
      <c r="BR34" s="76"/>
      <c r="BS34" s="76"/>
      <c r="BT34" s="76"/>
      <c r="BU34" s="76"/>
      <c r="BV34" s="82"/>
      <c r="BW34" s="82"/>
      <c r="BX34" s="82"/>
      <c r="BY34" s="82"/>
      <c r="BZ34" s="82"/>
      <c r="CA34" s="82"/>
      <c r="CB34" s="82"/>
      <c r="CC34" s="82"/>
      <c r="IR34" s="8">
        <f t="shared" si="2"/>
        <v>0</v>
      </c>
      <c r="IS34" s="8">
        <f t="shared" si="3"/>
        <v>0</v>
      </c>
    </row>
    <row r="35" spans="1:253" ht="12.75">
      <c r="A35" s="81"/>
      <c r="B35" s="82"/>
      <c r="C35" s="81"/>
      <c r="D35" s="82"/>
      <c r="E35" s="82"/>
      <c r="F35" s="82"/>
      <c r="G35" s="82"/>
      <c r="H35" s="82"/>
      <c r="I35" s="81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1"/>
      <c r="AF35" s="82"/>
      <c r="AG35" s="81" t="s">
        <v>180</v>
      </c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75">
        <v>3</v>
      </c>
      <c r="AT35" s="76"/>
      <c r="AU35" s="76"/>
      <c r="AV35" s="76"/>
      <c r="AW35" s="76"/>
      <c r="AX35" s="75"/>
      <c r="AY35" s="76"/>
      <c r="AZ35" s="76"/>
      <c r="BA35" s="76"/>
      <c r="BB35" s="76"/>
      <c r="BC35" s="76"/>
      <c r="BD35" s="76"/>
      <c r="BE35" s="76"/>
      <c r="BF35" s="82"/>
      <c r="BG35" s="82"/>
      <c r="BH35" s="82"/>
      <c r="BI35" s="82"/>
      <c r="BJ35" s="82"/>
      <c r="BK35" s="82"/>
      <c r="BL35" s="82"/>
      <c r="BM35" s="82"/>
      <c r="BN35" s="75"/>
      <c r="BO35" s="76"/>
      <c r="BP35" s="76"/>
      <c r="BQ35" s="76"/>
      <c r="BR35" s="76"/>
      <c r="BS35" s="76"/>
      <c r="BT35" s="76"/>
      <c r="BU35" s="76"/>
      <c r="BV35" s="82"/>
      <c r="BW35" s="82"/>
      <c r="BX35" s="82"/>
      <c r="BY35" s="82"/>
      <c r="BZ35" s="82"/>
      <c r="CA35" s="82"/>
      <c r="CB35" s="82"/>
      <c r="CC35" s="82"/>
      <c r="IR35" s="8">
        <f t="shared" si="2"/>
        <v>0</v>
      </c>
      <c r="IS35" s="8">
        <f t="shared" si="3"/>
        <v>0</v>
      </c>
    </row>
    <row r="36" spans="1:253" ht="12.75">
      <c r="A36" s="81"/>
      <c r="B36" s="82"/>
      <c r="C36" s="81"/>
      <c r="D36" s="82"/>
      <c r="E36" s="82"/>
      <c r="F36" s="82"/>
      <c r="G36" s="82"/>
      <c r="H36" s="82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1"/>
      <c r="AF36" s="82"/>
      <c r="AG36" s="81" t="s">
        <v>181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75">
        <v>4.8</v>
      </c>
      <c r="AT36" s="76"/>
      <c r="AU36" s="76"/>
      <c r="AV36" s="76"/>
      <c r="AW36" s="76"/>
      <c r="AX36" s="75"/>
      <c r="AY36" s="76"/>
      <c r="AZ36" s="76"/>
      <c r="BA36" s="76"/>
      <c r="BB36" s="76"/>
      <c r="BC36" s="76"/>
      <c r="BD36" s="76"/>
      <c r="BE36" s="76"/>
      <c r="BF36" s="82"/>
      <c r="BG36" s="82"/>
      <c r="BH36" s="82"/>
      <c r="BI36" s="82"/>
      <c r="BJ36" s="82"/>
      <c r="BK36" s="82"/>
      <c r="BL36" s="82"/>
      <c r="BM36" s="82"/>
      <c r="BN36" s="75"/>
      <c r="BO36" s="76"/>
      <c r="BP36" s="76"/>
      <c r="BQ36" s="76"/>
      <c r="BR36" s="76"/>
      <c r="BS36" s="76"/>
      <c r="BT36" s="76"/>
      <c r="BU36" s="76"/>
      <c r="BV36" s="82"/>
      <c r="BW36" s="82"/>
      <c r="BX36" s="82"/>
      <c r="BY36" s="82"/>
      <c r="BZ36" s="82"/>
      <c r="CA36" s="82"/>
      <c r="CB36" s="82"/>
      <c r="CC36" s="82"/>
      <c r="IR36" s="8">
        <f t="shared" si="2"/>
        <v>0</v>
      </c>
      <c r="IS36" s="8">
        <f t="shared" si="3"/>
        <v>0</v>
      </c>
    </row>
    <row r="37" spans="1:81" ht="12.75">
      <c r="A37" s="87" t="s">
        <v>6</v>
      </c>
      <c r="B37" s="88"/>
      <c r="C37" s="87" t="s">
        <v>56</v>
      </c>
      <c r="D37" s="88"/>
      <c r="E37" s="88"/>
      <c r="F37" s="88"/>
      <c r="G37" s="88"/>
      <c r="H37" s="88"/>
      <c r="I37" s="87" t="s">
        <v>108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7" t="s">
        <v>6</v>
      </c>
      <c r="AF37" s="88"/>
      <c r="AG37" s="87" t="s">
        <v>6</v>
      </c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3" t="s">
        <v>6</v>
      </c>
      <c r="AT37" s="84"/>
      <c r="AU37" s="84"/>
      <c r="AV37" s="84"/>
      <c r="AW37" s="84"/>
      <c r="AX37" s="83" t="s">
        <v>6</v>
      </c>
      <c r="AY37" s="84"/>
      <c r="AZ37" s="84"/>
      <c r="BA37" s="84"/>
      <c r="BB37" s="84"/>
      <c r="BC37" s="84"/>
      <c r="BD37" s="84"/>
      <c r="BE37" s="84"/>
      <c r="BF37" s="89">
        <f>SUM(BF38:BF41)</f>
        <v>0</v>
      </c>
      <c r="BG37" s="84"/>
      <c r="BH37" s="84"/>
      <c r="BI37" s="84"/>
      <c r="BJ37" s="84"/>
      <c r="BK37" s="84"/>
      <c r="BL37" s="84"/>
      <c r="BM37" s="84"/>
      <c r="BN37" s="83" t="s">
        <v>6</v>
      </c>
      <c r="BO37" s="84"/>
      <c r="BP37" s="84"/>
      <c r="BQ37" s="84"/>
      <c r="BR37" s="84"/>
      <c r="BS37" s="84"/>
      <c r="BT37" s="84"/>
      <c r="BU37" s="84"/>
      <c r="BV37" s="89">
        <f>SUM(BV38:BV41)</f>
        <v>6.893000000000001</v>
      </c>
      <c r="BW37" s="84"/>
      <c r="BX37" s="84"/>
      <c r="BY37" s="84"/>
      <c r="BZ37" s="84"/>
      <c r="CA37" s="84"/>
      <c r="CB37" s="84"/>
      <c r="CC37" s="84"/>
    </row>
    <row r="38" spans="1:253" ht="12.75">
      <c r="A38" s="81" t="s">
        <v>16</v>
      </c>
      <c r="B38" s="82"/>
      <c r="C38" s="81" t="s">
        <v>57</v>
      </c>
      <c r="D38" s="82"/>
      <c r="E38" s="82"/>
      <c r="F38" s="82"/>
      <c r="G38" s="82"/>
      <c r="H38" s="82"/>
      <c r="I38" s="81" t="s">
        <v>109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1" t="s">
        <v>156</v>
      </c>
      <c r="AF38" s="82"/>
      <c r="AG38" s="81" t="s">
        <v>182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75">
        <v>11.3</v>
      </c>
      <c r="AT38" s="76"/>
      <c r="AU38" s="76"/>
      <c r="AV38" s="76"/>
      <c r="AW38" s="76"/>
      <c r="AX38" s="75">
        <v>0</v>
      </c>
      <c r="AY38" s="76"/>
      <c r="AZ38" s="76"/>
      <c r="BA38" s="76"/>
      <c r="BB38" s="76"/>
      <c r="BC38" s="76"/>
      <c r="BD38" s="76"/>
      <c r="BE38" s="76"/>
      <c r="BF38" s="75">
        <f>IR38*AS38+IS38*AS38</f>
        <v>0</v>
      </c>
      <c r="BG38" s="76"/>
      <c r="BH38" s="76"/>
      <c r="BI38" s="76"/>
      <c r="BJ38" s="76"/>
      <c r="BK38" s="76"/>
      <c r="BL38" s="76"/>
      <c r="BM38" s="76"/>
      <c r="BN38" s="75">
        <f>'Stavební rozpočet'!K25</f>
        <v>0.358</v>
      </c>
      <c r="BO38" s="76"/>
      <c r="BP38" s="76"/>
      <c r="BQ38" s="76"/>
      <c r="BR38" s="76"/>
      <c r="BS38" s="76"/>
      <c r="BT38" s="76"/>
      <c r="BU38" s="76"/>
      <c r="BV38" s="75">
        <f>BN38*AS38</f>
        <v>4.0454</v>
      </c>
      <c r="BW38" s="76"/>
      <c r="BX38" s="76"/>
      <c r="BY38" s="76"/>
      <c r="BZ38" s="76"/>
      <c r="CA38" s="76"/>
      <c r="CB38" s="76"/>
      <c r="CC38" s="76"/>
      <c r="IR38" s="8">
        <f>AX38*0</f>
        <v>0</v>
      </c>
      <c r="IS38" s="8">
        <f>AX38*(1-0)</f>
        <v>0</v>
      </c>
    </row>
    <row r="39" spans="1:253" ht="12.75">
      <c r="A39" s="81" t="s">
        <v>17</v>
      </c>
      <c r="B39" s="82"/>
      <c r="C39" s="81" t="s">
        <v>58</v>
      </c>
      <c r="D39" s="82"/>
      <c r="E39" s="82"/>
      <c r="F39" s="82"/>
      <c r="G39" s="82"/>
      <c r="H39" s="82"/>
      <c r="I39" s="81" t="s">
        <v>110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1" t="s">
        <v>156</v>
      </c>
      <c r="AF39" s="82"/>
      <c r="AG39" s="81" t="s">
        <v>182</v>
      </c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75">
        <v>11.3</v>
      </c>
      <c r="AT39" s="76"/>
      <c r="AU39" s="76"/>
      <c r="AV39" s="76"/>
      <c r="AW39" s="76"/>
      <c r="AX39" s="75">
        <v>0</v>
      </c>
      <c r="AY39" s="76"/>
      <c r="AZ39" s="76"/>
      <c r="BA39" s="76"/>
      <c r="BB39" s="76"/>
      <c r="BC39" s="76"/>
      <c r="BD39" s="76"/>
      <c r="BE39" s="76"/>
      <c r="BF39" s="75">
        <f>IR39*AS39+IS39*AS39</f>
        <v>0</v>
      </c>
      <c r="BG39" s="76"/>
      <c r="BH39" s="76"/>
      <c r="BI39" s="76"/>
      <c r="BJ39" s="76"/>
      <c r="BK39" s="76"/>
      <c r="BL39" s="76"/>
      <c r="BM39" s="76"/>
      <c r="BN39" s="75">
        <f>'Stavební rozpočet'!K26</f>
        <v>0.072</v>
      </c>
      <c r="BO39" s="76"/>
      <c r="BP39" s="76"/>
      <c r="BQ39" s="76"/>
      <c r="BR39" s="76"/>
      <c r="BS39" s="76"/>
      <c r="BT39" s="76"/>
      <c r="BU39" s="76"/>
      <c r="BV39" s="75">
        <f>BN39*AS39</f>
        <v>0.8136</v>
      </c>
      <c r="BW39" s="76"/>
      <c r="BX39" s="76"/>
      <c r="BY39" s="76"/>
      <c r="BZ39" s="76"/>
      <c r="CA39" s="76"/>
      <c r="CB39" s="76"/>
      <c r="CC39" s="76"/>
      <c r="IR39" s="8">
        <f>AX39*0.134459833795014</f>
        <v>0</v>
      </c>
      <c r="IS39" s="8">
        <f>AX39*(1-0.134459833795014)</f>
        <v>0</v>
      </c>
    </row>
    <row r="40" spans="1:253" ht="12.75">
      <c r="A40" s="81" t="s">
        <v>18</v>
      </c>
      <c r="B40" s="82"/>
      <c r="C40" s="81" t="s">
        <v>59</v>
      </c>
      <c r="D40" s="82"/>
      <c r="E40" s="82"/>
      <c r="F40" s="82"/>
      <c r="G40" s="82"/>
      <c r="H40" s="82"/>
      <c r="I40" s="81" t="s">
        <v>111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1" t="s">
        <v>156</v>
      </c>
      <c r="AF40" s="82"/>
      <c r="AG40" s="81" t="s">
        <v>183</v>
      </c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75">
        <v>11.3</v>
      </c>
      <c r="AT40" s="76"/>
      <c r="AU40" s="76"/>
      <c r="AV40" s="76"/>
      <c r="AW40" s="76"/>
      <c r="AX40" s="75">
        <v>0</v>
      </c>
      <c r="AY40" s="76"/>
      <c r="AZ40" s="76"/>
      <c r="BA40" s="76"/>
      <c r="BB40" s="76"/>
      <c r="BC40" s="76"/>
      <c r="BD40" s="76"/>
      <c r="BE40" s="76"/>
      <c r="BF40" s="75">
        <f>IR40*AS40+IS40*AS40</f>
        <v>0</v>
      </c>
      <c r="BG40" s="76"/>
      <c r="BH40" s="76"/>
      <c r="BI40" s="76"/>
      <c r="BJ40" s="76"/>
      <c r="BK40" s="76"/>
      <c r="BL40" s="76"/>
      <c r="BM40" s="76"/>
      <c r="BN40" s="75">
        <f>'Stavební rozpočet'!K27</f>
        <v>0.18</v>
      </c>
      <c r="BO40" s="76"/>
      <c r="BP40" s="76"/>
      <c r="BQ40" s="76"/>
      <c r="BR40" s="76"/>
      <c r="BS40" s="76"/>
      <c r="BT40" s="76"/>
      <c r="BU40" s="76"/>
      <c r="BV40" s="75">
        <f>BN40*AS40</f>
        <v>2.0340000000000003</v>
      </c>
      <c r="BW40" s="76"/>
      <c r="BX40" s="76"/>
      <c r="BY40" s="76"/>
      <c r="BZ40" s="76"/>
      <c r="CA40" s="76"/>
      <c r="CB40" s="76"/>
      <c r="CC40" s="76"/>
      <c r="IR40" s="8">
        <f>AX40*0.551973733303485</f>
        <v>0</v>
      </c>
      <c r="IS40" s="8">
        <f>AX40*(1-0.551973733303485)</f>
        <v>0</v>
      </c>
    </row>
    <row r="41" spans="1:253" ht="12.75">
      <c r="A41" s="81"/>
      <c r="B41" s="82"/>
      <c r="C41" s="81"/>
      <c r="D41" s="82"/>
      <c r="E41" s="82"/>
      <c r="F41" s="82"/>
      <c r="G41" s="82"/>
      <c r="H41" s="82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1"/>
      <c r="AF41" s="82"/>
      <c r="AG41" s="81" t="s">
        <v>184</v>
      </c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75">
        <v>4</v>
      </c>
      <c r="AT41" s="76"/>
      <c r="AU41" s="76"/>
      <c r="AV41" s="76"/>
      <c r="AW41" s="76"/>
      <c r="AX41" s="75"/>
      <c r="AY41" s="76"/>
      <c r="AZ41" s="76"/>
      <c r="BA41" s="76"/>
      <c r="BB41" s="76"/>
      <c r="BC41" s="76"/>
      <c r="BD41" s="76"/>
      <c r="BE41" s="76"/>
      <c r="BF41" s="82"/>
      <c r="BG41" s="82"/>
      <c r="BH41" s="82"/>
      <c r="BI41" s="82"/>
      <c r="BJ41" s="82"/>
      <c r="BK41" s="82"/>
      <c r="BL41" s="82"/>
      <c r="BM41" s="82"/>
      <c r="BN41" s="75"/>
      <c r="BO41" s="76"/>
      <c r="BP41" s="76"/>
      <c r="BQ41" s="76"/>
      <c r="BR41" s="76"/>
      <c r="BS41" s="76"/>
      <c r="BT41" s="76"/>
      <c r="BU41" s="76"/>
      <c r="BV41" s="82"/>
      <c r="BW41" s="82"/>
      <c r="BX41" s="82"/>
      <c r="BY41" s="82"/>
      <c r="BZ41" s="82"/>
      <c r="CA41" s="82"/>
      <c r="CB41" s="82"/>
      <c r="CC41" s="82"/>
      <c r="IR41" s="8">
        <f>AX41*0.551973733303485</f>
        <v>0</v>
      </c>
      <c r="IS41" s="8">
        <f>AX41*(1-0.551973733303485)</f>
        <v>0</v>
      </c>
    </row>
    <row r="42" spans="1:81" ht="12.75">
      <c r="A42" s="87" t="s">
        <v>6</v>
      </c>
      <c r="B42" s="88"/>
      <c r="C42" s="87" t="s">
        <v>60</v>
      </c>
      <c r="D42" s="88"/>
      <c r="E42" s="88"/>
      <c r="F42" s="88"/>
      <c r="G42" s="88"/>
      <c r="H42" s="88"/>
      <c r="I42" s="87" t="s">
        <v>112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7" t="s">
        <v>6</v>
      </c>
      <c r="AF42" s="88"/>
      <c r="AG42" s="87" t="s">
        <v>6</v>
      </c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3" t="s">
        <v>6</v>
      </c>
      <c r="AT42" s="84"/>
      <c r="AU42" s="84"/>
      <c r="AV42" s="84"/>
      <c r="AW42" s="84"/>
      <c r="AX42" s="83" t="s">
        <v>6</v>
      </c>
      <c r="AY42" s="84"/>
      <c r="AZ42" s="84"/>
      <c r="BA42" s="84"/>
      <c r="BB42" s="84"/>
      <c r="BC42" s="84"/>
      <c r="BD42" s="84"/>
      <c r="BE42" s="84"/>
      <c r="BF42" s="89">
        <f>SUM(BF43:BF43)</f>
        <v>0</v>
      </c>
      <c r="BG42" s="84"/>
      <c r="BH42" s="84"/>
      <c r="BI42" s="84"/>
      <c r="BJ42" s="84"/>
      <c r="BK42" s="84"/>
      <c r="BL42" s="84"/>
      <c r="BM42" s="84"/>
      <c r="BN42" s="83" t="s">
        <v>6</v>
      </c>
      <c r="BO42" s="84"/>
      <c r="BP42" s="84"/>
      <c r="BQ42" s="84"/>
      <c r="BR42" s="84"/>
      <c r="BS42" s="84"/>
      <c r="BT42" s="84"/>
      <c r="BU42" s="84"/>
      <c r="BV42" s="89">
        <f>SUM(BV43:BV43)</f>
        <v>0</v>
      </c>
      <c r="BW42" s="84"/>
      <c r="BX42" s="84"/>
      <c r="BY42" s="84"/>
      <c r="BZ42" s="84"/>
      <c r="CA42" s="84"/>
      <c r="CB42" s="84"/>
      <c r="CC42" s="84"/>
    </row>
    <row r="43" spans="1:253" ht="12.75">
      <c r="A43" s="81" t="s">
        <v>19</v>
      </c>
      <c r="B43" s="82"/>
      <c r="C43" s="81" t="s">
        <v>61</v>
      </c>
      <c r="D43" s="82"/>
      <c r="E43" s="82"/>
      <c r="F43" s="82"/>
      <c r="G43" s="82"/>
      <c r="H43" s="82"/>
      <c r="I43" s="81" t="s">
        <v>113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1" t="s">
        <v>157</v>
      </c>
      <c r="AF43" s="82"/>
      <c r="AG43" s="81" t="s">
        <v>7</v>
      </c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75">
        <v>1</v>
      </c>
      <c r="AT43" s="76"/>
      <c r="AU43" s="76"/>
      <c r="AV43" s="76"/>
      <c r="AW43" s="76"/>
      <c r="AX43" s="75">
        <v>0</v>
      </c>
      <c r="AY43" s="76"/>
      <c r="AZ43" s="76"/>
      <c r="BA43" s="76"/>
      <c r="BB43" s="76"/>
      <c r="BC43" s="76"/>
      <c r="BD43" s="76"/>
      <c r="BE43" s="76"/>
      <c r="BF43" s="75">
        <f>IR43*AS43+IS43*AS43</f>
        <v>0</v>
      </c>
      <c r="BG43" s="76"/>
      <c r="BH43" s="76"/>
      <c r="BI43" s="76"/>
      <c r="BJ43" s="76"/>
      <c r="BK43" s="76"/>
      <c r="BL43" s="76"/>
      <c r="BM43" s="76"/>
      <c r="BN43" s="75">
        <f>'Stavební rozpočet'!K29</f>
        <v>0</v>
      </c>
      <c r="BO43" s="76"/>
      <c r="BP43" s="76"/>
      <c r="BQ43" s="76"/>
      <c r="BR43" s="76"/>
      <c r="BS43" s="76"/>
      <c r="BT43" s="76"/>
      <c r="BU43" s="76"/>
      <c r="BV43" s="75">
        <f>BN43*AS43</f>
        <v>0</v>
      </c>
      <c r="BW43" s="76"/>
      <c r="BX43" s="76"/>
      <c r="BY43" s="76"/>
      <c r="BZ43" s="76"/>
      <c r="CA43" s="76"/>
      <c r="CB43" s="76"/>
      <c r="CC43" s="76"/>
      <c r="IR43" s="8">
        <f>AX43*0</f>
        <v>0</v>
      </c>
      <c r="IS43" s="8">
        <f>AX43*(1-0)</f>
        <v>0</v>
      </c>
    </row>
    <row r="44" spans="1:81" ht="12.75">
      <c r="A44" s="87" t="s">
        <v>6</v>
      </c>
      <c r="B44" s="88"/>
      <c r="C44" s="87" t="s">
        <v>19</v>
      </c>
      <c r="D44" s="88"/>
      <c r="E44" s="88"/>
      <c r="F44" s="88"/>
      <c r="G44" s="88"/>
      <c r="H44" s="88"/>
      <c r="I44" s="87" t="s">
        <v>114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7" t="s">
        <v>6</v>
      </c>
      <c r="AF44" s="88"/>
      <c r="AG44" s="87" t="s">
        <v>6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3" t="s">
        <v>6</v>
      </c>
      <c r="AT44" s="84"/>
      <c r="AU44" s="84"/>
      <c r="AV44" s="84"/>
      <c r="AW44" s="84"/>
      <c r="AX44" s="83" t="s">
        <v>6</v>
      </c>
      <c r="AY44" s="84"/>
      <c r="AZ44" s="84"/>
      <c r="BA44" s="84"/>
      <c r="BB44" s="84"/>
      <c r="BC44" s="84"/>
      <c r="BD44" s="84"/>
      <c r="BE44" s="84"/>
      <c r="BF44" s="89">
        <f>SUM(BF45:BF45)</f>
        <v>0</v>
      </c>
      <c r="BG44" s="84"/>
      <c r="BH44" s="84"/>
      <c r="BI44" s="84"/>
      <c r="BJ44" s="84"/>
      <c r="BK44" s="84"/>
      <c r="BL44" s="84"/>
      <c r="BM44" s="84"/>
      <c r="BN44" s="83" t="s">
        <v>6</v>
      </c>
      <c r="BO44" s="84"/>
      <c r="BP44" s="84"/>
      <c r="BQ44" s="84"/>
      <c r="BR44" s="84"/>
      <c r="BS44" s="84"/>
      <c r="BT44" s="84"/>
      <c r="BU44" s="84"/>
      <c r="BV44" s="89">
        <f>SUM(BV45:BV45)</f>
        <v>0</v>
      </c>
      <c r="BW44" s="84"/>
      <c r="BX44" s="84"/>
      <c r="BY44" s="84"/>
      <c r="BZ44" s="84"/>
      <c r="CA44" s="84"/>
      <c r="CB44" s="84"/>
      <c r="CC44" s="84"/>
    </row>
    <row r="45" spans="1:253" ht="12.75">
      <c r="A45" s="81" t="s">
        <v>20</v>
      </c>
      <c r="B45" s="82"/>
      <c r="C45" s="81" t="s">
        <v>62</v>
      </c>
      <c r="D45" s="82"/>
      <c r="E45" s="82"/>
      <c r="F45" s="82"/>
      <c r="G45" s="82"/>
      <c r="H45" s="82"/>
      <c r="I45" s="81" t="s">
        <v>115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1" t="s">
        <v>158</v>
      </c>
      <c r="AF45" s="82"/>
      <c r="AG45" s="81" t="s">
        <v>185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75">
        <v>23</v>
      </c>
      <c r="AT45" s="76"/>
      <c r="AU45" s="76"/>
      <c r="AV45" s="76"/>
      <c r="AW45" s="76"/>
      <c r="AX45" s="75">
        <v>0</v>
      </c>
      <c r="AY45" s="76"/>
      <c r="AZ45" s="76"/>
      <c r="BA45" s="76"/>
      <c r="BB45" s="76"/>
      <c r="BC45" s="76"/>
      <c r="BD45" s="76"/>
      <c r="BE45" s="76"/>
      <c r="BF45" s="75">
        <f>IR45*AS45+IS45*AS45</f>
        <v>0</v>
      </c>
      <c r="BG45" s="76"/>
      <c r="BH45" s="76"/>
      <c r="BI45" s="76"/>
      <c r="BJ45" s="76"/>
      <c r="BK45" s="76"/>
      <c r="BL45" s="76"/>
      <c r="BM45" s="76"/>
      <c r="BN45" s="75">
        <f>'Stavební rozpočet'!K31</f>
        <v>0</v>
      </c>
      <c r="BO45" s="76"/>
      <c r="BP45" s="76"/>
      <c r="BQ45" s="76"/>
      <c r="BR45" s="76"/>
      <c r="BS45" s="76"/>
      <c r="BT45" s="76"/>
      <c r="BU45" s="76"/>
      <c r="BV45" s="75">
        <f>BN45*AS45</f>
        <v>0</v>
      </c>
      <c r="BW45" s="76"/>
      <c r="BX45" s="76"/>
      <c r="BY45" s="76"/>
      <c r="BZ45" s="76"/>
      <c r="CA45" s="76"/>
      <c r="CB45" s="76"/>
      <c r="CC45" s="76"/>
      <c r="IR45" s="8">
        <f>AX45*0</f>
        <v>0</v>
      </c>
      <c r="IS45" s="8">
        <f>AX45*(1-0)</f>
        <v>0</v>
      </c>
    </row>
    <row r="46" spans="1:81" ht="12.75">
      <c r="A46" s="87" t="s">
        <v>6</v>
      </c>
      <c r="B46" s="88"/>
      <c r="C46" s="87" t="s">
        <v>23</v>
      </c>
      <c r="D46" s="88"/>
      <c r="E46" s="88"/>
      <c r="F46" s="88"/>
      <c r="G46" s="88"/>
      <c r="H46" s="88"/>
      <c r="I46" s="87" t="s">
        <v>116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7" t="s">
        <v>6</v>
      </c>
      <c r="AF46" s="88"/>
      <c r="AG46" s="87" t="s">
        <v>6</v>
      </c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3" t="s">
        <v>6</v>
      </c>
      <c r="AT46" s="84"/>
      <c r="AU46" s="84"/>
      <c r="AV46" s="84"/>
      <c r="AW46" s="84"/>
      <c r="AX46" s="83" t="s">
        <v>6</v>
      </c>
      <c r="AY46" s="84"/>
      <c r="AZ46" s="84"/>
      <c r="BA46" s="84"/>
      <c r="BB46" s="84"/>
      <c r="BC46" s="84"/>
      <c r="BD46" s="84"/>
      <c r="BE46" s="84"/>
      <c r="BF46" s="89">
        <f>SUM(BF47:BF47)</f>
        <v>0</v>
      </c>
      <c r="BG46" s="84"/>
      <c r="BH46" s="84"/>
      <c r="BI46" s="84"/>
      <c r="BJ46" s="84"/>
      <c r="BK46" s="84"/>
      <c r="BL46" s="84"/>
      <c r="BM46" s="84"/>
      <c r="BN46" s="83" t="s">
        <v>6</v>
      </c>
      <c r="BO46" s="84"/>
      <c r="BP46" s="84"/>
      <c r="BQ46" s="84"/>
      <c r="BR46" s="84"/>
      <c r="BS46" s="84"/>
      <c r="BT46" s="84"/>
      <c r="BU46" s="84"/>
      <c r="BV46" s="89">
        <f>SUM(BV47:BV47)</f>
        <v>0</v>
      </c>
      <c r="BW46" s="84"/>
      <c r="BX46" s="84"/>
      <c r="BY46" s="84"/>
      <c r="BZ46" s="84"/>
      <c r="CA46" s="84"/>
      <c r="CB46" s="84"/>
      <c r="CC46" s="84"/>
    </row>
    <row r="47" spans="1:253" ht="12.75">
      <c r="A47" s="81" t="s">
        <v>21</v>
      </c>
      <c r="B47" s="82"/>
      <c r="C47" s="81" t="s">
        <v>63</v>
      </c>
      <c r="D47" s="82"/>
      <c r="E47" s="82"/>
      <c r="F47" s="82"/>
      <c r="G47" s="82"/>
      <c r="H47" s="82"/>
      <c r="I47" s="81" t="s">
        <v>117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1" t="s">
        <v>158</v>
      </c>
      <c r="AF47" s="82"/>
      <c r="AG47" s="81" t="s">
        <v>29</v>
      </c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75">
        <v>23</v>
      </c>
      <c r="AT47" s="76"/>
      <c r="AU47" s="76"/>
      <c r="AV47" s="76"/>
      <c r="AW47" s="76"/>
      <c r="AX47" s="75">
        <v>0</v>
      </c>
      <c r="AY47" s="76"/>
      <c r="AZ47" s="76"/>
      <c r="BA47" s="76"/>
      <c r="BB47" s="76"/>
      <c r="BC47" s="76"/>
      <c r="BD47" s="76"/>
      <c r="BE47" s="76"/>
      <c r="BF47" s="75">
        <f>IR47*AS47+IS47*AS47</f>
        <v>0</v>
      </c>
      <c r="BG47" s="76"/>
      <c r="BH47" s="76"/>
      <c r="BI47" s="76"/>
      <c r="BJ47" s="76"/>
      <c r="BK47" s="76"/>
      <c r="BL47" s="76"/>
      <c r="BM47" s="76"/>
      <c r="BN47" s="75">
        <f>'Stavební rozpočet'!K33</f>
        <v>0</v>
      </c>
      <c r="BO47" s="76"/>
      <c r="BP47" s="76"/>
      <c r="BQ47" s="76"/>
      <c r="BR47" s="76"/>
      <c r="BS47" s="76"/>
      <c r="BT47" s="76"/>
      <c r="BU47" s="76"/>
      <c r="BV47" s="75">
        <f>BN47*AS47</f>
        <v>0</v>
      </c>
      <c r="BW47" s="76"/>
      <c r="BX47" s="76"/>
      <c r="BY47" s="76"/>
      <c r="BZ47" s="76"/>
      <c r="CA47" s="76"/>
      <c r="CB47" s="76"/>
      <c r="CC47" s="76"/>
      <c r="IR47" s="8">
        <f>AX47*0</f>
        <v>0</v>
      </c>
      <c r="IS47" s="8">
        <f>AX47*(1-0)</f>
        <v>0</v>
      </c>
    </row>
    <row r="48" spans="1:81" ht="12.75">
      <c r="A48" s="87" t="s">
        <v>6</v>
      </c>
      <c r="B48" s="88"/>
      <c r="C48" s="87" t="s">
        <v>24</v>
      </c>
      <c r="D48" s="88"/>
      <c r="E48" s="88"/>
      <c r="F48" s="88"/>
      <c r="G48" s="88"/>
      <c r="H48" s="88"/>
      <c r="I48" s="87" t="s">
        <v>118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7" t="s">
        <v>6</v>
      </c>
      <c r="AF48" s="88"/>
      <c r="AG48" s="87" t="s">
        <v>6</v>
      </c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3" t="s">
        <v>6</v>
      </c>
      <c r="AT48" s="84"/>
      <c r="AU48" s="84"/>
      <c r="AV48" s="84"/>
      <c r="AW48" s="84"/>
      <c r="AX48" s="83" t="s">
        <v>6</v>
      </c>
      <c r="AY48" s="84"/>
      <c r="AZ48" s="84"/>
      <c r="BA48" s="84"/>
      <c r="BB48" s="84"/>
      <c r="BC48" s="84"/>
      <c r="BD48" s="84"/>
      <c r="BE48" s="84"/>
      <c r="BF48" s="89">
        <f>SUM(BF49:BF50)</f>
        <v>0</v>
      </c>
      <c r="BG48" s="84"/>
      <c r="BH48" s="84"/>
      <c r="BI48" s="84"/>
      <c r="BJ48" s="84"/>
      <c r="BK48" s="84"/>
      <c r="BL48" s="84"/>
      <c r="BM48" s="84"/>
      <c r="BN48" s="83" t="s">
        <v>6</v>
      </c>
      <c r="BO48" s="84"/>
      <c r="BP48" s="84"/>
      <c r="BQ48" s="84"/>
      <c r="BR48" s="84"/>
      <c r="BS48" s="84"/>
      <c r="BT48" s="84"/>
      <c r="BU48" s="84"/>
      <c r="BV48" s="89">
        <f>SUM(BV49:BV50)</f>
        <v>0.0005</v>
      </c>
      <c r="BW48" s="84"/>
      <c r="BX48" s="84"/>
      <c r="BY48" s="84"/>
      <c r="BZ48" s="84"/>
      <c r="CA48" s="84"/>
      <c r="CB48" s="84"/>
      <c r="CC48" s="84"/>
    </row>
    <row r="49" spans="1:253" ht="12.75">
      <c r="A49" s="81" t="s">
        <v>22</v>
      </c>
      <c r="B49" s="82"/>
      <c r="C49" s="81" t="s">
        <v>64</v>
      </c>
      <c r="D49" s="82"/>
      <c r="E49" s="82"/>
      <c r="F49" s="82"/>
      <c r="G49" s="82"/>
      <c r="H49" s="82"/>
      <c r="I49" s="81" t="s">
        <v>119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1" t="s">
        <v>156</v>
      </c>
      <c r="AF49" s="82"/>
      <c r="AG49" s="81" t="s">
        <v>31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75">
        <v>25</v>
      </c>
      <c r="AT49" s="76"/>
      <c r="AU49" s="76"/>
      <c r="AV49" s="76"/>
      <c r="AW49" s="76"/>
      <c r="AX49" s="75">
        <v>0</v>
      </c>
      <c r="AY49" s="76"/>
      <c r="AZ49" s="76"/>
      <c r="BA49" s="76"/>
      <c r="BB49" s="76"/>
      <c r="BC49" s="76"/>
      <c r="BD49" s="76"/>
      <c r="BE49" s="76"/>
      <c r="BF49" s="75">
        <f>IR49*AS49+IS49*AS49</f>
        <v>0</v>
      </c>
      <c r="BG49" s="76"/>
      <c r="BH49" s="76"/>
      <c r="BI49" s="76"/>
      <c r="BJ49" s="76"/>
      <c r="BK49" s="76"/>
      <c r="BL49" s="76"/>
      <c r="BM49" s="76"/>
      <c r="BN49" s="75">
        <f>'Stavební rozpočet'!K35</f>
        <v>0</v>
      </c>
      <c r="BO49" s="76"/>
      <c r="BP49" s="76"/>
      <c r="BQ49" s="76"/>
      <c r="BR49" s="76"/>
      <c r="BS49" s="76"/>
      <c r="BT49" s="76"/>
      <c r="BU49" s="76"/>
      <c r="BV49" s="75">
        <f>BN49*AS49</f>
        <v>0</v>
      </c>
      <c r="BW49" s="76"/>
      <c r="BX49" s="76"/>
      <c r="BY49" s="76"/>
      <c r="BZ49" s="76"/>
      <c r="CA49" s="76"/>
      <c r="CB49" s="76"/>
      <c r="CC49" s="76"/>
      <c r="IR49" s="8">
        <f>AX49*0.0721045515998197</f>
        <v>0</v>
      </c>
      <c r="IS49" s="8">
        <f>AX49*(1-0.0721045515998197)</f>
        <v>0</v>
      </c>
    </row>
    <row r="50" spans="1:253" ht="12.75">
      <c r="A50" s="92" t="s">
        <v>23</v>
      </c>
      <c r="B50" s="93"/>
      <c r="C50" s="92" t="s">
        <v>65</v>
      </c>
      <c r="D50" s="93"/>
      <c r="E50" s="93"/>
      <c r="F50" s="93"/>
      <c r="G50" s="93"/>
      <c r="H50" s="93"/>
      <c r="I50" s="92" t="s">
        <v>120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2" t="s">
        <v>159</v>
      </c>
      <c r="AF50" s="93"/>
      <c r="AG50" s="92" t="s">
        <v>186</v>
      </c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0">
        <v>0.5</v>
      </c>
      <c r="AT50" s="91"/>
      <c r="AU50" s="91"/>
      <c r="AV50" s="91"/>
      <c r="AW50" s="91"/>
      <c r="AX50" s="90">
        <v>0</v>
      </c>
      <c r="AY50" s="91"/>
      <c r="AZ50" s="91"/>
      <c r="BA50" s="91"/>
      <c r="BB50" s="91"/>
      <c r="BC50" s="91"/>
      <c r="BD50" s="91"/>
      <c r="BE50" s="91"/>
      <c r="BF50" s="90">
        <f>IR50*AS50+IS50*AS50</f>
        <v>0</v>
      </c>
      <c r="BG50" s="91"/>
      <c r="BH50" s="91"/>
      <c r="BI50" s="91"/>
      <c r="BJ50" s="91"/>
      <c r="BK50" s="91"/>
      <c r="BL50" s="91"/>
      <c r="BM50" s="91"/>
      <c r="BN50" s="90">
        <f>'Stavební rozpočet'!K36</f>
        <v>0.001</v>
      </c>
      <c r="BO50" s="91"/>
      <c r="BP50" s="91"/>
      <c r="BQ50" s="91"/>
      <c r="BR50" s="91"/>
      <c r="BS50" s="91"/>
      <c r="BT50" s="91"/>
      <c r="BU50" s="91"/>
      <c r="BV50" s="90">
        <f>BN50*AS50</f>
        <v>0.0005</v>
      </c>
      <c r="BW50" s="91"/>
      <c r="BX50" s="91"/>
      <c r="BY50" s="91"/>
      <c r="BZ50" s="91"/>
      <c r="CA50" s="91"/>
      <c r="CB50" s="91"/>
      <c r="CC50" s="91"/>
      <c r="IR50" s="9">
        <f>AX50*1</f>
        <v>0</v>
      </c>
      <c r="IS50" s="9">
        <f>AX50*(1-1)</f>
        <v>0</v>
      </c>
    </row>
    <row r="51" spans="1:81" ht="12.75">
      <c r="A51" s="87" t="s">
        <v>6</v>
      </c>
      <c r="B51" s="88"/>
      <c r="C51" s="87" t="s">
        <v>66</v>
      </c>
      <c r="D51" s="88"/>
      <c r="E51" s="88"/>
      <c r="F51" s="88"/>
      <c r="G51" s="88"/>
      <c r="H51" s="88"/>
      <c r="I51" s="87" t="s">
        <v>121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7" t="s">
        <v>6</v>
      </c>
      <c r="AF51" s="88"/>
      <c r="AG51" s="87" t="s">
        <v>6</v>
      </c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3" t="s">
        <v>6</v>
      </c>
      <c r="AT51" s="84"/>
      <c r="AU51" s="84"/>
      <c r="AV51" s="84"/>
      <c r="AW51" s="84"/>
      <c r="AX51" s="83" t="s">
        <v>6</v>
      </c>
      <c r="AY51" s="84"/>
      <c r="AZ51" s="84"/>
      <c r="BA51" s="84"/>
      <c r="BB51" s="84"/>
      <c r="BC51" s="84"/>
      <c r="BD51" s="84"/>
      <c r="BE51" s="84"/>
      <c r="BF51" s="89">
        <f>SUM(BF52:BF54)</f>
        <v>0</v>
      </c>
      <c r="BG51" s="84"/>
      <c r="BH51" s="84"/>
      <c r="BI51" s="84"/>
      <c r="BJ51" s="84"/>
      <c r="BK51" s="84"/>
      <c r="BL51" s="84"/>
      <c r="BM51" s="84"/>
      <c r="BN51" s="83" t="s">
        <v>6</v>
      </c>
      <c r="BO51" s="84"/>
      <c r="BP51" s="84"/>
      <c r="BQ51" s="84"/>
      <c r="BR51" s="84"/>
      <c r="BS51" s="84"/>
      <c r="BT51" s="84"/>
      <c r="BU51" s="84"/>
      <c r="BV51" s="89">
        <f>SUM(BV52:BV54)</f>
        <v>0.37815000000000004</v>
      </c>
      <c r="BW51" s="84"/>
      <c r="BX51" s="84"/>
      <c r="BY51" s="84"/>
      <c r="BZ51" s="84"/>
      <c r="CA51" s="84"/>
      <c r="CB51" s="84"/>
      <c r="CC51" s="84"/>
    </row>
    <row r="52" spans="1:253" ht="12.75">
      <c r="A52" s="81" t="s">
        <v>24</v>
      </c>
      <c r="B52" s="82"/>
      <c r="C52" s="81" t="s">
        <v>67</v>
      </c>
      <c r="D52" s="82"/>
      <c r="E52" s="82"/>
      <c r="F52" s="82"/>
      <c r="G52" s="82"/>
      <c r="H52" s="82"/>
      <c r="I52" s="81" t="s">
        <v>122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1" t="s">
        <v>156</v>
      </c>
      <c r="AF52" s="82"/>
      <c r="AG52" s="81" t="s">
        <v>187</v>
      </c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75">
        <v>16.2</v>
      </c>
      <c r="AT52" s="76"/>
      <c r="AU52" s="76"/>
      <c r="AV52" s="76"/>
      <c r="AW52" s="76"/>
      <c r="AX52" s="75">
        <v>0</v>
      </c>
      <c r="AY52" s="76"/>
      <c r="AZ52" s="76"/>
      <c r="BA52" s="76"/>
      <c r="BB52" s="76"/>
      <c r="BC52" s="76"/>
      <c r="BD52" s="76"/>
      <c r="BE52" s="76"/>
      <c r="BF52" s="75">
        <f>IR52*AS52+IS52*AS52</f>
        <v>0</v>
      </c>
      <c r="BG52" s="76"/>
      <c r="BH52" s="76"/>
      <c r="BI52" s="76"/>
      <c r="BJ52" s="76"/>
      <c r="BK52" s="76"/>
      <c r="BL52" s="76"/>
      <c r="BM52" s="76"/>
      <c r="BN52" s="75">
        <f>'Stavební rozpočet'!K38</f>
        <v>0.017</v>
      </c>
      <c r="BO52" s="76"/>
      <c r="BP52" s="76"/>
      <c r="BQ52" s="76"/>
      <c r="BR52" s="76"/>
      <c r="BS52" s="76"/>
      <c r="BT52" s="76"/>
      <c r="BU52" s="76"/>
      <c r="BV52" s="75">
        <f>BN52*AS52</f>
        <v>0.27540000000000003</v>
      </c>
      <c r="BW52" s="76"/>
      <c r="BX52" s="76"/>
      <c r="BY52" s="76"/>
      <c r="BZ52" s="76"/>
      <c r="CA52" s="76"/>
      <c r="CB52" s="76"/>
      <c r="CC52" s="76"/>
      <c r="IR52" s="8">
        <f>AX52*0.275526970564762</f>
        <v>0</v>
      </c>
      <c r="IS52" s="8">
        <f>AX52*(1-0.275526970564762)</f>
        <v>0</v>
      </c>
    </row>
    <row r="53" spans="1:253" ht="12.75">
      <c r="A53" s="81" t="s">
        <v>25</v>
      </c>
      <c r="B53" s="82"/>
      <c r="C53" s="81" t="s">
        <v>68</v>
      </c>
      <c r="D53" s="82"/>
      <c r="E53" s="82"/>
      <c r="F53" s="82"/>
      <c r="G53" s="82"/>
      <c r="H53" s="82"/>
      <c r="I53" s="81" t="s">
        <v>123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1" t="s">
        <v>156</v>
      </c>
      <c r="AF53" s="82"/>
      <c r="AG53" s="81" t="s">
        <v>188</v>
      </c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75">
        <v>41.1</v>
      </c>
      <c r="AT53" s="76"/>
      <c r="AU53" s="76"/>
      <c r="AV53" s="76"/>
      <c r="AW53" s="76"/>
      <c r="AX53" s="75">
        <v>0</v>
      </c>
      <c r="AY53" s="76"/>
      <c r="AZ53" s="76"/>
      <c r="BA53" s="76"/>
      <c r="BB53" s="76"/>
      <c r="BC53" s="76"/>
      <c r="BD53" s="76"/>
      <c r="BE53" s="76"/>
      <c r="BF53" s="75">
        <f>IR53*AS53+IS53*AS53</f>
        <v>0</v>
      </c>
      <c r="BG53" s="76"/>
      <c r="BH53" s="76"/>
      <c r="BI53" s="76"/>
      <c r="BJ53" s="76"/>
      <c r="BK53" s="76"/>
      <c r="BL53" s="76"/>
      <c r="BM53" s="76"/>
      <c r="BN53" s="75">
        <f>'Stavební rozpočet'!K39</f>
        <v>0.0025</v>
      </c>
      <c r="BO53" s="76"/>
      <c r="BP53" s="76"/>
      <c r="BQ53" s="76"/>
      <c r="BR53" s="76"/>
      <c r="BS53" s="76"/>
      <c r="BT53" s="76"/>
      <c r="BU53" s="76"/>
      <c r="BV53" s="75">
        <f>BN53*AS53</f>
        <v>0.10275000000000001</v>
      </c>
      <c r="BW53" s="76"/>
      <c r="BX53" s="76"/>
      <c r="BY53" s="76"/>
      <c r="BZ53" s="76"/>
      <c r="CA53" s="76"/>
      <c r="CB53" s="76"/>
      <c r="CC53" s="76"/>
      <c r="IR53" s="8">
        <f>AX53*0.0935882817296728</f>
        <v>0</v>
      </c>
      <c r="IS53" s="8">
        <f>AX53*(1-0.0935882817296728)</f>
        <v>0</v>
      </c>
    </row>
    <row r="54" spans="1:253" ht="12.75">
      <c r="A54" s="81"/>
      <c r="B54" s="82"/>
      <c r="C54" s="81"/>
      <c r="D54" s="82"/>
      <c r="E54" s="82"/>
      <c r="F54" s="82"/>
      <c r="G54" s="82"/>
      <c r="H54" s="82"/>
      <c r="I54" s="81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1"/>
      <c r="AF54" s="82"/>
      <c r="AG54" s="81" t="s">
        <v>189</v>
      </c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75">
        <v>-16.2</v>
      </c>
      <c r="AT54" s="76"/>
      <c r="AU54" s="76"/>
      <c r="AV54" s="76"/>
      <c r="AW54" s="76"/>
      <c r="AX54" s="75"/>
      <c r="AY54" s="76"/>
      <c r="AZ54" s="76"/>
      <c r="BA54" s="76"/>
      <c r="BB54" s="76"/>
      <c r="BC54" s="76"/>
      <c r="BD54" s="76"/>
      <c r="BE54" s="76"/>
      <c r="BF54" s="82"/>
      <c r="BG54" s="82"/>
      <c r="BH54" s="82"/>
      <c r="BI54" s="82"/>
      <c r="BJ54" s="82"/>
      <c r="BK54" s="82"/>
      <c r="BL54" s="82"/>
      <c r="BM54" s="82"/>
      <c r="BN54" s="75"/>
      <c r="BO54" s="76"/>
      <c r="BP54" s="76"/>
      <c r="BQ54" s="76"/>
      <c r="BR54" s="76"/>
      <c r="BS54" s="76"/>
      <c r="BT54" s="76"/>
      <c r="BU54" s="76"/>
      <c r="BV54" s="82"/>
      <c r="BW54" s="82"/>
      <c r="BX54" s="82"/>
      <c r="BY54" s="82"/>
      <c r="BZ54" s="82"/>
      <c r="CA54" s="82"/>
      <c r="CB54" s="82"/>
      <c r="CC54" s="82"/>
      <c r="IR54" s="8">
        <f>AX54*0.0935882817296728</f>
        <v>0</v>
      </c>
      <c r="IS54" s="8">
        <f>AX54*(1-0.0935882817296728)</f>
        <v>0</v>
      </c>
    </row>
    <row r="55" spans="1:81" ht="12.75">
      <c r="A55" s="87" t="s">
        <v>6</v>
      </c>
      <c r="B55" s="88"/>
      <c r="C55" s="87" t="s">
        <v>69</v>
      </c>
      <c r="D55" s="88"/>
      <c r="E55" s="88"/>
      <c r="F55" s="88"/>
      <c r="G55" s="88"/>
      <c r="H55" s="88"/>
      <c r="I55" s="87" t="s">
        <v>124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7" t="s">
        <v>6</v>
      </c>
      <c r="AF55" s="88"/>
      <c r="AG55" s="87" t="s">
        <v>6</v>
      </c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3" t="s">
        <v>6</v>
      </c>
      <c r="AT55" s="84"/>
      <c r="AU55" s="84"/>
      <c r="AV55" s="84"/>
      <c r="AW55" s="84"/>
      <c r="AX55" s="83" t="s">
        <v>6</v>
      </c>
      <c r="AY55" s="84"/>
      <c r="AZ55" s="84"/>
      <c r="BA55" s="84"/>
      <c r="BB55" s="84"/>
      <c r="BC55" s="84"/>
      <c r="BD55" s="84"/>
      <c r="BE55" s="84"/>
      <c r="BF55" s="89">
        <f>SUM(BF56:BF56)</f>
        <v>0</v>
      </c>
      <c r="BG55" s="84"/>
      <c r="BH55" s="84"/>
      <c r="BI55" s="84"/>
      <c r="BJ55" s="84"/>
      <c r="BK55" s="84"/>
      <c r="BL55" s="84"/>
      <c r="BM55" s="84"/>
      <c r="BN55" s="83" t="s">
        <v>6</v>
      </c>
      <c r="BO55" s="84"/>
      <c r="BP55" s="84"/>
      <c r="BQ55" s="84"/>
      <c r="BR55" s="84"/>
      <c r="BS55" s="84"/>
      <c r="BT55" s="84"/>
      <c r="BU55" s="84"/>
      <c r="BV55" s="89">
        <f>SUM(BV56:BV56)</f>
        <v>0.0012000000000000001</v>
      </c>
      <c r="BW55" s="84"/>
      <c r="BX55" s="84"/>
      <c r="BY55" s="84"/>
      <c r="BZ55" s="84"/>
      <c r="CA55" s="84"/>
      <c r="CB55" s="84"/>
      <c r="CC55" s="84"/>
    </row>
    <row r="56" spans="1:253" ht="12.75">
      <c r="A56" s="81" t="s">
        <v>26</v>
      </c>
      <c r="B56" s="82"/>
      <c r="C56" s="81" t="s">
        <v>70</v>
      </c>
      <c r="D56" s="82"/>
      <c r="E56" s="82"/>
      <c r="F56" s="82"/>
      <c r="G56" s="82"/>
      <c r="H56" s="82"/>
      <c r="I56" s="81" t="s">
        <v>125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1" t="s">
        <v>156</v>
      </c>
      <c r="AF56" s="82"/>
      <c r="AG56" s="81" t="s">
        <v>36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75">
        <v>30</v>
      </c>
      <c r="AT56" s="76"/>
      <c r="AU56" s="76"/>
      <c r="AV56" s="76"/>
      <c r="AW56" s="76"/>
      <c r="AX56" s="75">
        <v>0</v>
      </c>
      <c r="AY56" s="76"/>
      <c r="AZ56" s="76"/>
      <c r="BA56" s="76"/>
      <c r="BB56" s="76"/>
      <c r="BC56" s="76"/>
      <c r="BD56" s="76"/>
      <c r="BE56" s="76"/>
      <c r="BF56" s="75">
        <f>IR56*AS56+IS56*AS56</f>
        <v>0</v>
      </c>
      <c r="BG56" s="76"/>
      <c r="BH56" s="76"/>
      <c r="BI56" s="76"/>
      <c r="BJ56" s="76"/>
      <c r="BK56" s="76"/>
      <c r="BL56" s="76"/>
      <c r="BM56" s="76"/>
      <c r="BN56" s="75">
        <f>'Stavební rozpočet'!K41</f>
        <v>4E-05</v>
      </c>
      <c r="BO56" s="76"/>
      <c r="BP56" s="76"/>
      <c r="BQ56" s="76"/>
      <c r="BR56" s="76"/>
      <c r="BS56" s="76"/>
      <c r="BT56" s="76"/>
      <c r="BU56" s="76"/>
      <c r="BV56" s="75">
        <f>BN56*AS56</f>
        <v>0.0012000000000000001</v>
      </c>
      <c r="BW56" s="76"/>
      <c r="BX56" s="76"/>
      <c r="BY56" s="76"/>
      <c r="BZ56" s="76"/>
      <c r="CA56" s="76"/>
      <c r="CB56" s="76"/>
      <c r="CC56" s="76"/>
      <c r="IR56" s="8">
        <f>AX56*0.302714932126697</f>
        <v>0</v>
      </c>
      <c r="IS56" s="8">
        <f>AX56*(1-0.302714932126697)</f>
        <v>0</v>
      </c>
    </row>
    <row r="57" spans="1:81" ht="12.75">
      <c r="A57" s="87" t="s">
        <v>6</v>
      </c>
      <c r="B57" s="88"/>
      <c r="C57" s="87" t="s">
        <v>71</v>
      </c>
      <c r="D57" s="88"/>
      <c r="E57" s="88"/>
      <c r="F57" s="88"/>
      <c r="G57" s="88"/>
      <c r="H57" s="88"/>
      <c r="I57" s="87" t="s">
        <v>126</v>
      </c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7" t="s">
        <v>6</v>
      </c>
      <c r="AF57" s="88"/>
      <c r="AG57" s="87" t="s">
        <v>6</v>
      </c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3" t="s">
        <v>6</v>
      </c>
      <c r="AT57" s="84"/>
      <c r="AU57" s="84"/>
      <c r="AV57" s="84"/>
      <c r="AW57" s="84"/>
      <c r="AX57" s="83" t="s">
        <v>6</v>
      </c>
      <c r="AY57" s="84"/>
      <c r="AZ57" s="84"/>
      <c r="BA57" s="84"/>
      <c r="BB57" s="84"/>
      <c r="BC57" s="84"/>
      <c r="BD57" s="84"/>
      <c r="BE57" s="84"/>
      <c r="BF57" s="89">
        <f>SUM(BF58:BF67)</f>
        <v>0</v>
      </c>
      <c r="BG57" s="84"/>
      <c r="BH57" s="84"/>
      <c r="BI57" s="84"/>
      <c r="BJ57" s="84"/>
      <c r="BK57" s="84"/>
      <c r="BL57" s="84"/>
      <c r="BM57" s="84"/>
      <c r="BN57" s="83" t="s">
        <v>6</v>
      </c>
      <c r="BO57" s="84"/>
      <c r="BP57" s="84"/>
      <c r="BQ57" s="84"/>
      <c r="BR57" s="84"/>
      <c r="BS57" s="84"/>
      <c r="BT57" s="84"/>
      <c r="BU57" s="84"/>
      <c r="BV57" s="89">
        <f>SUM(BV58:BV67)</f>
        <v>7.708962</v>
      </c>
      <c r="BW57" s="84"/>
      <c r="BX57" s="84"/>
      <c r="BY57" s="84"/>
      <c r="BZ57" s="84"/>
      <c r="CA57" s="84"/>
      <c r="CB57" s="84"/>
      <c r="CC57" s="84"/>
    </row>
    <row r="58" spans="1:253" ht="12.75">
      <c r="A58" s="81" t="s">
        <v>27</v>
      </c>
      <c r="B58" s="82"/>
      <c r="C58" s="81" t="s">
        <v>72</v>
      </c>
      <c r="D58" s="82"/>
      <c r="E58" s="82"/>
      <c r="F58" s="82"/>
      <c r="G58" s="82"/>
      <c r="H58" s="82"/>
      <c r="I58" s="81" t="s">
        <v>127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1" t="s">
        <v>156</v>
      </c>
      <c r="AF58" s="82"/>
      <c r="AG58" s="81" t="s">
        <v>190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75">
        <v>55</v>
      </c>
      <c r="AT58" s="76"/>
      <c r="AU58" s="76"/>
      <c r="AV58" s="76"/>
      <c r="AW58" s="76"/>
      <c r="AX58" s="75">
        <v>0</v>
      </c>
      <c r="AY58" s="76"/>
      <c r="AZ58" s="76"/>
      <c r="BA58" s="76"/>
      <c r="BB58" s="76"/>
      <c r="BC58" s="76"/>
      <c r="BD58" s="76"/>
      <c r="BE58" s="76"/>
      <c r="BF58" s="75">
        <f>IR58*AS58+IS58*AS58</f>
        <v>0</v>
      </c>
      <c r="BG58" s="76"/>
      <c r="BH58" s="76"/>
      <c r="BI58" s="76"/>
      <c r="BJ58" s="76"/>
      <c r="BK58" s="76"/>
      <c r="BL58" s="76"/>
      <c r="BM58" s="76"/>
      <c r="BN58" s="75">
        <f>'Stavební rozpočet'!K43</f>
        <v>0.01117</v>
      </c>
      <c r="BO58" s="76"/>
      <c r="BP58" s="76"/>
      <c r="BQ58" s="76"/>
      <c r="BR58" s="76"/>
      <c r="BS58" s="76"/>
      <c r="BT58" s="76"/>
      <c r="BU58" s="76"/>
      <c r="BV58" s="75">
        <f>BN58*AS58</f>
        <v>0.61435</v>
      </c>
      <c r="BW58" s="76"/>
      <c r="BX58" s="76"/>
      <c r="BY58" s="76"/>
      <c r="BZ58" s="76"/>
      <c r="CA58" s="76"/>
      <c r="CB58" s="76"/>
      <c r="CC58" s="76"/>
      <c r="IR58" s="8">
        <f>AX58*0.209160675459663</f>
        <v>0</v>
      </c>
      <c r="IS58" s="8">
        <f>AX58*(1-0.209160675459663)</f>
        <v>0</v>
      </c>
    </row>
    <row r="59" spans="1:253" ht="12.75">
      <c r="A59" s="81" t="s">
        <v>28</v>
      </c>
      <c r="B59" s="82"/>
      <c r="C59" s="81" t="s">
        <v>73</v>
      </c>
      <c r="D59" s="82"/>
      <c r="E59" s="82"/>
      <c r="F59" s="82"/>
      <c r="G59" s="82"/>
      <c r="H59" s="82"/>
      <c r="I59" s="81" t="s">
        <v>128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1" t="s">
        <v>156</v>
      </c>
      <c r="AF59" s="82"/>
      <c r="AG59" s="81" t="s">
        <v>191</v>
      </c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75">
        <v>16.2</v>
      </c>
      <c r="AT59" s="76"/>
      <c r="AU59" s="76"/>
      <c r="AV59" s="76"/>
      <c r="AW59" s="76"/>
      <c r="AX59" s="75">
        <v>0</v>
      </c>
      <c r="AY59" s="76"/>
      <c r="AZ59" s="76"/>
      <c r="BA59" s="76"/>
      <c r="BB59" s="76"/>
      <c r="BC59" s="76"/>
      <c r="BD59" s="76"/>
      <c r="BE59" s="76"/>
      <c r="BF59" s="75">
        <f>IR59*AS59+IS59*AS59</f>
        <v>0</v>
      </c>
      <c r="BG59" s="76"/>
      <c r="BH59" s="76"/>
      <c r="BI59" s="76"/>
      <c r="BJ59" s="76"/>
      <c r="BK59" s="76"/>
      <c r="BL59" s="76"/>
      <c r="BM59" s="76"/>
      <c r="BN59" s="75">
        <f>'Stavební rozpočet'!K44</f>
        <v>0.068</v>
      </c>
      <c r="BO59" s="76"/>
      <c r="BP59" s="76"/>
      <c r="BQ59" s="76"/>
      <c r="BR59" s="76"/>
      <c r="BS59" s="76"/>
      <c r="BT59" s="76"/>
      <c r="BU59" s="76"/>
      <c r="BV59" s="75">
        <f>BN59*AS59</f>
        <v>1.1016000000000001</v>
      </c>
      <c r="BW59" s="76"/>
      <c r="BX59" s="76"/>
      <c r="BY59" s="76"/>
      <c r="BZ59" s="76"/>
      <c r="CA59" s="76"/>
      <c r="CB59" s="76"/>
      <c r="CC59" s="76"/>
      <c r="IR59" s="8">
        <f>AX59*0</f>
        <v>0</v>
      </c>
      <c r="IS59" s="8">
        <f>AX59*(1-0)</f>
        <v>0</v>
      </c>
    </row>
    <row r="60" spans="1:253" ht="12.75">
      <c r="A60" s="81"/>
      <c r="B60" s="82"/>
      <c r="C60" s="81"/>
      <c r="D60" s="82"/>
      <c r="E60" s="82"/>
      <c r="F60" s="82"/>
      <c r="G60" s="82"/>
      <c r="H60" s="82"/>
      <c r="I60" s="81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1"/>
      <c r="AF60" s="82"/>
      <c r="AG60" s="81" t="s">
        <v>192</v>
      </c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75">
        <v>6.2</v>
      </c>
      <c r="AT60" s="76"/>
      <c r="AU60" s="76"/>
      <c r="AV60" s="76"/>
      <c r="AW60" s="76"/>
      <c r="AX60" s="75"/>
      <c r="AY60" s="76"/>
      <c r="AZ60" s="76"/>
      <c r="BA60" s="76"/>
      <c r="BB60" s="76"/>
      <c r="BC60" s="76"/>
      <c r="BD60" s="76"/>
      <c r="BE60" s="76"/>
      <c r="BF60" s="82"/>
      <c r="BG60" s="82"/>
      <c r="BH60" s="82"/>
      <c r="BI60" s="82"/>
      <c r="BJ60" s="82"/>
      <c r="BK60" s="82"/>
      <c r="BL60" s="82"/>
      <c r="BM60" s="82"/>
      <c r="BN60" s="75"/>
      <c r="BO60" s="76"/>
      <c r="BP60" s="76"/>
      <c r="BQ60" s="76"/>
      <c r="BR60" s="76"/>
      <c r="BS60" s="76"/>
      <c r="BT60" s="76"/>
      <c r="BU60" s="76"/>
      <c r="BV60" s="82"/>
      <c r="BW60" s="82"/>
      <c r="BX60" s="82"/>
      <c r="BY60" s="82"/>
      <c r="BZ60" s="82"/>
      <c r="CA60" s="82"/>
      <c r="CB60" s="82"/>
      <c r="CC60" s="82"/>
      <c r="IR60" s="8">
        <f>AX60*0</f>
        <v>0</v>
      </c>
      <c r="IS60" s="8">
        <f>AX60*(1-0)</f>
        <v>0</v>
      </c>
    </row>
    <row r="61" spans="1:253" ht="12.75">
      <c r="A61" s="81"/>
      <c r="B61" s="82"/>
      <c r="C61" s="81"/>
      <c r="D61" s="82"/>
      <c r="E61" s="82"/>
      <c r="F61" s="82"/>
      <c r="G61" s="82"/>
      <c r="H61" s="82"/>
      <c r="I61" s="81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1"/>
      <c r="AF61" s="82"/>
      <c r="AG61" s="81" t="s">
        <v>193</v>
      </c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75">
        <v>2.8</v>
      </c>
      <c r="AT61" s="76"/>
      <c r="AU61" s="76"/>
      <c r="AV61" s="76"/>
      <c r="AW61" s="76"/>
      <c r="AX61" s="75"/>
      <c r="AY61" s="76"/>
      <c r="AZ61" s="76"/>
      <c r="BA61" s="76"/>
      <c r="BB61" s="76"/>
      <c r="BC61" s="76"/>
      <c r="BD61" s="76"/>
      <c r="BE61" s="76"/>
      <c r="BF61" s="82"/>
      <c r="BG61" s="82"/>
      <c r="BH61" s="82"/>
      <c r="BI61" s="82"/>
      <c r="BJ61" s="82"/>
      <c r="BK61" s="82"/>
      <c r="BL61" s="82"/>
      <c r="BM61" s="82"/>
      <c r="BN61" s="75"/>
      <c r="BO61" s="76"/>
      <c r="BP61" s="76"/>
      <c r="BQ61" s="76"/>
      <c r="BR61" s="76"/>
      <c r="BS61" s="76"/>
      <c r="BT61" s="76"/>
      <c r="BU61" s="76"/>
      <c r="BV61" s="82"/>
      <c r="BW61" s="82"/>
      <c r="BX61" s="82"/>
      <c r="BY61" s="82"/>
      <c r="BZ61" s="82"/>
      <c r="CA61" s="82"/>
      <c r="CB61" s="82"/>
      <c r="CC61" s="82"/>
      <c r="IR61" s="8">
        <f>AX61*0</f>
        <v>0</v>
      </c>
      <c r="IS61" s="8">
        <f>AX61*(1-0)</f>
        <v>0</v>
      </c>
    </row>
    <row r="62" spans="1:253" ht="12.75">
      <c r="A62" s="92" t="s">
        <v>29</v>
      </c>
      <c r="B62" s="93"/>
      <c r="C62" s="92" t="s">
        <v>74</v>
      </c>
      <c r="D62" s="93"/>
      <c r="E62" s="93"/>
      <c r="F62" s="93"/>
      <c r="G62" s="93"/>
      <c r="H62" s="93"/>
      <c r="I62" s="92" t="s">
        <v>129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2" t="s">
        <v>156</v>
      </c>
      <c r="AF62" s="93"/>
      <c r="AG62" s="92" t="s">
        <v>194</v>
      </c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0">
        <v>60.5</v>
      </c>
      <c r="AT62" s="91"/>
      <c r="AU62" s="91"/>
      <c r="AV62" s="91"/>
      <c r="AW62" s="91"/>
      <c r="AX62" s="90">
        <v>0</v>
      </c>
      <c r="AY62" s="91"/>
      <c r="AZ62" s="91"/>
      <c r="BA62" s="91"/>
      <c r="BB62" s="91"/>
      <c r="BC62" s="91"/>
      <c r="BD62" s="91"/>
      <c r="BE62" s="91"/>
      <c r="BF62" s="90">
        <f aca="true" t="shared" si="4" ref="BF62:BF67">IR62*AS62+IS62*AS62</f>
        <v>0</v>
      </c>
      <c r="BG62" s="91"/>
      <c r="BH62" s="91"/>
      <c r="BI62" s="91"/>
      <c r="BJ62" s="91"/>
      <c r="BK62" s="91"/>
      <c r="BL62" s="91"/>
      <c r="BM62" s="91"/>
      <c r="BN62" s="90">
        <f>'Stavební rozpočet'!K45</f>
        <v>0.015</v>
      </c>
      <c r="BO62" s="91"/>
      <c r="BP62" s="91"/>
      <c r="BQ62" s="91"/>
      <c r="BR62" s="91"/>
      <c r="BS62" s="91"/>
      <c r="BT62" s="91"/>
      <c r="BU62" s="91"/>
      <c r="BV62" s="90">
        <f aca="true" t="shared" si="5" ref="BV62:BV67">BN62*AS62</f>
        <v>0.9075</v>
      </c>
      <c r="BW62" s="91"/>
      <c r="BX62" s="91"/>
      <c r="BY62" s="91"/>
      <c r="BZ62" s="91"/>
      <c r="CA62" s="91"/>
      <c r="CB62" s="91"/>
      <c r="CC62" s="91"/>
      <c r="IR62" s="9">
        <f>AX62*1</f>
        <v>0</v>
      </c>
      <c r="IS62" s="9">
        <f>AX62*(1-1)</f>
        <v>0</v>
      </c>
    </row>
    <row r="63" spans="1:253" ht="12.75">
      <c r="A63" s="81" t="s">
        <v>30</v>
      </c>
      <c r="B63" s="82"/>
      <c r="C63" s="81" t="s">
        <v>75</v>
      </c>
      <c r="D63" s="82"/>
      <c r="E63" s="82"/>
      <c r="F63" s="82"/>
      <c r="G63" s="82"/>
      <c r="H63" s="82"/>
      <c r="I63" s="81" t="s">
        <v>130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1" t="s">
        <v>156</v>
      </c>
      <c r="AF63" s="82"/>
      <c r="AG63" s="81" t="s">
        <v>195</v>
      </c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75">
        <v>55</v>
      </c>
      <c r="AT63" s="76"/>
      <c r="AU63" s="76"/>
      <c r="AV63" s="76"/>
      <c r="AW63" s="76"/>
      <c r="AX63" s="75">
        <v>0</v>
      </c>
      <c r="AY63" s="76"/>
      <c r="AZ63" s="76"/>
      <c r="BA63" s="76"/>
      <c r="BB63" s="76"/>
      <c r="BC63" s="76"/>
      <c r="BD63" s="76"/>
      <c r="BE63" s="76"/>
      <c r="BF63" s="75">
        <f t="shared" si="4"/>
        <v>0</v>
      </c>
      <c r="BG63" s="76"/>
      <c r="BH63" s="76"/>
      <c r="BI63" s="76"/>
      <c r="BJ63" s="76"/>
      <c r="BK63" s="76"/>
      <c r="BL63" s="76"/>
      <c r="BM63" s="76"/>
      <c r="BN63" s="75">
        <f>'Stavební rozpočet'!K46</f>
        <v>0.089</v>
      </c>
      <c r="BO63" s="76"/>
      <c r="BP63" s="76"/>
      <c r="BQ63" s="76"/>
      <c r="BR63" s="76"/>
      <c r="BS63" s="76"/>
      <c r="BT63" s="76"/>
      <c r="BU63" s="76"/>
      <c r="BV63" s="75">
        <f t="shared" si="5"/>
        <v>4.895</v>
      </c>
      <c r="BW63" s="76"/>
      <c r="BX63" s="76"/>
      <c r="BY63" s="76"/>
      <c r="BZ63" s="76"/>
      <c r="CA63" s="76"/>
      <c r="CB63" s="76"/>
      <c r="CC63" s="76"/>
      <c r="IR63" s="8">
        <f>AX63*0</f>
        <v>0</v>
      </c>
      <c r="IS63" s="8">
        <f>AX63*(1-0)</f>
        <v>0</v>
      </c>
    </row>
    <row r="64" spans="1:253" ht="12.75">
      <c r="A64" s="81" t="s">
        <v>31</v>
      </c>
      <c r="B64" s="82"/>
      <c r="C64" s="81" t="s">
        <v>76</v>
      </c>
      <c r="D64" s="82"/>
      <c r="E64" s="82"/>
      <c r="F64" s="82"/>
      <c r="G64" s="82"/>
      <c r="H64" s="82"/>
      <c r="I64" s="81" t="s">
        <v>131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1" t="s">
        <v>156</v>
      </c>
      <c r="AF64" s="82"/>
      <c r="AG64" s="81" t="s">
        <v>196</v>
      </c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75">
        <v>16.2</v>
      </c>
      <c r="AT64" s="76"/>
      <c r="AU64" s="76"/>
      <c r="AV64" s="76"/>
      <c r="AW64" s="76"/>
      <c r="AX64" s="75">
        <v>0</v>
      </c>
      <c r="AY64" s="76"/>
      <c r="AZ64" s="76"/>
      <c r="BA64" s="76"/>
      <c r="BB64" s="76"/>
      <c r="BC64" s="76"/>
      <c r="BD64" s="76"/>
      <c r="BE64" s="76"/>
      <c r="BF64" s="75">
        <f t="shared" si="4"/>
        <v>0</v>
      </c>
      <c r="BG64" s="76"/>
      <c r="BH64" s="76"/>
      <c r="BI64" s="76"/>
      <c r="BJ64" s="76"/>
      <c r="BK64" s="76"/>
      <c r="BL64" s="76"/>
      <c r="BM64" s="76"/>
      <c r="BN64" s="75">
        <f>'Stavební rozpočet'!K47</f>
        <v>0.00021</v>
      </c>
      <c r="BO64" s="76"/>
      <c r="BP64" s="76"/>
      <c r="BQ64" s="76"/>
      <c r="BR64" s="76"/>
      <c r="BS64" s="76"/>
      <c r="BT64" s="76"/>
      <c r="BU64" s="76"/>
      <c r="BV64" s="75">
        <f t="shared" si="5"/>
        <v>0.003402</v>
      </c>
      <c r="BW64" s="76"/>
      <c r="BX64" s="76"/>
      <c r="BY64" s="76"/>
      <c r="BZ64" s="76"/>
      <c r="CA64" s="76"/>
      <c r="CB64" s="76"/>
      <c r="CC64" s="76"/>
      <c r="IR64" s="8">
        <f>AX64*0.464668094218415</f>
        <v>0</v>
      </c>
      <c r="IS64" s="8">
        <f>AX64*(1-0.464668094218415)</f>
        <v>0</v>
      </c>
    </row>
    <row r="65" spans="1:253" ht="12.75">
      <c r="A65" s="81" t="s">
        <v>32</v>
      </c>
      <c r="B65" s="82"/>
      <c r="C65" s="81" t="s">
        <v>77</v>
      </c>
      <c r="D65" s="82"/>
      <c r="E65" s="82"/>
      <c r="F65" s="82"/>
      <c r="G65" s="82"/>
      <c r="H65" s="82"/>
      <c r="I65" s="81" t="s">
        <v>132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1" t="s">
        <v>156</v>
      </c>
      <c r="AF65" s="82"/>
      <c r="AG65" s="81" t="s">
        <v>196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75">
        <v>16.2</v>
      </c>
      <c r="AT65" s="76"/>
      <c r="AU65" s="76"/>
      <c r="AV65" s="76"/>
      <c r="AW65" s="76"/>
      <c r="AX65" s="75">
        <v>0</v>
      </c>
      <c r="AY65" s="76"/>
      <c r="AZ65" s="76"/>
      <c r="BA65" s="76"/>
      <c r="BB65" s="76"/>
      <c r="BC65" s="76"/>
      <c r="BD65" s="76"/>
      <c r="BE65" s="76"/>
      <c r="BF65" s="75">
        <f t="shared" si="4"/>
        <v>0</v>
      </c>
      <c r="BG65" s="76"/>
      <c r="BH65" s="76"/>
      <c r="BI65" s="76"/>
      <c r="BJ65" s="76"/>
      <c r="BK65" s="76"/>
      <c r="BL65" s="76"/>
      <c r="BM65" s="76"/>
      <c r="BN65" s="75">
        <f>'Stavební rozpočet'!K48</f>
        <v>0</v>
      </c>
      <c r="BO65" s="76"/>
      <c r="BP65" s="76"/>
      <c r="BQ65" s="76"/>
      <c r="BR65" s="76"/>
      <c r="BS65" s="76"/>
      <c r="BT65" s="76"/>
      <c r="BU65" s="76"/>
      <c r="BV65" s="75">
        <f t="shared" si="5"/>
        <v>0</v>
      </c>
      <c r="BW65" s="76"/>
      <c r="BX65" s="76"/>
      <c r="BY65" s="76"/>
      <c r="BZ65" s="76"/>
      <c r="CA65" s="76"/>
      <c r="CB65" s="76"/>
      <c r="CC65" s="76"/>
      <c r="IR65" s="8">
        <f>AX65*0</f>
        <v>0</v>
      </c>
      <c r="IS65" s="8">
        <f>AX65*(1-0)</f>
        <v>0</v>
      </c>
    </row>
    <row r="66" spans="1:253" ht="12.75">
      <c r="A66" s="92" t="s">
        <v>33</v>
      </c>
      <c r="B66" s="93"/>
      <c r="C66" s="92" t="s">
        <v>78</v>
      </c>
      <c r="D66" s="93"/>
      <c r="E66" s="93"/>
      <c r="F66" s="93"/>
      <c r="G66" s="93"/>
      <c r="H66" s="93"/>
      <c r="I66" s="92" t="s">
        <v>133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2" t="s">
        <v>156</v>
      </c>
      <c r="AF66" s="93"/>
      <c r="AG66" s="92" t="s">
        <v>197</v>
      </c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0">
        <v>17.82</v>
      </c>
      <c r="AT66" s="91"/>
      <c r="AU66" s="91"/>
      <c r="AV66" s="91"/>
      <c r="AW66" s="91"/>
      <c r="AX66" s="90">
        <v>0</v>
      </c>
      <c r="AY66" s="91"/>
      <c r="AZ66" s="91"/>
      <c r="BA66" s="91"/>
      <c r="BB66" s="91"/>
      <c r="BC66" s="91"/>
      <c r="BD66" s="91"/>
      <c r="BE66" s="91"/>
      <c r="BF66" s="90">
        <f t="shared" si="4"/>
        <v>0</v>
      </c>
      <c r="BG66" s="91"/>
      <c r="BH66" s="91"/>
      <c r="BI66" s="91"/>
      <c r="BJ66" s="91"/>
      <c r="BK66" s="91"/>
      <c r="BL66" s="91"/>
      <c r="BM66" s="91"/>
      <c r="BN66" s="90">
        <f>'Stavební rozpočet'!K49</f>
        <v>0.0105</v>
      </c>
      <c r="BO66" s="91"/>
      <c r="BP66" s="91"/>
      <c r="BQ66" s="91"/>
      <c r="BR66" s="91"/>
      <c r="BS66" s="91"/>
      <c r="BT66" s="91"/>
      <c r="BU66" s="91"/>
      <c r="BV66" s="90">
        <f t="shared" si="5"/>
        <v>0.18711000000000003</v>
      </c>
      <c r="BW66" s="91"/>
      <c r="BX66" s="91"/>
      <c r="BY66" s="91"/>
      <c r="BZ66" s="91"/>
      <c r="CA66" s="91"/>
      <c r="CB66" s="91"/>
      <c r="CC66" s="91"/>
      <c r="IR66" s="9">
        <f>AX66*1</f>
        <v>0</v>
      </c>
      <c r="IS66" s="9">
        <f>AX66*(1-1)</f>
        <v>0</v>
      </c>
    </row>
    <row r="67" spans="1:253" ht="12.75">
      <c r="A67" s="92" t="s">
        <v>34</v>
      </c>
      <c r="B67" s="93"/>
      <c r="C67" s="92" t="s">
        <v>79</v>
      </c>
      <c r="D67" s="93"/>
      <c r="E67" s="93"/>
      <c r="F67" s="93"/>
      <c r="G67" s="93"/>
      <c r="H67" s="93"/>
      <c r="I67" s="92" t="s">
        <v>134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2" t="s">
        <v>159</v>
      </c>
      <c r="AF67" s="93"/>
      <c r="AG67" s="92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0">
        <v>0</v>
      </c>
      <c r="AT67" s="91"/>
      <c r="AU67" s="91"/>
      <c r="AV67" s="91"/>
      <c r="AW67" s="91"/>
      <c r="AX67" s="90">
        <v>0</v>
      </c>
      <c r="AY67" s="91"/>
      <c r="AZ67" s="91"/>
      <c r="BA67" s="91"/>
      <c r="BB67" s="91"/>
      <c r="BC67" s="91"/>
      <c r="BD67" s="91"/>
      <c r="BE67" s="91"/>
      <c r="BF67" s="90">
        <f t="shared" si="4"/>
        <v>0</v>
      </c>
      <c r="BG67" s="91"/>
      <c r="BH67" s="91"/>
      <c r="BI67" s="91"/>
      <c r="BJ67" s="91"/>
      <c r="BK67" s="91"/>
      <c r="BL67" s="91"/>
      <c r="BM67" s="91"/>
      <c r="BN67" s="90">
        <f>'Stavební rozpočet'!K50</f>
        <v>0.001</v>
      </c>
      <c r="BO67" s="91"/>
      <c r="BP67" s="91"/>
      <c r="BQ67" s="91"/>
      <c r="BR67" s="91"/>
      <c r="BS67" s="91"/>
      <c r="BT67" s="91"/>
      <c r="BU67" s="91"/>
      <c r="BV67" s="90">
        <f t="shared" si="5"/>
        <v>0</v>
      </c>
      <c r="BW67" s="91"/>
      <c r="BX67" s="91"/>
      <c r="BY67" s="91"/>
      <c r="BZ67" s="91"/>
      <c r="CA67" s="91"/>
      <c r="CB67" s="91"/>
      <c r="CC67" s="91"/>
      <c r="IR67" s="9">
        <f>AX67*1</f>
        <v>0</v>
      </c>
      <c r="IS67" s="9">
        <f>AX67*(1-1)</f>
        <v>0</v>
      </c>
    </row>
    <row r="68" spans="1:81" ht="12.75">
      <c r="A68" s="87" t="s">
        <v>6</v>
      </c>
      <c r="B68" s="88"/>
      <c r="C68" s="87" t="s">
        <v>80</v>
      </c>
      <c r="D68" s="88"/>
      <c r="E68" s="88"/>
      <c r="F68" s="88"/>
      <c r="G68" s="88"/>
      <c r="H68" s="88"/>
      <c r="I68" s="87" t="s">
        <v>135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7" t="s">
        <v>6</v>
      </c>
      <c r="AF68" s="88"/>
      <c r="AG68" s="87" t="s">
        <v>6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3" t="s">
        <v>6</v>
      </c>
      <c r="AT68" s="84"/>
      <c r="AU68" s="84"/>
      <c r="AV68" s="84"/>
      <c r="AW68" s="84"/>
      <c r="AX68" s="83" t="s">
        <v>6</v>
      </c>
      <c r="AY68" s="84"/>
      <c r="AZ68" s="84"/>
      <c r="BA68" s="84"/>
      <c r="BB68" s="84"/>
      <c r="BC68" s="84"/>
      <c r="BD68" s="84"/>
      <c r="BE68" s="84"/>
      <c r="BF68" s="89">
        <f>SUM(BF69:BF70)</f>
        <v>0</v>
      </c>
      <c r="BG68" s="84"/>
      <c r="BH68" s="84"/>
      <c r="BI68" s="84"/>
      <c r="BJ68" s="84"/>
      <c r="BK68" s="84"/>
      <c r="BL68" s="84"/>
      <c r="BM68" s="84"/>
      <c r="BN68" s="83" t="s">
        <v>6</v>
      </c>
      <c r="BO68" s="84"/>
      <c r="BP68" s="84"/>
      <c r="BQ68" s="84"/>
      <c r="BR68" s="84"/>
      <c r="BS68" s="84"/>
      <c r="BT68" s="84"/>
      <c r="BU68" s="84"/>
      <c r="BV68" s="89">
        <f>SUM(BV69:BV70)</f>
        <v>0.017262</v>
      </c>
      <c r="BW68" s="84"/>
      <c r="BX68" s="84"/>
      <c r="BY68" s="84"/>
      <c r="BZ68" s="84"/>
      <c r="CA68" s="84"/>
      <c r="CB68" s="84"/>
      <c r="CC68" s="84"/>
    </row>
    <row r="69" spans="1:253" ht="12.75">
      <c r="A69" s="81" t="s">
        <v>35</v>
      </c>
      <c r="B69" s="82"/>
      <c r="C69" s="81" t="s">
        <v>81</v>
      </c>
      <c r="D69" s="82"/>
      <c r="E69" s="82"/>
      <c r="F69" s="82"/>
      <c r="G69" s="82"/>
      <c r="H69" s="82"/>
      <c r="I69" s="81" t="s">
        <v>136</v>
      </c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1" t="s">
        <v>156</v>
      </c>
      <c r="AF69" s="82"/>
      <c r="AG69" s="81" t="s">
        <v>198</v>
      </c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75">
        <v>41.1</v>
      </c>
      <c r="AT69" s="76"/>
      <c r="AU69" s="76"/>
      <c r="AV69" s="76"/>
      <c r="AW69" s="76"/>
      <c r="AX69" s="75">
        <v>0</v>
      </c>
      <c r="AY69" s="76"/>
      <c r="AZ69" s="76"/>
      <c r="BA69" s="76"/>
      <c r="BB69" s="76"/>
      <c r="BC69" s="76"/>
      <c r="BD69" s="76"/>
      <c r="BE69" s="76"/>
      <c r="BF69" s="75">
        <f>IR69*AS69+IS69*AS69</f>
        <v>0</v>
      </c>
      <c r="BG69" s="76"/>
      <c r="BH69" s="76"/>
      <c r="BI69" s="76"/>
      <c r="BJ69" s="76"/>
      <c r="BK69" s="76"/>
      <c r="BL69" s="76"/>
      <c r="BM69" s="76"/>
      <c r="BN69" s="75">
        <f>'Stavební rozpočet'!K52</f>
        <v>0.0002</v>
      </c>
      <c r="BO69" s="76"/>
      <c r="BP69" s="76"/>
      <c r="BQ69" s="76"/>
      <c r="BR69" s="76"/>
      <c r="BS69" s="76"/>
      <c r="BT69" s="76"/>
      <c r="BU69" s="76"/>
      <c r="BV69" s="75">
        <f>BN69*AS69</f>
        <v>0.00822</v>
      </c>
      <c r="BW69" s="76"/>
      <c r="BX69" s="76"/>
      <c r="BY69" s="76"/>
      <c r="BZ69" s="76"/>
      <c r="CA69" s="76"/>
      <c r="CB69" s="76"/>
      <c r="CC69" s="76"/>
      <c r="IR69" s="8">
        <f>AX69*0.413545816733068</f>
        <v>0</v>
      </c>
      <c r="IS69" s="8">
        <f>AX69*(1-0.413545816733068)</f>
        <v>0</v>
      </c>
    </row>
    <row r="70" spans="1:253" ht="12.75">
      <c r="A70" s="81" t="s">
        <v>36</v>
      </c>
      <c r="B70" s="82"/>
      <c r="C70" s="81" t="s">
        <v>82</v>
      </c>
      <c r="D70" s="82"/>
      <c r="E70" s="82"/>
      <c r="F70" s="82"/>
      <c r="G70" s="82"/>
      <c r="H70" s="82"/>
      <c r="I70" s="81" t="s">
        <v>137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1" t="s">
        <v>156</v>
      </c>
      <c r="AF70" s="82"/>
      <c r="AG70" s="81" t="s">
        <v>198</v>
      </c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75">
        <v>41.1</v>
      </c>
      <c r="AT70" s="76"/>
      <c r="AU70" s="76"/>
      <c r="AV70" s="76"/>
      <c r="AW70" s="76"/>
      <c r="AX70" s="75">
        <v>0</v>
      </c>
      <c r="AY70" s="76"/>
      <c r="AZ70" s="76"/>
      <c r="BA70" s="76"/>
      <c r="BB70" s="76"/>
      <c r="BC70" s="76"/>
      <c r="BD70" s="76"/>
      <c r="BE70" s="76"/>
      <c r="BF70" s="75">
        <f>IR70*AS70+IS70*AS70</f>
        <v>0</v>
      </c>
      <c r="BG70" s="76"/>
      <c r="BH70" s="76"/>
      <c r="BI70" s="76"/>
      <c r="BJ70" s="76"/>
      <c r="BK70" s="76"/>
      <c r="BL70" s="76"/>
      <c r="BM70" s="76"/>
      <c r="BN70" s="75">
        <f>'Stavební rozpočet'!K53</f>
        <v>0.00022</v>
      </c>
      <c r="BO70" s="76"/>
      <c r="BP70" s="76"/>
      <c r="BQ70" s="76"/>
      <c r="BR70" s="76"/>
      <c r="BS70" s="76"/>
      <c r="BT70" s="76"/>
      <c r="BU70" s="76"/>
      <c r="BV70" s="75">
        <f>BN70*AS70</f>
        <v>0.009042000000000001</v>
      </c>
      <c r="BW70" s="76"/>
      <c r="BX70" s="76"/>
      <c r="BY70" s="76"/>
      <c r="BZ70" s="76"/>
      <c r="CA70" s="76"/>
      <c r="CB70" s="76"/>
      <c r="CC70" s="76"/>
      <c r="IR70" s="8">
        <f>AX70*0.158394160583942</f>
        <v>0</v>
      </c>
      <c r="IS70" s="8">
        <f>AX70*(1-0.158394160583942)</f>
        <v>0</v>
      </c>
    </row>
    <row r="71" spans="1:81" ht="12.75">
      <c r="A71" s="87" t="s">
        <v>6</v>
      </c>
      <c r="B71" s="88"/>
      <c r="C71" s="87" t="s">
        <v>83</v>
      </c>
      <c r="D71" s="88"/>
      <c r="E71" s="88"/>
      <c r="F71" s="88"/>
      <c r="G71" s="88"/>
      <c r="H71" s="88"/>
      <c r="I71" s="87" t="s">
        <v>138</v>
      </c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7" t="s">
        <v>6</v>
      </c>
      <c r="AF71" s="88"/>
      <c r="AG71" s="87" t="s">
        <v>6</v>
      </c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3" t="s">
        <v>6</v>
      </c>
      <c r="AT71" s="84"/>
      <c r="AU71" s="84"/>
      <c r="AV71" s="84"/>
      <c r="AW71" s="84"/>
      <c r="AX71" s="83" t="s">
        <v>6</v>
      </c>
      <c r="AY71" s="84"/>
      <c r="AZ71" s="84"/>
      <c r="BA71" s="84"/>
      <c r="BB71" s="84"/>
      <c r="BC71" s="84"/>
      <c r="BD71" s="84"/>
      <c r="BE71" s="84"/>
      <c r="BF71" s="89">
        <f>SUM(BF72:BF73)</f>
        <v>0</v>
      </c>
      <c r="BG71" s="84"/>
      <c r="BH71" s="84"/>
      <c r="BI71" s="84"/>
      <c r="BJ71" s="84"/>
      <c r="BK71" s="84"/>
      <c r="BL71" s="84"/>
      <c r="BM71" s="84"/>
      <c r="BN71" s="83" t="s">
        <v>6</v>
      </c>
      <c r="BO71" s="84"/>
      <c r="BP71" s="84"/>
      <c r="BQ71" s="84"/>
      <c r="BR71" s="84"/>
      <c r="BS71" s="84"/>
      <c r="BT71" s="84"/>
      <c r="BU71" s="84"/>
      <c r="BV71" s="89">
        <f>SUM(BV72:BV73)</f>
        <v>0.1027</v>
      </c>
      <c r="BW71" s="84"/>
      <c r="BX71" s="84"/>
      <c r="BY71" s="84"/>
      <c r="BZ71" s="84"/>
      <c r="CA71" s="84"/>
      <c r="CB71" s="84"/>
      <c r="CC71" s="84"/>
    </row>
    <row r="72" spans="1:253" ht="12.75">
      <c r="A72" s="81" t="s">
        <v>37</v>
      </c>
      <c r="B72" s="82"/>
      <c r="C72" s="81" t="s">
        <v>84</v>
      </c>
      <c r="D72" s="82"/>
      <c r="E72" s="82"/>
      <c r="F72" s="82"/>
      <c r="G72" s="82"/>
      <c r="H72" s="82"/>
      <c r="I72" s="81" t="s">
        <v>139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1" t="s">
        <v>156</v>
      </c>
      <c r="AF72" s="82"/>
      <c r="AG72" s="81" t="s">
        <v>199</v>
      </c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75">
        <v>65</v>
      </c>
      <c r="AT72" s="76"/>
      <c r="AU72" s="76"/>
      <c r="AV72" s="76"/>
      <c r="AW72" s="76"/>
      <c r="AX72" s="75">
        <v>0</v>
      </c>
      <c r="AY72" s="76"/>
      <c r="AZ72" s="76"/>
      <c r="BA72" s="76"/>
      <c r="BB72" s="76"/>
      <c r="BC72" s="76"/>
      <c r="BD72" s="76"/>
      <c r="BE72" s="76"/>
      <c r="BF72" s="75">
        <f>IR72*AS72+IS72*AS72</f>
        <v>0</v>
      </c>
      <c r="BG72" s="76"/>
      <c r="BH72" s="76"/>
      <c r="BI72" s="76"/>
      <c r="BJ72" s="76"/>
      <c r="BK72" s="76"/>
      <c r="BL72" s="76"/>
      <c r="BM72" s="76"/>
      <c r="BN72" s="75">
        <f>'Stavební rozpočet'!K55</f>
        <v>0.00158</v>
      </c>
      <c r="BO72" s="76"/>
      <c r="BP72" s="76"/>
      <c r="BQ72" s="76"/>
      <c r="BR72" s="76"/>
      <c r="BS72" s="76"/>
      <c r="BT72" s="76"/>
      <c r="BU72" s="76"/>
      <c r="BV72" s="75">
        <f>BN72*AS72</f>
        <v>0.1027</v>
      </c>
      <c r="BW72" s="76"/>
      <c r="BX72" s="76"/>
      <c r="BY72" s="76"/>
      <c r="BZ72" s="76"/>
      <c r="CA72" s="76"/>
      <c r="CB72" s="76"/>
      <c r="CC72" s="76"/>
      <c r="IR72" s="8">
        <f>AX72*0.365426356589147</f>
        <v>0</v>
      </c>
      <c r="IS72" s="8">
        <f>AX72*(1-0.365426356589147)</f>
        <v>0</v>
      </c>
    </row>
    <row r="73" spans="1:253" ht="12.75">
      <c r="A73" s="81"/>
      <c r="B73" s="82"/>
      <c r="C73" s="81"/>
      <c r="D73" s="82"/>
      <c r="E73" s="82"/>
      <c r="F73" s="82"/>
      <c r="G73" s="82"/>
      <c r="H73" s="82"/>
      <c r="I73" s="81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1"/>
      <c r="AF73" s="82"/>
      <c r="AG73" s="81" t="s">
        <v>200</v>
      </c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75">
        <v>30</v>
      </c>
      <c r="AT73" s="76"/>
      <c r="AU73" s="76"/>
      <c r="AV73" s="76"/>
      <c r="AW73" s="76"/>
      <c r="AX73" s="75"/>
      <c r="AY73" s="76"/>
      <c r="AZ73" s="76"/>
      <c r="BA73" s="76"/>
      <c r="BB73" s="76"/>
      <c r="BC73" s="76"/>
      <c r="BD73" s="76"/>
      <c r="BE73" s="76"/>
      <c r="BF73" s="82"/>
      <c r="BG73" s="82"/>
      <c r="BH73" s="82"/>
      <c r="BI73" s="82"/>
      <c r="BJ73" s="82"/>
      <c r="BK73" s="82"/>
      <c r="BL73" s="82"/>
      <c r="BM73" s="82"/>
      <c r="BN73" s="75"/>
      <c r="BO73" s="76"/>
      <c r="BP73" s="76"/>
      <c r="BQ73" s="76"/>
      <c r="BR73" s="76"/>
      <c r="BS73" s="76"/>
      <c r="BT73" s="76"/>
      <c r="BU73" s="76"/>
      <c r="BV73" s="82"/>
      <c r="BW73" s="82"/>
      <c r="BX73" s="82"/>
      <c r="BY73" s="82"/>
      <c r="BZ73" s="82"/>
      <c r="CA73" s="82"/>
      <c r="CB73" s="82"/>
      <c r="CC73" s="82"/>
      <c r="IR73" s="8">
        <f>AX73*0.365426356589147</f>
        <v>0</v>
      </c>
      <c r="IS73" s="8">
        <f>AX73*(1-0.365426356589147)</f>
        <v>0</v>
      </c>
    </row>
    <row r="74" spans="1:81" ht="12.75">
      <c r="A74" s="87" t="s">
        <v>6</v>
      </c>
      <c r="B74" s="88"/>
      <c r="C74" s="87" t="s">
        <v>85</v>
      </c>
      <c r="D74" s="88"/>
      <c r="E74" s="88"/>
      <c r="F74" s="88"/>
      <c r="G74" s="88"/>
      <c r="H74" s="88"/>
      <c r="I74" s="87" t="s">
        <v>140</v>
      </c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7" t="s">
        <v>6</v>
      </c>
      <c r="AF74" s="88"/>
      <c r="AG74" s="87" t="s">
        <v>6</v>
      </c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3" t="s">
        <v>6</v>
      </c>
      <c r="AT74" s="84"/>
      <c r="AU74" s="84"/>
      <c r="AV74" s="84"/>
      <c r="AW74" s="84"/>
      <c r="AX74" s="83" t="s">
        <v>6</v>
      </c>
      <c r="AY74" s="84"/>
      <c r="AZ74" s="84"/>
      <c r="BA74" s="84"/>
      <c r="BB74" s="84"/>
      <c r="BC74" s="84"/>
      <c r="BD74" s="84"/>
      <c r="BE74" s="84"/>
      <c r="BF74" s="89">
        <f>SUM(BF75:BF75)</f>
        <v>0</v>
      </c>
      <c r="BG74" s="84"/>
      <c r="BH74" s="84"/>
      <c r="BI74" s="84"/>
      <c r="BJ74" s="84"/>
      <c r="BK74" s="84"/>
      <c r="BL74" s="84"/>
      <c r="BM74" s="84"/>
      <c r="BN74" s="83" t="s">
        <v>6</v>
      </c>
      <c r="BO74" s="84"/>
      <c r="BP74" s="84"/>
      <c r="BQ74" s="84"/>
      <c r="BR74" s="84"/>
      <c r="BS74" s="84"/>
      <c r="BT74" s="84"/>
      <c r="BU74" s="84"/>
      <c r="BV74" s="89">
        <f>SUM(BV75:BV75)</f>
        <v>0.0061600000000000005</v>
      </c>
      <c r="BW74" s="84"/>
      <c r="BX74" s="84"/>
      <c r="BY74" s="84"/>
      <c r="BZ74" s="84"/>
      <c r="CA74" s="84"/>
      <c r="CB74" s="84"/>
      <c r="CC74" s="84"/>
    </row>
    <row r="75" spans="1:253" ht="12.75">
      <c r="A75" s="81" t="s">
        <v>38</v>
      </c>
      <c r="B75" s="82"/>
      <c r="C75" s="81" t="s">
        <v>86</v>
      </c>
      <c r="D75" s="82"/>
      <c r="E75" s="82"/>
      <c r="F75" s="82"/>
      <c r="G75" s="82"/>
      <c r="H75" s="82"/>
      <c r="I75" s="81" t="s">
        <v>141</v>
      </c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1" t="s">
        <v>156</v>
      </c>
      <c r="AF75" s="82"/>
      <c r="AG75" s="81" t="s">
        <v>201</v>
      </c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75">
        <v>154</v>
      </c>
      <c r="AT75" s="76"/>
      <c r="AU75" s="76"/>
      <c r="AV75" s="76"/>
      <c r="AW75" s="76"/>
      <c r="AX75" s="75">
        <v>0</v>
      </c>
      <c r="AY75" s="76"/>
      <c r="AZ75" s="76"/>
      <c r="BA75" s="76"/>
      <c r="BB75" s="76"/>
      <c r="BC75" s="76"/>
      <c r="BD75" s="76"/>
      <c r="BE75" s="76"/>
      <c r="BF75" s="75">
        <f>IR75*AS75+IS75*AS75</f>
        <v>0</v>
      </c>
      <c r="BG75" s="76"/>
      <c r="BH75" s="76"/>
      <c r="BI75" s="76"/>
      <c r="BJ75" s="76"/>
      <c r="BK75" s="76"/>
      <c r="BL75" s="76"/>
      <c r="BM75" s="76"/>
      <c r="BN75" s="75">
        <f>'Stavební rozpočet'!K57</f>
        <v>4E-05</v>
      </c>
      <c r="BO75" s="76"/>
      <c r="BP75" s="76"/>
      <c r="BQ75" s="76"/>
      <c r="BR75" s="76"/>
      <c r="BS75" s="76"/>
      <c r="BT75" s="76"/>
      <c r="BU75" s="76"/>
      <c r="BV75" s="75">
        <f>BN75*AS75</f>
        <v>0.0061600000000000005</v>
      </c>
      <c r="BW75" s="76"/>
      <c r="BX75" s="76"/>
      <c r="BY75" s="76"/>
      <c r="BZ75" s="76"/>
      <c r="CA75" s="76"/>
      <c r="CB75" s="76"/>
      <c r="CC75" s="76"/>
      <c r="IR75" s="8">
        <f>AX75*0.013</f>
        <v>0</v>
      </c>
      <c r="IS75" s="8">
        <f>AX75*(1-0.013)</f>
        <v>0</v>
      </c>
    </row>
    <row r="76" spans="1:81" ht="12.75">
      <c r="A76" s="87" t="s">
        <v>6</v>
      </c>
      <c r="B76" s="88"/>
      <c r="C76" s="87" t="s">
        <v>87</v>
      </c>
      <c r="D76" s="88"/>
      <c r="E76" s="88"/>
      <c r="F76" s="88"/>
      <c r="G76" s="88"/>
      <c r="H76" s="88"/>
      <c r="I76" s="87" t="s">
        <v>142</v>
      </c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7" t="s">
        <v>6</v>
      </c>
      <c r="AF76" s="88"/>
      <c r="AG76" s="87" t="s">
        <v>6</v>
      </c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3" t="s">
        <v>6</v>
      </c>
      <c r="AT76" s="84"/>
      <c r="AU76" s="84"/>
      <c r="AV76" s="84"/>
      <c r="AW76" s="84"/>
      <c r="AX76" s="83" t="s">
        <v>6</v>
      </c>
      <c r="AY76" s="84"/>
      <c r="AZ76" s="84"/>
      <c r="BA76" s="84"/>
      <c r="BB76" s="84"/>
      <c r="BC76" s="84"/>
      <c r="BD76" s="84"/>
      <c r="BE76" s="84"/>
      <c r="BF76" s="89">
        <f>SUM(BF77:BF85)</f>
        <v>0</v>
      </c>
      <c r="BG76" s="84"/>
      <c r="BH76" s="84"/>
      <c r="BI76" s="84"/>
      <c r="BJ76" s="84"/>
      <c r="BK76" s="84"/>
      <c r="BL76" s="84"/>
      <c r="BM76" s="84"/>
      <c r="BN76" s="83" t="s">
        <v>6</v>
      </c>
      <c r="BO76" s="84"/>
      <c r="BP76" s="84"/>
      <c r="BQ76" s="84"/>
      <c r="BR76" s="84"/>
      <c r="BS76" s="84"/>
      <c r="BT76" s="84"/>
      <c r="BU76" s="84"/>
      <c r="BV76" s="89">
        <f>SUM(BV77:BV85)</f>
        <v>5.880799999999999</v>
      </c>
      <c r="BW76" s="84"/>
      <c r="BX76" s="84"/>
      <c r="BY76" s="84"/>
      <c r="BZ76" s="84"/>
      <c r="CA76" s="84"/>
      <c r="CB76" s="84"/>
      <c r="CC76" s="84"/>
    </row>
    <row r="77" spans="1:253" ht="12.75">
      <c r="A77" s="81" t="s">
        <v>39</v>
      </c>
      <c r="B77" s="82"/>
      <c r="C77" s="81" t="s">
        <v>88</v>
      </c>
      <c r="D77" s="82"/>
      <c r="E77" s="82"/>
      <c r="F77" s="82"/>
      <c r="G77" s="82"/>
      <c r="H77" s="82"/>
      <c r="I77" s="81" t="s">
        <v>143</v>
      </c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1" t="s">
        <v>156</v>
      </c>
      <c r="AF77" s="82"/>
      <c r="AG77" s="81" t="s">
        <v>202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75">
        <v>57.3</v>
      </c>
      <c r="AT77" s="76"/>
      <c r="AU77" s="76"/>
      <c r="AV77" s="76"/>
      <c r="AW77" s="76"/>
      <c r="AX77" s="75">
        <v>0</v>
      </c>
      <c r="AY77" s="76"/>
      <c r="AZ77" s="76"/>
      <c r="BA77" s="76"/>
      <c r="BB77" s="76"/>
      <c r="BC77" s="76"/>
      <c r="BD77" s="76"/>
      <c r="BE77" s="76"/>
      <c r="BF77" s="75">
        <f>IR77*AS77+IS77*AS77</f>
        <v>0</v>
      </c>
      <c r="BG77" s="76"/>
      <c r="BH77" s="76"/>
      <c r="BI77" s="76"/>
      <c r="BJ77" s="76"/>
      <c r="BK77" s="76"/>
      <c r="BL77" s="76"/>
      <c r="BM77" s="76"/>
      <c r="BN77" s="75">
        <f>'Stavební rozpočet'!K59</f>
        <v>0.046</v>
      </c>
      <c r="BO77" s="76"/>
      <c r="BP77" s="76"/>
      <c r="BQ77" s="76"/>
      <c r="BR77" s="76"/>
      <c r="BS77" s="76"/>
      <c r="BT77" s="76"/>
      <c r="BU77" s="76"/>
      <c r="BV77" s="75">
        <f>BN77*AS77</f>
        <v>2.6357999999999997</v>
      </c>
      <c r="BW77" s="76"/>
      <c r="BX77" s="76"/>
      <c r="BY77" s="76"/>
      <c r="BZ77" s="76"/>
      <c r="CA77" s="76"/>
      <c r="CB77" s="76"/>
      <c r="CC77" s="76"/>
      <c r="IR77" s="8">
        <f aca="true" t="shared" si="6" ref="IR77:IR85">AX77*0</f>
        <v>0</v>
      </c>
      <c r="IS77" s="8">
        <f aca="true" t="shared" si="7" ref="IS77:IS85">AX77*(1-0)</f>
        <v>0</v>
      </c>
    </row>
    <row r="78" spans="1:253" ht="12.75">
      <c r="A78" s="81"/>
      <c r="B78" s="82"/>
      <c r="C78" s="81"/>
      <c r="D78" s="82"/>
      <c r="E78" s="82"/>
      <c r="F78" s="82"/>
      <c r="G78" s="82"/>
      <c r="H78" s="82"/>
      <c r="I78" s="81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1"/>
      <c r="AF78" s="82"/>
      <c r="AG78" s="81" t="s">
        <v>203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75">
        <v>8.7</v>
      </c>
      <c r="AT78" s="76"/>
      <c r="AU78" s="76"/>
      <c r="AV78" s="76"/>
      <c r="AW78" s="76"/>
      <c r="AX78" s="75"/>
      <c r="AY78" s="76"/>
      <c r="AZ78" s="76"/>
      <c r="BA78" s="76"/>
      <c r="BB78" s="76"/>
      <c r="BC78" s="76"/>
      <c r="BD78" s="76"/>
      <c r="BE78" s="76"/>
      <c r="BF78" s="82"/>
      <c r="BG78" s="82"/>
      <c r="BH78" s="82"/>
      <c r="BI78" s="82"/>
      <c r="BJ78" s="82"/>
      <c r="BK78" s="82"/>
      <c r="BL78" s="82"/>
      <c r="BM78" s="82"/>
      <c r="BN78" s="75"/>
      <c r="BO78" s="76"/>
      <c r="BP78" s="76"/>
      <c r="BQ78" s="76"/>
      <c r="BR78" s="76"/>
      <c r="BS78" s="76"/>
      <c r="BT78" s="76"/>
      <c r="BU78" s="76"/>
      <c r="BV78" s="82"/>
      <c r="BW78" s="82"/>
      <c r="BX78" s="82"/>
      <c r="BY78" s="82"/>
      <c r="BZ78" s="82"/>
      <c r="CA78" s="82"/>
      <c r="CB78" s="82"/>
      <c r="CC78" s="82"/>
      <c r="IR78" s="8">
        <f t="shared" si="6"/>
        <v>0</v>
      </c>
      <c r="IS78" s="8">
        <f t="shared" si="7"/>
        <v>0</v>
      </c>
    </row>
    <row r="79" spans="1:253" ht="12.75">
      <c r="A79" s="81"/>
      <c r="B79" s="82"/>
      <c r="C79" s="81"/>
      <c r="D79" s="82"/>
      <c r="E79" s="82"/>
      <c r="F79" s="82"/>
      <c r="G79" s="82"/>
      <c r="H79" s="82"/>
      <c r="I79" s="81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1"/>
      <c r="AF79" s="82"/>
      <c r="AG79" s="81" t="s">
        <v>12</v>
      </c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75">
        <v>6</v>
      </c>
      <c r="AT79" s="76"/>
      <c r="AU79" s="76"/>
      <c r="AV79" s="76"/>
      <c r="AW79" s="76"/>
      <c r="AX79" s="75"/>
      <c r="AY79" s="76"/>
      <c r="AZ79" s="76"/>
      <c r="BA79" s="76"/>
      <c r="BB79" s="76"/>
      <c r="BC79" s="76"/>
      <c r="BD79" s="76"/>
      <c r="BE79" s="76"/>
      <c r="BF79" s="82"/>
      <c r="BG79" s="82"/>
      <c r="BH79" s="82"/>
      <c r="BI79" s="82"/>
      <c r="BJ79" s="82"/>
      <c r="BK79" s="82"/>
      <c r="BL79" s="82"/>
      <c r="BM79" s="82"/>
      <c r="BN79" s="75"/>
      <c r="BO79" s="76"/>
      <c r="BP79" s="76"/>
      <c r="BQ79" s="76"/>
      <c r="BR79" s="76"/>
      <c r="BS79" s="76"/>
      <c r="BT79" s="76"/>
      <c r="BU79" s="76"/>
      <c r="BV79" s="82"/>
      <c r="BW79" s="82"/>
      <c r="BX79" s="82"/>
      <c r="BY79" s="82"/>
      <c r="BZ79" s="82"/>
      <c r="CA79" s="82"/>
      <c r="CB79" s="82"/>
      <c r="CC79" s="82"/>
      <c r="IR79" s="8">
        <f t="shared" si="6"/>
        <v>0</v>
      </c>
      <c r="IS79" s="8">
        <f t="shared" si="7"/>
        <v>0</v>
      </c>
    </row>
    <row r="80" spans="1:253" ht="12.75">
      <c r="A80" s="81"/>
      <c r="B80" s="82"/>
      <c r="C80" s="81"/>
      <c r="D80" s="82"/>
      <c r="E80" s="82"/>
      <c r="F80" s="82"/>
      <c r="G80" s="82"/>
      <c r="H80" s="82"/>
      <c r="I80" s="81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1"/>
      <c r="AF80" s="82"/>
      <c r="AG80" s="81" t="s">
        <v>204</v>
      </c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75">
        <v>3.3</v>
      </c>
      <c r="AT80" s="76"/>
      <c r="AU80" s="76"/>
      <c r="AV80" s="76"/>
      <c r="AW80" s="76"/>
      <c r="AX80" s="75"/>
      <c r="AY80" s="76"/>
      <c r="AZ80" s="76"/>
      <c r="BA80" s="76"/>
      <c r="BB80" s="76"/>
      <c r="BC80" s="76"/>
      <c r="BD80" s="76"/>
      <c r="BE80" s="76"/>
      <c r="BF80" s="82"/>
      <c r="BG80" s="82"/>
      <c r="BH80" s="82"/>
      <c r="BI80" s="82"/>
      <c r="BJ80" s="82"/>
      <c r="BK80" s="82"/>
      <c r="BL80" s="82"/>
      <c r="BM80" s="82"/>
      <c r="BN80" s="75"/>
      <c r="BO80" s="76"/>
      <c r="BP80" s="76"/>
      <c r="BQ80" s="76"/>
      <c r="BR80" s="76"/>
      <c r="BS80" s="76"/>
      <c r="BT80" s="76"/>
      <c r="BU80" s="76"/>
      <c r="BV80" s="82"/>
      <c r="BW80" s="82"/>
      <c r="BX80" s="82"/>
      <c r="BY80" s="82"/>
      <c r="BZ80" s="82"/>
      <c r="CA80" s="82"/>
      <c r="CB80" s="82"/>
      <c r="CC80" s="82"/>
      <c r="IR80" s="8">
        <f t="shared" si="6"/>
        <v>0</v>
      </c>
      <c r="IS80" s="8">
        <f t="shared" si="7"/>
        <v>0</v>
      </c>
    </row>
    <row r="81" spans="1:253" ht="12.75">
      <c r="A81" s="81"/>
      <c r="B81" s="82"/>
      <c r="C81" s="81"/>
      <c r="D81" s="82"/>
      <c r="E81" s="82"/>
      <c r="F81" s="82"/>
      <c r="G81" s="82"/>
      <c r="H81" s="82"/>
      <c r="I81" s="81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1"/>
      <c r="AF81" s="82"/>
      <c r="AG81" s="81" t="s">
        <v>205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75">
        <v>3.8</v>
      </c>
      <c r="AT81" s="76"/>
      <c r="AU81" s="76"/>
      <c r="AV81" s="76"/>
      <c r="AW81" s="76"/>
      <c r="AX81" s="75"/>
      <c r="AY81" s="76"/>
      <c r="AZ81" s="76"/>
      <c r="BA81" s="76"/>
      <c r="BB81" s="76"/>
      <c r="BC81" s="76"/>
      <c r="BD81" s="76"/>
      <c r="BE81" s="76"/>
      <c r="BF81" s="82"/>
      <c r="BG81" s="82"/>
      <c r="BH81" s="82"/>
      <c r="BI81" s="82"/>
      <c r="BJ81" s="82"/>
      <c r="BK81" s="82"/>
      <c r="BL81" s="82"/>
      <c r="BM81" s="82"/>
      <c r="BN81" s="75"/>
      <c r="BO81" s="76"/>
      <c r="BP81" s="76"/>
      <c r="BQ81" s="76"/>
      <c r="BR81" s="76"/>
      <c r="BS81" s="76"/>
      <c r="BT81" s="76"/>
      <c r="BU81" s="76"/>
      <c r="BV81" s="82"/>
      <c r="BW81" s="82"/>
      <c r="BX81" s="82"/>
      <c r="BY81" s="82"/>
      <c r="BZ81" s="82"/>
      <c r="CA81" s="82"/>
      <c r="CB81" s="82"/>
      <c r="CC81" s="82"/>
      <c r="IR81" s="8">
        <f t="shared" si="6"/>
        <v>0</v>
      </c>
      <c r="IS81" s="8">
        <f t="shared" si="7"/>
        <v>0</v>
      </c>
    </row>
    <row r="82" spans="1:253" ht="12.75">
      <c r="A82" s="81"/>
      <c r="B82" s="82"/>
      <c r="C82" s="81"/>
      <c r="D82" s="82"/>
      <c r="E82" s="82"/>
      <c r="F82" s="82"/>
      <c r="G82" s="82"/>
      <c r="H82" s="82"/>
      <c r="I82" s="81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1"/>
      <c r="AF82" s="82"/>
      <c r="AG82" s="81" t="s">
        <v>206</v>
      </c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75">
        <v>4.7</v>
      </c>
      <c r="AT82" s="76"/>
      <c r="AU82" s="76"/>
      <c r="AV82" s="76"/>
      <c r="AW82" s="76"/>
      <c r="AX82" s="75"/>
      <c r="AY82" s="76"/>
      <c r="AZ82" s="76"/>
      <c r="BA82" s="76"/>
      <c r="BB82" s="76"/>
      <c r="BC82" s="76"/>
      <c r="BD82" s="76"/>
      <c r="BE82" s="76"/>
      <c r="BF82" s="82"/>
      <c r="BG82" s="82"/>
      <c r="BH82" s="82"/>
      <c r="BI82" s="82"/>
      <c r="BJ82" s="82"/>
      <c r="BK82" s="82"/>
      <c r="BL82" s="82"/>
      <c r="BM82" s="82"/>
      <c r="BN82" s="75"/>
      <c r="BO82" s="76"/>
      <c r="BP82" s="76"/>
      <c r="BQ82" s="76"/>
      <c r="BR82" s="76"/>
      <c r="BS82" s="76"/>
      <c r="BT82" s="76"/>
      <c r="BU82" s="76"/>
      <c r="BV82" s="82"/>
      <c r="BW82" s="82"/>
      <c r="BX82" s="82"/>
      <c r="BY82" s="82"/>
      <c r="BZ82" s="82"/>
      <c r="CA82" s="82"/>
      <c r="CB82" s="82"/>
      <c r="CC82" s="82"/>
      <c r="IR82" s="8">
        <f t="shared" si="6"/>
        <v>0</v>
      </c>
      <c r="IS82" s="8">
        <f t="shared" si="7"/>
        <v>0</v>
      </c>
    </row>
    <row r="83" spans="1:253" ht="12.75">
      <c r="A83" s="81"/>
      <c r="B83" s="82"/>
      <c r="C83" s="81"/>
      <c r="D83" s="82"/>
      <c r="E83" s="82"/>
      <c r="F83" s="82"/>
      <c r="G83" s="82"/>
      <c r="H83" s="82"/>
      <c r="I83" s="81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1"/>
      <c r="AF83" s="82"/>
      <c r="AG83" s="81" t="s">
        <v>11</v>
      </c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75">
        <v>5</v>
      </c>
      <c r="AT83" s="76"/>
      <c r="AU83" s="76"/>
      <c r="AV83" s="76"/>
      <c r="AW83" s="76"/>
      <c r="AX83" s="75"/>
      <c r="AY83" s="76"/>
      <c r="AZ83" s="76"/>
      <c r="BA83" s="76"/>
      <c r="BB83" s="76"/>
      <c r="BC83" s="76"/>
      <c r="BD83" s="76"/>
      <c r="BE83" s="76"/>
      <c r="BF83" s="82"/>
      <c r="BG83" s="82"/>
      <c r="BH83" s="82"/>
      <c r="BI83" s="82"/>
      <c r="BJ83" s="82"/>
      <c r="BK83" s="82"/>
      <c r="BL83" s="82"/>
      <c r="BM83" s="82"/>
      <c r="BN83" s="75"/>
      <c r="BO83" s="76"/>
      <c r="BP83" s="76"/>
      <c r="BQ83" s="76"/>
      <c r="BR83" s="76"/>
      <c r="BS83" s="76"/>
      <c r="BT83" s="76"/>
      <c r="BU83" s="76"/>
      <c r="BV83" s="82"/>
      <c r="BW83" s="82"/>
      <c r="BX83" s="82"/>
      <c r="BY83" s="82"/>
      <c r="BZ83" s="82"/>
      <c r="CA83" s="82"/>
      <c r="CB83" s="82"/>
      <c r="CC83" s="82"/>
      <c r="IR83" s="8">
        <f t="shared" si="6"/>
        <v>0</v>
      </c>
      <c r="IS83" s="8">
        <f t="shared" si="7"/>
        <v>0</v>
      </c>
    </row>
    <row r="84" spans="1:253" ht="12.75">
      <c r="A84" s="81"/>
      <c r="B84" s="82"/>
      <c r="C84" s="81"/>
      <c r="D84" s="82"/>
      <c r="E84" s="82"/>
      <c r="F84" s="82"/>
      <c r="G84" s="82"/>
      <c r="H84" s="82"/>
      <c r="I84" s="81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1"/>
      <c r="AF84" s="82"/>
      <c r="AG84" s="81" t="s">
        <v>207</v>
      </c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75">
        <v>14.4</v>
      </c>
      <c r="AT84" s="76"/>
      <c r="AU84" s="76"/>
      <c r="AV84" s="76"/>
      <c r="AW84" s="76"/>
      <c r="AX84" s="75"/>
      <c r="AY84" s="76"/>
      <c r="AZ84" s="76"/>
      <c r="BA84" s="76"/>
      <c r="BB84" s="76"/>
      <c r="BC84" s="76"/>
      <c r="BD84" s="76"/>
      <c r="BE84" s="76"/>
      <c r="BF84" s="82"/>
      <c r="BG84" s="82"/>
      <c r="BH84" s="82"/>
      <c r="BI84" s="82"/>
      <c r="BJ84" s="82"/>
      <c r="BK84" s="82"/>
      <c r="BL84" s="82"/>
      <c r="BM84" s="82"/>
      <c r="BN84" s="75"/>
      <c r="BO84" s="76"/>
      <c r="BP84" s="76"/>
      <c r="BQ84" s="76"/>
      <c r="BR84" s="76"/>
      <c r="BS84" s="76"/>
      <c r="BT84" s="76"/>
      <c r="BU84" s="76"/>
      <c r="BV84" s="82"/>
      <c r="BW84" s="82"/>
      <c r="BX84" s="82"/>
      <c r="BY84" s="82"/>
      <c r="BZ84" s="82"/>
      <c r="CA84" s="82"/>
      <c r="CB84" s="82"/>
      <c r="CC84" s="82"/>
      <c r="IR84" s="8">
        <f t="shared" si="6"/>
        <v>0</v>
      </c>
      <c r="IS84" s="8">
        <f t="shared" si="7"/>
        <v>0</v>
      </c>
    </row>
    <row r="85" spans="1:253" ht="12.75">
      <c r="A85" s="81" t="s">
        <v>40</v>
      </c>
      <c r="B85" s="82"/>
      <c r="C85" s="81" t="s">
        <v>89</v>
      </c>
      <c r="D85" s="82"/>
      <c r="E85" s="82"/>
      <c r="F85" s="82"/>
      <c r="G85" s="82"/>
      <c r="H85" s="82"/>
      <c r="I85" s="81" t="s">
        <v>144</v>
      </c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1" t="s">
        <v>156</v>
      </c>
      <c r="AF85" s="82"/>
      <c r="AG85" s="81" t="s">
        <v>208</v>
      </c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75">
        <v>55</v>
      </c>
      <c r="AT85" s="76"/>
      <c r="AU85" s="76"/>
      <c r="AV85" s="76"/>
      <c r="AW85" s="76"/>
      <c r="AX85" s="75">
        <v>0</v>
      </c>
      <c r="AY85" s="76"/>
      <c r="AZ85" s="76"/>
      <c r="BA85" s="76"/>
      <c r="BB85" s="76"/>
      <c r="BC85" s="76"/>
      <c r="BD85" s="76"/>
      <c r="BE85" s="76"/>
      <c r="BF85" s="75">
        <f>IR85*AS85+IS85*AS85</f>
        <v>0</v>
      </c>
      <c r="BG85" s="76"/>
      <c r="BH85" s="76"/>
      <c r="BI85" s="76"/>
      <c r="BJ85" s="76"/>
      <c r="BK85" s="76"/>
      <c r="BL85" s="76"/>
      <c r="BM85" s="76"/>
      <c r="BN85" s="75">
        <f>'Stavební rozpočet'!K60</f>
        <v>0.059</v>
      </c>
      <c r="BO85" s="76"/>
      <c r="BP85" s="76"/>
      <c r="BQ85" s="76"/>
      <c r="BR85" s="76"/>
      <c r="BS85" s="76"/>
      <c r="BT85" s="76"/>
      <c r="BU85" s="76"/>
      <c r="BV85" s="75">
        <f>BN85*AS85</f>
        <v>3.2449999999999997</v>
      </c>
      <c r="BW85" s="76"/>
      <c r="BX85" s="76"/>
      <c r="BY85" s="76"/>
      <c r="BZ85" s="76"/>
      <c r="CA85" s="76"/>
      <c r="CB85" s="76"/>
      <c r="CC85" s="76"/>
      <c r="IR85" s="8">
        <f t="shared" si="6"/>
        <v>0</v>
      </c>
      <c r="IS85" s="8">
        <f t="shared" si="7"/>
        <v>0</v>
      </c>
    </row>
    <row r="86" spans="1:81" ht="12.75">
      <c r="A86" s="87" t="s">
        <v>6</v>
      </c>
      <c r="B86" s="88"/>
      <c r="C86" s="87" t="s">
        <v>90</v>
      </c>
      <c r="D86" s="88"/>
      <c r="E86" s="88"/>
      <c r="F86" s="88"/>
      <c r="G86" s="88"/>
      <c r="H86" s="88"/>
      <c r="I86" s="87" t="s">
        <v>145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7" t="s">
        <v>6</v>
      </c>
      <c r="AF86" s="88"/>
      <c r="AG86" s="87" t="s">
        <v>6</v>
      </c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3" t="s">
        <v>6</v>
      </c>
      <c r="AT86" s="84"/>
      <c r="AU86" s="84"/>
      <c r="AV86" s="84"/>
      <c r="AW86" s="84"/>
      <c r="AX86" s="83" t="s">
        <v>6</v>
      </c>
      <c r="AY86" s="84"/>
      <c r="AZ86" s="84"/>
      <c r="BA86" s="84"/>
      <c r="BB86" s="84"/>
      <c r="BC86" s="84"/>
      <c r="BD86" s="84"/>
      <c r="BE86" s="84"/>
      <c r="BF86" s="85">
        <f>SUM(BF87:BF91)</f>
        <v>0</v>
      </c>
      <c r="BG86" s="86"/>
      <c r="BH86" s="86"/>
      <c r="BI86" s="86"/>
      <c r="BJ86" s="86"/>
      <c r="BK86" s="86"/>
      <c r="BL86" s="86"/>
      <c r="BM86" s="86"/>
      <c r="BN86" s="83" t="s">
        <v>6</v>
      </c>
      <c r="BO86" s="84"/>
      <c r="BP86" s="84"/>
      <c r="BQ86" s="84"/>
      <c r="BR86" s="84"/>
      <c r="BS86" s="84"/>
      <c r="BT86" s="84"/>
      <c r="BU86" s="84"/>
      <c r="BV86" s="85">
        <f>SUM(BV87:BV91)</f>
        <v>0</v>
      </c>
      <c r="BW86" s="86"/>
      <c r="BX86" s="86"/>
      <c r="BY86" s="86"/>
      <c r="BZ86" s="86"/>
      <c r="CA86" s="86"/>
      <c r="CB86" s="86"/>
      <c r="CC86" s="86"/>
    </row>
    <row r="87" spans="1:253" ht="12.75">
      <c r="A87" s="81" t="s">
        <v>41</v>
      </c>
      <c r="B87" s="82"/>
      <c r="C87" s="81" t="s">
        <v>91</v>
      </c>
      <c r="D87" s="82"/>
      <c r="E87" s="82"/>
      <c r="F87" s="82"/>
      <c r="G87" s="82"/>
      <c r="H87" s="82"/>
      <c r="I87" s="81" t="s">
        <v>146</v>
      </c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1" t="s">
        <v>153</v>
      </c>
      <c r="AF87" s="82"/>
      <c r="AG87" s="81" t="s">
        <v>209</v>
      </c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75">
        <v>11.875</v>
      </c>
      <c r="AT87" s="76"/>
      <c r="AU87" s="76"/>
      <c r="AV87" s="76"/>
      <c r="AW87" s="76"/>
      <c r="AX87" s="75">
        <v>0</v>
      </c>
      <c r="AY87" s="76"/>
      <c r="AZ87" s="76"/>
      <c r="BA87" s="76"/>
      <c r="BB87" s="76"/>
      <c r="BC87" s="76"/>
      <c r="BD87" s="76"/>
      <c r="BE87" s="76"/>
      <c r="BF87" s="75">
        <f>IR87*AS87+IS87*AS87</f>
        <v>0</v>
      </c>
      <c r="BG87" s="76"/>
      <c r="BH87" s="76"/>
      <c r="BI87" s="76"/>
      <c r="BJ87" s="76"/>
      <c r="BK87" s="76"/>
      <c r="BL87" s="76"/>
      <c r="BM87" s="76"/>
      <c r="BN87" s="75">
        <f>'Stavební rozpočet'!K62</f>
        <v>0</v>
      </c>
      <c r="BO87" s="76"/>
      <c r="BP87" s="76"/>
      <c r="BQ87" s="76"/>
      <c r="BR87" s="76"/>
      <c r="BS87" s="76"/>
      <c r="BT87" s="76"/>
      <c r="BU87" s="76"/>
      <c r="BV87" s="75">
        <f>BN87*AS87</f>
        <v>0</v>
      </c>
      <c r="BW87" s="76"/>
      <c r="BX87" s="76"/>
      <c r="BY87" s="76"/>
      <c r="BZ87" s="76"/>
      <c r="CA87" s="76"/>
      <c r="CB87" s="76"/>
      <c r="CC87" s="76"/>
      <c r="IR87" s="8">
        <f>AX87*0</f>
        <v>0</v>
      </c>
      <c r="IS87" s="8">
        <f>AX87*(1-0)</f>
        <v>0</v>
      </c>
    </row>
    <row r="88" spans="1:253" ht="12.75">
      <c r="A88" s="81" t="s">
        <v>42</v>
      </c>
      <c r="B88" s="82"/>
      <c r="C88" s="81" t="s">
        <v>92</v>
      </c>
      <c r="D88" s="82"/>
      <c r="E88" s="82"/>
      <c r="F88" s="82"/>
      <c r="G88" s="82"/>
      <c r="H88" s="82"/>
      <c r="I88" s="81" t="s">
        <v>147</v>
      </c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1" t="s">
        <v>153</v>
      </c>
      <c r="AF88" s="82"/>
      <c r="AG88" s="81" t="s">
        <v>210</v>
      </c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75">
        <v>106.875</v>
      </c>
      <c r="AT88" s="76"/>
      <c r="AU88" s="76"/>
      <c r="AV88" s="76"/>
      <c r="AW88" s="76"/>
      <c r="AX88" s="75">
        <v>0</v>
      </c>
      <c r="AY88" s="76"/>
      <c r="AZ88" s="76"/>
      <c r="BA88" s="76"/>
      <c r="BB88" s="76"/>
      <c r="BC88" s="76"/>
      <c r="BD88" s="76"/>
      <c r="BE88" s="76"/>
      <c r="BF88" s="75">
        <f>IR88*AS88+IS88*AS88</f>
        <v>0</v>
      </c>
      <c r="BG88" s="76"/>
      <c r="BH88" s="76"/>
      <c r="BI88" s="76"/>
      <c r="BJ88" s="76"/>
      <c r="BK88" s="76"/>
      <c r="BL88" s="76"/>
      <c r="BM88" s="76"/>
      <c r="BN88" s="75">
        <f>'Stavební rozpočet'!K63</f>
        <v>0</v>
      </c>
      <c r="BO88" s="76"/>
      <c r="BP88" s="76"/>
      <c r="BQ88" s="76"/>
      <c r="BR88" s="76"/>
      <c r="BS88" s="76"/>
      <c r="BT88" s="76"/>
      <c r="BU88" s="76"/>
      <c r="BV88" s="75">
        <f>BN88*AS88</f>
        <v>0</v>
      </c>
      <c r="BW88" s="76"/>
      <c r="BX88" s="76"/>
      <c r="BY88" s="76"/>
      <c r="BZ88" s="76"/>
      <c r="CA88" s="76"/>
      <c r="CB88" s="76"/>
      <c r="CC88" s="76"/>
      <c r="IR88" s="8">
        <f>AX88*0</f>
        <v>0</v>
      </c>
      <c r="IS88" s="8">
        <f>AX88*(1-0)</f>
        <v>0</v>
      </c>
    </row>
    <row r="89" spans="1:253" ht="12.75">
      <c r="A89" s="81" t="s">
        <v>43</v>
      </c>
      <c r="B89" s="82"/>
      <c r="C89" s="81" t="s">
        <v>93</v>
      </c>
      <c r="D89" s="82"/>
      <c r="E89" s="82"/>
      <c r="F89" s="82"/>
      <c r="G89" s="82"/>
      <c r="H89" s="82"/>
      <c r="I89" s="81" t="s">
        <v>148</v>
      </c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1" t="s">
        <v>153</v>
      </c>
      <c r="AF89" s="82"/>
      <c r="AG89" s="81" t="s">
        <v>209</v>
      </c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75">
        <v>11.875</v>
      </c>
      <c r="AT89" s="76"/>
      <c r="AU89" s="76"/>
      <c r="AV89" s="76"/>
      <c r="AW89" s="76"/>
      <c r="AX89" s="75">
        <v>0</v>
      </c>
      <c r="AY89" s="76"/>
      <c r="AZ89" s="76"/>
      <c r="BA89" s="76"/>
      <c r="BB89" s="76"/>
      <c r="BC89" s="76"/>
      <c r="BD89" s="76"/>
      <c r="BE89" s="76"/>
      <c r="BF89" s="75">
        <f>IR89*AS89+IS89*AS89</f>
        <v>0</v>
      </c>
      <c r="BG89" s="76"/>
      <c r="BH89" s="76"/>
      <c r="BI89" s="76"/>
      <c r="BJ89" s="76"/>
      <c r="BK89" s="76"/>
      <c r="BL89" s="76"/>
      <c r="BM89" s="76"/>
      <c r="BN89" s="75">
        <f>'Stavební rozpočet'!K64</f>
        <v>0</v>
      </c>
      <c r="BO89" s="76"/>
      <c r="BP89" s="76"/>
      <c r="BQ89" s="76"/>
      <c r="BR89" s="76"/>
      <c r="BS89" s="76"/>
      <c r="BT89" s="76"/>
      <c r="BU89" s="76"/>
      <c r="BV89" s="75">
        <f>BN89*AS89</f>
        <v>0</v>
      </c>
      <c r="BW89" s="76"/>
      <c r="BX89" s="76"/>
      <c r="BY89" s="76"/>
      <c r="BZ89" s="76"/>
      <c r="CA89" s="76"/>
      <c r="CB89" s="76"/>
      <c r="CC89" s="76"/>
      <c r="IR89" s="8">
        <f>AX89*0</f>
        <v>0</v>
      </c>
      <c r="IS89" s="8">
        <f>AX89*(1-0)</f>
        <v>0</v>
      </c>
    </row>
    <row r="90" spans="1:253" ht="12.75">
      <c r="A90" s="81" t="s">
        <v>44</v>
      </c>
      <c r="B90" s="82"/>
      <c r="C90" s="81" t="s">
        <v>94</v>
      </c>
      <c r="D90" s="82"/>
      <c r="E90" s="82"/>
      <c r="F90" s="82"/>
      <c r="G90" s="82"/>
      <c r="H90" s="82"/>
      <c r="I90" s="81" t="s">
        <v>149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1" t="s">
        <v>153</v>
      </c>
      <c r="AF90" s="82"/>
      <c r="AG90" s="81" t="s">
        <v>209</v>
      </c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75">
        <v>11.875</v>
      </c>
      <c r="AT90" s="76"/>
      <c r="AU90" s="76"/>
      <c r="AV90" s="76"/>
      <c r="AW90" s="76"/>
      <c r="AX90" s="75">
        <v>0</v>
      </c>
      <c r="AY90" s="76"/>
      <c r="AZ90" s="76"/>
      <c r="BA90" s="76"/>
      <c r="BB90" s="76"/>
      <c r="BC90" s="76"/>
      <c r="BD90" s="76"/>
      <c r="BE90" s="76"/>
      <c r="BF90" s="75">
        <f>IR90*AS90+IS90*AS90</f>
        <v>0</v>
      </c>
      <c r="BG90" s="76"/>
      <c r="BH90" s="76"/>
      <c r="BI90" s="76"/>
      <c r="BJ90" s="76"/>
      <c r="BK90" s="76"/>
      <c r="BL90" s="76"/>
      <c r="BM90" s="76"/>
      <c r="BN90" s="75">
        <f>'Stavební rozpočet'!K65</f>
        <v>0</v>
      </c>
      <c r="BO90" s="76"/>
      <c r="BP90" s="76"/>
      <c r="BQ90" s="76"/>
      <c r="BR90" s="76"/>
      <c r="BS90" s="76"/>
      <c r="BT90" s="76"/>
      <c r="BU90" s="76"/>
      <c r="BV90" s="75">
        <f>BN90*AS90</f>
        <v>0</v>
      </c>
      <c r="BW90" s="76"/>
      <c r="BX90" s="76"/>
      <c r="BY90" s="76"/>
      <c r="BZ90" s="76"/>
      <c r="CA90" s="76"/>
      <c r="CB90" s="76"/>
      <c r="CC90" s="76"/>
      <c r="IR90" s="8">
        <f>AX90*0</f>
        <v>0</v>
      </c>
      <c r="IS90" s="8">
        <f>AX90*(1-0)</f>
        <v>0</v>
      </c>
    </row>
    <row r="91" spans="1:253" ht="12.75">
      <c r="A91" s="81" t="s">
        <v>45</v>
      </c>
      <c r="B91" s="82"/>
      <c r="C91" s="81" t="s">
        <v>95</v>
      </c>
      <c r="D91" s="82"/>
      <c r="E91" s="82"/>
      <c r="F91" s="82"/>
      <c r="G91" s="82"/>
      <c r="H91" s="82"/>
      <c r="I91" s="81" t="s">
        <v>150</v>
      </c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1" t="s">
        <v>153</v>
      </c>
      <c r="AF91" s="82"/>
      <c r="AG91" s="81" t="s">
        <v>209</v>
      </c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75">
        <v>11.875</v>
      </c>
      <c r="AT91" s="76"/>
      <c r="AU91" s="76"/>
      <c r="AV91" s="76"/>
      <c r="AW91" s="76"/>
      <c r="AX91" s="75">
        <v>0</v>
      </c>
      <c r="AY91" s="76"/>
      <c r="AZ91" s="76"/>
      <c r="BA91" s="76"/>
      <c r="BB91" s="76"/>
      <c r="BC91" s="76"/>
      <c r="BD91" s="76"/>
      <c r="BE91" s="76"/>
      <c r="BF91" s="75">
        <f>IR91*AS91+IS91*AS91</f>
        <v>0</v>
      </c>
      <c r="BG91" s="76"/>
      <c r="BH91" s="76"/>
      <c r="BI91" s="76"/>
      <c r="BJ91" s="76"/>
      <c r="BK91" s="76"/>
      <c r="BL91" s="76"/>
      <c r="BM91" s="76"/>
      <c r="BN91" s="75">
        <f>'Stavební rozpočet'!K66</f>
        <v>0</v>
      </c>
      <c r="BO91" s="76"/>
      <c r="BP91" s="76"/>
      <c r="BQ91" s="76"/>
      <c r="BR91" s="76"/>
      <c r="BS91" s="76"/>
      <c r="BT91" s="76"/>
      <c r="BU91" s="76"/>
      <c r="BV91" s="75">
        <f>BN91*AS91</f>
        <v>0</v>
      </c>
      <c r="BW91" s="76"/>
      <c r="BX91" s="76"/>
      <c r="BY91" s="76"/>
      <c r="BZ91" s="76"/>
      <c r="CA91" s="76"/>
      <c r="CB91" s="76"/>
      <c r="CC91" s="76"/>
      <c r="IR91" s="8">
        <f>AX91*0</f>
        <v>0</v>
      </c>
      <c r="IS91" s="8">
        <f>AX91*(1-0)</f>
        <v>0</v>
      </c>
    </row>
    <row r="93" spans="50:65" ht="12.75">
      <c r="AX93" s="77" t="s">
        <v>221</v>
      </c>
      <c r="AY93" s="78"/>
      <c r="AZ93" s="78"/>
      <c r="BA93" s="78"/>
      <c r="BB93" s="78"/>
      <c r="BC93" s="78"/>
      <c r="BD93" s="78"/>
      <c r="BE93" s="78"/>
      <c r="BF93" s="79">
        <f>BF11+BF20+BF37+BF42+BF44+BF46+BF48+BF51+BF55+BF57+BF68+BF71+BF74+BF76+BF86</f>
        <v>0</v>
      </c>
      <c r="BG93" s="80"/>
      <c r="BH93" s="80"/>
      <c r="BI93" s="80"/>
      <c r="BJ93" s="80"/>
      <c r="BK93" s="80"/>
      <c r="BL93" s="80"/>
      <c r="BM93" s="80"/>
    </row>
  </sheetData>
  <sheetProtection/>
  <mergeCells count="685">
    <mergeCell ref="A1:CC1"/>
    <mergeCell ref="A2:E3"/>
    <mergeCell ref="F2:AI3"/>
    <mergeCell ref="AJ2:AP3"/>
    <mergeCell ref="AQ2:AV3"/>
    <mergeCell ref="AW2:BC3"/>
    <mergeCell ref="BD2:CC3"/>
    <mergeCell ref="A4:E5"/>
    <mergeCell ref="F4:AI5"/>
    <mergeCell ref="AJ4:AP5"/>
    <mergeCell ref="AQ4:AV5"/>
    <mergeCell ref="AW4:BC5"/>
    <mergeCell ref="BD4:CC5"/>
    <mergeCell ref="A6:E7"/>
    <mergeCell ref="F6:AI7"/>
    <mergeCell ref="AJ6:AP7"/>
    <mergeCell ref="AQ6:AV7"/>
    <mergeCell ref="AW6:BC7"/>
    <mergeCell ref="BD6:CC7"/>
    <mergeCell ref="A8:E9"/>
    <mergeCell ref="F8:AI9"/>
    <mergeCell ref="AJ8:AP9"/>
    <mergeCell ref="AQ8:AV9"/>
    <mergeCell ref="AW8:BC9"/>
    <mergeCell ref="BD8:CC9"/>
    <mergeCell ref="A10:B10"/>
    <mergeCell ref="C10:H10"/>
    <mergeCell ref="I10:AD10"/>
    <mergeCell ref="AE10:AF10"/>
    <mergeCell ref="AG10:AR10"/>
    <mergeCell ref="AS10:AW10"/>
    <mergeCell ref="AX10:BE10"/>
    <mergeCell ref="BF10:BM10"/>
    <mergeCell ref="BN10:BU10"/>
    <mergeCell ref="BV10:CC10"/>
    <mergeCell ref="A11:B11"/>
    <mergeCell ref="C11:H11"/>
    <mergeCell ref="I11:AD11"/>
    <mergeCell ref="AE11:AF11"/>
    <mergeCell ref="AG11:AR11"/>
    <mergeCell ref="AS11:AW11"/>
    <mergeCell ref="AX11:BE11"/>
    <mergeCell ref="BF11:BM11"/>
    <mergeCell ref="BN11:BU11"/>
    <mergeCell ref="BV11:CC11"/>
    <mergeCell ref="A12:B12"/>
    <mergeCell ref="C12:H12"/>
    <mergeCell ref="I12:AD12"/>
    <mergeCell ref="AE12:AF12"/>
    <mergeCell ref="AG12:AR12"/>
    <mergeCell ref="AS12:AW12"/>
    <mergeCell ref="AX12:BE12"/>
    <mergeCell ref="BF12:BM12"/>
    <mergeCell ref="BN12:BU12"/>
    <mergeCell ref="BV12:CC12"/>
    <mergeCell ref="A13:B13"/>
    <mergeCell ref="C13:H13"/>
    <mergeCell ref="I13:AD13"/>
    <mergeCell ref="AE13:AF13"/>
    <mergeCell ref="AG13:AR13"/>
    <mergeCell ref="AS13:AW13"/>
    <mergeCell ref="AX13:BE13"/>
    <mergeCell ref="BF13:BM13"/>
    <mergeCell ref="BN13:BU13"/>
    <mergeCell ref="BV13:CC13"/>
    <mergeCell ref="A14:B14"/>
    <mergeCell ref="C14:H14"/>
    <mergeCell ref="I14:AD14"/>
    <mergeCell ref="AE14:AF14"/>
    <mergeCell ref="AG14:AR14"/>
    <mergeCell ref="AS14:AW14"/>
    <mergeCell ref="BN14:BU14"/>
    <mergeCell ref="BV14:CC14"/>
    <mergeCell ref="A15:AF15"/>
    <mergeCell ref="AG15:AR15"/>
    <mergeCell ref="AS15:AW15"/>
    <mergeCell ref="AX15:CC15"/>
    <mergeCell ref="AG16:AR16"/>
    <mergeCell ref="AS16:AW16"/>
    <mergeCell ref="AX14:BE14"/>
    <mergeCell ref="BF14:BM14"/>
    <mergeCell ref="AX16:BE16"/>
    <mergeCell ref="BF16:BM16"/>
    <mergeCell ref="BN16:BU16"/>
    <mergeCell ref="BV16:CC16"/>
    <mergeCell ref="A17:AF17"/>
    <mergeCell ref="AG17:AR17"/>
    <mergeCell ref="AS17:AW17"/>
    <mergeCell ref="AX17:CC17"/>
    <mergeCell ref="A16:B16"/>
    <mergeCell ref="C16:H16"/>
    <mergeCell ref="I16:AD16"/>
    <mergeCell ref="AE16:AF16"/>
    <mergeCell ref="A18:B18"/>
    <mergeCell ref="C18:H18"/>
    <mergeCell ref="I18:AD18"/>
    <mergeCell ref="AE18:AF18"/>
    <mergeCell ref="AG18:AR18"/>
    <mergeCell ref="AS18:AW18"/>
    <mergeCell ref="AX18:BE18"/>
    <mergeCell ref="BF18:BM18"/>
    <mergeCell ref="BN18:BU18"/>
    <mergeCell ref="BV18:CC18"/>
    <mergeCell ref="A19:B19"/>
    <mergeCell ref="C19:H19"/>
    <mergeCell ref="I19:AD19"/>
    <mergeCell ref="AE19:AF19"/>
    <mergeCell ref="AG19:AR19"/>
    <mergeCell ref="AS19:AW19"/>
    <mergeCell ref="AX19:BE19"/>
    <mergeCell ref="BF19:BM19"/>
    <mergeCell ref="BN19:BU19"/>
    <mergeCell ref="BV19:CC19"/>
    <mergeCell ref="A20:B20"/>
    <mergeCell ref="C20:H20"/>
    <mergeCell ref="I20:AD20"/>
    <mergeCell ref="AE20:AF20"/>
    <mergeCell ref="AG20:AR20"/>
    <mergeCell ref="AS20:AW20"/>
    <mergeCell ref="AX20:BE20"/>
    <mergeCell ref="BF20:BM20"/>
    <mergeCell ref="BN20:BU20"/>
    <mergeCell ref="BV20:CC20"/>
    <mergeCell ref="A21:B21"/>
    <mergeCell ref="C21:H21"/>
    <mergeCell ref="I21:AD21"/>
    <mergeCell ref="AE21:AF21"/>
    <mergeCell ref="AG21:AR21"/>
    <mergeCell ref="AS21:AW21"/>
    <mergeCell ref="AX21:BE21"/>
    <mergeCell ref="BF21:BM21"/>
    <mergeCell ref="BN21:BU21"/>
    <mergeCell ref="BV21:CC21"/>
    <mergeCell ref="A22:AF22"/>
    <mergeCell ref="AG22:AR22"/>
    <mergeCell ref="AS22:AW22"/>
    <mergeCell ref="AX22:CC22"/>
    <mergeCell ref="A23:AF23"/>
    <mergeCell ref="AG23:AR23"/>
    <mergeCell ref="AS23:AW23"/>
    <mergeCell ref="AX23:CC23"/>
    <mergeCell ref="A24:AF24"/>
    <mergeCell ref="AG24:AR24"/>
    <mergeCell ref="AS24:AW24"/>
    <mergeCell ref="AX24:CC24"/>
    <mergeCell ref="A25:AF25"/>
    <mergeCell ref="AG25:AR25"/>
    <mergeCell ref="AS25:AW25"/>
    <mergeCell ref="AX25:CC25"/>
    <mergeCell ref="A26:AF26"/>
    <mergeCell ref="AG26:AR26"/>
    <mergeCell ref="AS26:AW26"/>
    <mergeCell ref="AX26:CC26"/>
    <mergeCell ref="A27:AF27"/>
    <mergeCell ref="AG27:AR27"/>
    <mergeCell ref="AS27:AW27"/>
    <mergeCell ref="AX27:CC27"/>
    <mergeCell ref="A28:B28"/>
    <mergeCell ref="C28:H28"/>
    <mergeCell ref="I28:AD28"/>
    <mergeCell ref="AE28:AF28"/>
    <mergeCell ref="AG28:AR28"/>
    <mergeCell ref="AS28:AW28"/>
    <mergeCell ref="AX28:BE28"/>
    <mergeCell ref="BF28:BM28"/>
    <mergeCell ref="BN28:BU28"/>
    <mergeCell ref="BV28:CC28"/>
    <mergeCell ref="A29:B29"/>
    <mergeCell ref="C29:H29"/>
    <mergeCell ref="I29:AD29"/>
    <mergeCell ref="AE29:AF29"/>
    <mergeCell ref="AG29:AR29"/>
    <mergeCell ref="AS29:AW29"/>
    <mergeCell ref="AX29:BE29"/>
    <mergeCell ref="BF29:BM29"/>
    <mergeCell ref="BN29:BU29"/>
    <mergeCell ref="BV29:CC29"/>
    <mergeCell ref="A30:AF30"/>
    <mergeCell ref="AG30:AR30"/>
    <mergeCell ref="AS30:AW30"/>
    <mergeCell ref="AX30:CC30"/>
    <mergeCell ref="A31:AF31"/>
    <mergeCell ref="AG31:AR31"/>
    <mergeCell ref="AS31:AW31"/>
    <mergeCell ref="AX31:CC31"/>
    <mergeCell ref="A32:AF32"/>
    <mergeCell ref="AG32:AR32"/>
    <mergeCell ref="AS32:AW32"/>
    <mergeCell ref="AX32:CC32"/>
    <mergeCell ref="A33:AF33"/>
    <mergeCell ref="AG33:AR33"/>
    <mergeCell ref="AS33:AW33"/>
    <mergeCell ref="AX33:CC33"/>
    <mergeCell ref="A34:AF34"/>
    <mergeCell ref="AG34:AR34"/>
    <mergeCell ref="AS34:AW34"/>
    <mergeCell ref="AX34:CC34"/>
    <mergeCell ref="A35:AF35"/>
    <mergeCell ref="AG35:AR35"/>
    <mergeCell ref="AS35:AW35"/>
    <mergeCell ref="AX35:CC35"/>
    <mergeCell ref="A36:AF36"/>
    <mergeCell ref="AG36:AR36"/>
    <mergeCell ref="AS36:AW36"/>
    <mergeCell ref="AX36:CC36"/>
    <mergeCell ref="A37:B37"/>
    <mergeCell ref="C37:H37"/>
    <mergeCell ref="I37:AD37"/>
    <mergeCell ref="AE37:AF37"/>
    <mergeCell ref="AG37:AR37"/>
    <mergeCell ref="AS37:AW37"/>
    <mergeCell ref="AX37:BE37"/>
    <mergeCell ref="BF37:BM37"/>
    <mergeCell ref="BN37:BU37"/>
    <mergeCell ref="BV37:CC37"/>
    <mergeCell ref="A38:B38"/>
    <mergeCell ref="C38:H38"/>
    <mergeCell ref="I38:AD38"/>
    <mergeCell ref="AE38:AF38"/>
    <mergeCell ref="AG38:AR38"/>
    <mergeCell ref="AS38:AW38"/>
    <mergeCell ref="AX38:BE38"/>
    <mergeCell ref="BF38:BM38"/>
    <mergeCell ref="BN38:BU38"/>
    <mergeCell ref="BV38:CC38"/>
    <mergeCell ref="A39:B39"/>
    <mergeCell ref="C39:H39"/>
    <mergeCell ref="I39:AD39"/>
    <mergeCell ref="AE39:AF39"/>
    <mergeCell ref="AG39:AR39"/>
    <mergeCell ref="AS39:AW39"/>
    <mergeCell ref="AX39:BE39"/>
    <mergeCell ref="BF39:BM39"/>
    <mergeCell ref="BN39:BU39"/>
    <mergeCell ref="BV39:CC39"/>
    <mergeCell ref="A40:B40"/>
    <mergeCell ref="C40:H40"/>
    <mergeCell ref="I40:AD40"/>
    <mergeCell ref="AE40:AF40"/>
    <mergeCell ref="AG40:AR40"/>
    <mergeCell ref="AS40:AW40"/>
    <mergeCell ref="AX40:BE40"/>
    <mergeCell ref="BF40:BM40"/>
    <mergeCell ref="BN40:BU40"/>
    <mergeCell ref="BV40:CC40"/>
    <mergeCell ref="A41:AF41"/>
    <mergeCell ref="AG41:AR41"/>
    <mergeCell ref="AS41:AW41"/>
    <mergeCell ref="AX41:CC41"/>
    <mergeCell ref="A42:B42"/>
    <mergeCell ref="C42:H42"/>
    <mergeCell ref="I42:AD42"/>
    <mergeCell ref="AE42:AF42"/>
    <mergeCell ref="AG42:AR42"/>
    <mergeCell ref="AS42:AW42"/>
    <mergeCell ref="AX42:BE42"/>
    <mergeCell ref="BF42:BM42"/>
    <mergeCell ref="BN42:BU42"/>
    <mergeCell ref="BV42:CC42"/>
    <mergeCell ref="A43:B43"/>
    <mergeCell ref="C43:H43"/>
    <mergeCell ref="I43:AD43"/>
    <mergeCell ref="AE43:AF43"/>
    <mergeCell ref="AG43:AR43"/>
    <mergeCell ref="AS43:AW43"/>
    <mergeCell ref="AX43:BE43"/>
    <mergeCell ref="BF43:BM43"/>
    <mergeCell ref="BN43:BU43"/>
    <mergeCell ref="BV43:CC43"/>
    <mergeCell ref="A44:B44"/>
    <mergeCell ref="C44:H44"/>
    <mergeCell ref="I44:AD44"/>
    <mergeCell ref="AE44:AF44"/>
    <mergeCell ref="AG44:AR44"/>
    <mergeCell ref="AS44:AW44"/>
    <mergeCell ref="AX44:BE44"/>
    <mergeCell ref="BF44:BM44"/>
    <mergeCell ref="BN44:BU44"/>
    <mergeCell ref="BV44:CC44"/>
    <mergeCell ref="A45:B45"/>
    <mergeCell ref="C45:H45"/>
    <mergeCell ref="I45:AD45"/>
    <mergeCell ref="AE45:AF45"/>
    <mergeCell ref="AG45:AR45"/>
    <mergeCell ref="AS45:AW45"/>
    <mergeCell ref="AX45:BE45"/>
    <mergeCell ref="BF45:BM45"/>
    <mergeCell ref="BN45:BU45"/>
    <mergeCell ref="BV45:CC45"/>
    <mergeCell ref="A46:B46"/>
    <mergeCell ref="C46:H46"/>
    <mergeCell ref="I46:AD46"/>
    <mergeCell ref="AE46:AF46"/>
    <mergeCell ref="AG46:AR46"/>
    <mergeCell ref="AS46:AW46"/>
    <mergeCell ref="AX46:BE46"/>
    <mergeCell ref="BF46:BM46"/>
    <mergeCell ref="BN46:BU46"/>
    <mergeCell ref="BV46:CC46"/>
    <mergeCell ref="A47:B47"/>
    <mergeCell ref="C47:H47"/>
    <mergeCell ref="I47:AD47"/>
    <mergeCell ref="AE47:AF47"/>
    <mergeCell ref="AG47:AR47"/>
    <mergeCell ref="AS47:AW47"/>
    <mergeCell ref="AX47:BE47"/>
    <mergeCell ref="BF47:BM47"/>
    <mergeCell ref="BN47:BU47"/>
    <mergeCell ref="BV47:CC47"/>
    <mergeCell ref="A48:B48"/>
    <mergeCell ref="C48:H48"/>
    <mergeCell ref="I48:AD48"/>
    <mergeCell ref="AE48:AF48"/>
    <mergeCell ref="AG48:AR48"/>
    <mergeCell ref="AS48:AW48"/>
    <mergeCell ref="AX48:BE48"/>
    <mergeCell ref="BF48:BM48"/>
    <mergeCell ref="BN48:BU48"/>
    <mergeCell ref="BV48:CC48"/>
    <mergeCell ref="A49:B49"/>
    <mergeCell ref="C49:H49"/>
    <mergeCell ref="I49:AD49"/>
    <mergeCell ref="AE49:AF49"/>
    <mergeCell ref="AG49:AR49"/>
    <mergeCell ref="AS49:AW49"/>
    <mergeCell ref="AX49:BE49"/>
    <mergeCell ref="BF49:BM49"/>
    <mergeCell ref="BN49:BU49"/>
    <mergeCell ref="BV49:CC49"/>
    <mergeCell ref="A50:B50"/>
    <mergeCell ref="C50:H50"/>
    <mergeCell ref="I50:AD50"/>
    <mergeCell ref="AE50:AF50"/>
    <mergeCell ref="AG50:AR50"/>
    <mergeCell ref="AS50:AW50"/>
    <mergeCell ref="AX50:BE50"/>
    <mergeCell ref="BF50:BM50"/>
    <mergeCell ref="BN50:BU50"/>
    <mergeCell ref="BV50:CC50"/>
    <mergeCell ref="A51:B51"/>
    <mergeCell ref="C51:H51"/>
    <mergeCell ref="I51:AD51"/>
    <mergeCell ref="AE51:AF51"/>
    <mergeCell ref="AG51:AR51"/>
    <mergeCell ref="AS51:AW51"/>
    <mergeCell ref="AX51:BE51"/>
    <mergeCell ref="BF51:BM51"/>
    <mergeCell ref="BN51:BU51"/>
    <mergeCell ref="BV51:CC51"/>
    <mergeCell ref="A52:B52"/>
    <mergeCell ref="C52:H52"/>
    <mergeCell ref="I52:AD52"/>
    <mergeCell ref="AE52:AF52"/>
    <mergeCell ref="AG52:AR52"/>
    <mergeCell ref="AS52:AW52"/>
    <mergeCell ref="AX52:BE52"/>
    <mergeCell ref="BF52:BM52"/>
    <mergeCell ref="BN52:BU52"/>
    <mergeCell ref="BV52:CC52"/>
    <mergeCell ref="A53:B53"/>
    <mergeCell ref="C53:H53"/>
    <mergeCell ref="I53:AD53"/>
    <mergeCell ref="AE53:AF53"/>
    <mergeCell ref="AG53:AR53"/>
    <mergeCell ref="AS53:AW53"/>
    <mergeCell ref="AX53:BE53"/>
    <mergeCell ref="BF53:BM53"/>
    <mergeCell ref="BN53:BU53"/>
    <mergeCell ref="BV53:CC53"/>
    <mergeCell ref="A54:AF54"/>
    <mergeCell ref="AG54:AR54"/>
    <mergeCell ref="AS54:AW54"/>
    <mergeCell ref="AX54:CC54"/>
    <mergeCell ref="A55:B55"/>
    <mergeCell ref="C55:H55"/>
    <mergeCell ref="I55:AD55"/>
    <mergeCell ref="AE55:AF55"/>
    <mergeCell ref="AG55:AR55"/>
    <mergeCell ref="AS55:AW55"/>
    <mergeCell ref="AX55:BE55"/>
    <mergeCell ref="BF55:BM55"/>
    <mergeCell ref="BN55:BU55"/>
    <mergeCell ref="BV55:CC55"/>
    <mergeCell ref="A56:B56"/>
    <mergeCell ref="C56:H56"/>
    <mergeCell ref="I56:AD56"/>
    <mergeCell ref="AE56:AF56"/>
    <mergeCell ref="AG56:AR56"/>
    <mergeCell ref="AS56:AW56"/>
    <mergeCell ref="AX56:BE56"/>
    <mergeCell ref="BF56:BM56"/>
    <mergeCell ref="BN56:BU56"/>
    <mergeCell ref="BV56:CC56"/>
    <mergeCell ref="A57:B57"/>
    <mergeCell ref="C57:H57"/>
    <mergeCell ref="I57:AD57"/>
    <mergeCell ref="AE57:AF57"/>
    <mergeCell ref="AG57:AR57"/>
    <mergeCell ref="AS57:AW57"/>
    <mergeCell ref="AX57:BE57"/>
    <mergeCell ref="BF57:BM57"/>
    <mergeCell ref="BN57:BU57"/>
    <mergeCell ref="BV57:CC57"/>
    <mergeCell ref="A58:B58"/>
    <mergeCell ref="C58:H58"/>
    <mergeCell ref="I58:AD58"/>
    <mergeCell ref="AE58:AF58"/>
    <mergeCell ref="AG58:AR58"/>
    <mergeCell ref="AS58:AW58"/>
    <mergeCell ref="AX58:BE58"/>
    <mergeCell ref="BF58:BM58"/>
    <mergeCell ref="BN58:BU58"/>
    <mergeCell ref="BV58:CC58"/>
    <mergeCell ref="A59:B59"/>
    <mergeCell ref="C59:H59"/>
    <mergeCell ref="I59:AD59"/>
    <mergeCell ref="AE59:AF59"/>
    <mergeCell ref="AG59:AR59"/>
    <mergeCell ref="AS59:AW59"/>
    <mergeCell ref="AX59:BE59"/>
    <mergeCell ref="BF59:BM59"/>
    <mergeCell ref="BN59:BU59"/>
    <mergeCell ref="BV59:CC59"/>
    <mergeCell ref="A60:AF60"/>
    <mergeCell ref="AG60:AR60"/>
    <mergeCell ref="AS60:AW60"/>
    <mergeCell ref="AX60:CC60"/>
    <mergeCell ref="A61:AF61"/>
    <mergeCell ref="AG61:AR61"/>
    <mergeCell ref="AS61:AW61"/>
    <mergeCell ref="AX61:CC61"/>
    <mergeCell ref="A62:B62"/>
    <mergeCell ref="C62:H62"/>
    <mergeCell ref="I62:AD62"/>
    <mergeCell ref="AE62:AF62"/>
    <mergeCell ref="AG62:AR62"/>
    <mergeCell ref="AS62:AW62"/>
    <mergeCell ref="AX62:BE62"/>
    <mergeCell ref="BF62:BM62"/>
    <mergeCell ref="BN62:BU62"/>
    <mergeCell ref="BV62:CC62"/>
    <mergeCell ref="A63:B63"/>
    <mergeCell ref="C63:H63"/>
    <mergeCell ref="I63:AD63"/>
    <mergeCell ref="AE63:AF63"/>
    <mergeCell ref="AG63:AR63"/>
    <mergeCell ref="AS63:AW63"/>
    <mergeCell ref="AX63:BE63"/>
    <mergeCell ref="BF63:BM63"/>
    <mergeCell ref="BN63:BU63"/>
    <mergeCell ref="BV63:CC63"/>
    <mergeCell ref="A64:B64"/>
    <mergeCell ref="C64:H64"/>
    <mergeCell ref="I64:AD64"/>
    <mergeCell ref="AE64:AF64"/>
    <mergeCell ref="AG64:AR64"/>
    <mergeCell ref="AS64:AW64"/>
    <mergeCell ref="AX64:BE64"/>
    <mergeCell ref="BF64:BM64"/>
    <mergeCell ref="BN64:BU64"/>
    <mergeCell ref="BV64:CC64"/>
    <mergeCell ref="A65:B65"/>
    <mergeCell ref="C65:H65"/>
    <mergeCell ref="I65:AD65"/>
    <mergeCell ref="AE65:AF65"/>
    <mergeCell ref="AG65:AR65"/>
    <mergeCell ref="AS65:AW65"/>
    <mergeCell ref="AX65:BE65"/>
    <mergeCell ref="BF65:BM65"/>
    <mergeCell ref="BN65:BU65"/>
    <mergeCell ref="BV65:CC65"/>
    <mergeCell ref="A66:B66"/>
    <mergeCell ref="C66:H66"/>
    <mergeCell ref="I66:AD66"/>
    <mergeCell ref="AE66:AF66"/>
    <mergeCell ref="AG66:AR66"/>
    <mergeCell ref="AS66:AW66"/>
    <mergeCell ref="AX66:BE66"/>
    <mergeCell ref="BF66:BM66"/>
    <mergeCell ref="BN66:BU66"/>
    <mergeCell ref="BV66:CC66"/>
    <mergeCell ref="A67:B67"/>
    <mergeCell ref="C67:H67"/>
    <mergeCell ref="I67:AD67"/>
    <mergeCell ref="AE67:AF67"/>
    <mergeCell ref="AG67:AR67"/>
    <mergeCell ref="AS67:AW67"/>
    <mergeCell ref="AX67:BE67"/>
    <mergeCell ref="BF67:BM67"/>
    <mergeCell ref="BN67:BU67"/>
    <mergeCell ref="BV67:CC67"/>
    <mergeCell ref="A68:B68"/>
    <mergeCell ref="C68:H68"/>
    <mergeCell ref="I68:AD68"/>
    <mergeCell ref="AE68:AF68"/>
    <mergeCell ref="AG68:AR68"/>
    <mergeCell ref="AS68:AW68"/>
    <mergeCell ref="AX68:BE68"/>
    <mergeCell ref="BF68:BM68"/>
    <mergeCell ref="BN68:BU68"/>
    <mergeCell ref="BV68:CC68"/>
    <mergeCell ref="A69:B69"/>
    <mergeCell ref="C69:H69"/>
    <mergeCell ref="I69:AD69"/>
    <mergeCell ref="AE69:AF69"/>
    <mergeCell ref="AG69:AR69"/>
    <mergeCell ref="AS69:AW69"/>
    <mergeCell ref="AX69:BE69"/>
    <mergeCell ref="BF69:BM69"/>
    <mergeCell ref="BN69:BU69"/>
    <mergeCell ref="BV69:CC69"/>
    <mergeCell ref="A70:B70"/>
    <mergeCell ref="C70:H70"/>
    <mergeCell ref="I70:AD70"/>
    <mergeCell ref="AE70:AF70"/>
    <mergeCell ref="AG70:AR70"/>
    <mergeCell ref="AS70:AW70"/>
    <mergeCell ref="AX70:BE70"/>
    <mergeCell ref="BF70:BM70"/>
    <mergeCell ref="BN70:BU70"/>
    <mergeCell ref="BV70:CC70"/>
    <mergeCell ref="A71:B71"/>
    <mergeCell ref="C71:H71"/>
    <mergeCell ref="I71:AD71"/>
    <mergeCell ref="AE71:AF71"/>
    <mergeCell ref="AG71:AR71"/>
    <mergeCell ref="AS71:AW71"/>
    <mergeCell ref="AX71:BE71"/>
    <mergeCell ref="BF71:BM71"/>
    <mergeCell ref="BN71:BU71"/>
    <mergeCell ref="BV71:CC71"/>
    <mergeCell ref="A72:B72"/>
    <mergeCell ref="C72:H72"/>
    <mergeCell ref="I72:AD72"/>
    <mergeCell ref="AE72:AF72"/>
    <mergeCell ref="AG72:AR72"/>
    <mergeCell ref="AS72:AW72"/>
    <mergeCell ref="AX72:BE72"/>
    <mergeCell ref="BF72:BM72"/>
    <mergeCell ref="BN72:BU72"/>
    <mergeCell ref="BV72:CC72"/>
    <mergeCell ref="A73:AF73"/>
    <mergeCell ref="AG73:AR73"/>
    <mergeCell ref="AS73:AW73"/>
    <mergeCell ref="AX73:CC73"/>
    <mergeCell ref="A74:B74"/>
    <mergeCell ref="C74:H74"/>
    <mergeCell ref="I74:AD74"/>
    <mergeCell ref="AE74:AF74"/>
    <mergeCell ref="AG74:AR74"/>
    <mergeCell ref="AS74:AW74"/>
    <mergeCell ref="AX74:BE74"/>
    <mergeCell ref="BF74:BM74"/>
    <mergeCell ref="BN74:BU74"/>
    <mergeCell ref="BV74:CC74"/>
    <mergeCell ref="A75:B75"/>
    <mergeCell ref="C75:H75"/>
    <mergeCell ref="I75:AD75"/>
    <mergeCell ref="AE75:AF75"/>
    <mergeCell ref="AG75:AR75"/>
    <mergeCell ref="AS75:AW75"/>
    <mergeCell ref="AX75:BE75"/>
    <mergeCell ref="BF75:BM75"/>
    <mergeCell ref="BN75:BU75"/>
    <mergeCell ref="BV75:CC75"/>
    <mergeCell ref="A76:B76"/>
    <mergeCell ref="C76:H76"/>
    <mergeCell ref="I76:AD76"/>
    <mergeCell ref="AE76:AF76"/>
    <mergeCell ref="AG76:AR76"/>
    <mergeCell ref="AS76:AW76"/>
    <mergeCell ref="AX76:BE76"/>
    <mergeCell ref="BF76:BM76"/>
    <mergeCell ref="BN76:BU76"/>
    <mergeCell ref="BV76:CC76"/>
    <mergeCell ref="A77:B77"/>
    <mergeCell ref="C77:H77"/>
    <mergeCell ref="I77:AD77"/>
    <mergeCell ref="AE77:AF77"/>
    <mergeCell ref="AG77:AR77"/>
    <mergeCell ref="AS77:AW77"/>
    <mergeCell ref="AX77:BE77"/>
    <mergeCell ref="BF77:BM77"/>
    <mergeCell ref="BN77:BU77"/>
    <mergeCell ref="BV77:CC77"/>
    <mergeCell ref="A78:AF78"/>
    <mergeCell ref="AG78:AR78"/>
    <mergeCell ref="AS78:AW78"/>
    <mergeCell ref="AX78:CC78"/>
    <mergeCell ref="A79:AF79"/>
    <mergeCell ref="AG79:AR79"/>
    <mergeCell ref="AS79:AW79"/>
    <mergeCell ref="AX79:CC79"/>
    <mergeCell ref="A80:AF80"/>
    <mergeCell ref="AG80:AR80"/>
    <mergeCell ref="AS80:AW80"/>
    <mergeCell ref="AX80:CC80"/>
    <mergeCell ref="A81:AF81"/>
    <mergeCell ref="AG81:AR81"/>
    <mergeCell ref="AS81:AW81"/>
    <mergeCell ref="AX81:CC81"/>
    <mergeCell ref="A82:AF82"/>
    <mergeCell ref="AG82:AR82"/>
    <mergeCell ref="AS82:AW82"/>
    <mergeCell ref="AX82:CC82"/>
    <mergeCell ref="A83:AF83"/>
    <mergeCell ref="AG83:AR83"/>
    <mergeCell ref="AS83:AW83"/>
    <mergeCell ref="AX83:CC83"/>
    <mergeCell ref="A84:AF84"/>
    <mergeCell ref="AG84:AR84"/>
    <mergeCell ref="AS84:AW84"/>
    <mergeCell ref="AX84:CC84"/>
    <mergeCell ref="A85:B85"/>
    <mergeCell ref="C85:H85"/>
    <mergeCell ref="I85:AD85"/>
    <mergeCell ref="AE85:AF85"/>
    <mergeCell ref="AG85:AR85"/>
    <mergeCell ref="AS85:AW85"/>
    <mergeCell ref="AX85:BE85"/>
    <mergeCell ref="BF85:BM85"/>
    <mergeCell ref="BN85:BU85"/>
    <mergeCell ref="BV85:CC85"/>
    <mergeCell ref="A86:B86"/>
    <mergeCell ref="C86:H86"/>
    <mergeCell ref="I86:AD86"/>
    <mergeCell ref="AE86:AF86"/>
    <mergeCell ref="AG86:AR86"/>
    <mergeCell ref="AS86:AW86"/>
    <mergeCell ref="AX86:BE86"/>
    <mergeCell ref="BF86:BM86"/>
    <mergeCell ref="BN86:BU86"/>
    <mergeCell ref="BV86:CC86"/>
    <mergeCell ref="A87:B87"/>
    <mergeCell ref="C87:H87"/>
    <mergeCell ref="I87:AD87"/>
    <mergeCell ref="AE87:AF87"/>
    <mergeCell ref="AG87:AR87"/>
    <mergeCell ref="AS87:AW87"/>
    <mergeCell ref="AX87:BE87"/>
    <mergeCell ref="BF87:BM87"/>
    <mergeCell ref="BN87:BU87"/>
    <mergeCell ref="BV87:CC87"/>
    <mergeCell ref="A88:B88"/>
    <mergeCell ref="C88:H88"/>
    <mergeCell ref="I88:AD88"/>
    <mergeCell ref="AE88:AF88"/>
    <mergeCell ref="AG88:AR88"/>
    <mergeCell ref="AS88:AW88"/>
    <mergeCell ref="AX88:BE88"/>
    <mergeCell ref="BF88:BM88"/>
    <mergeCell ref="BN88:BU88"/>
    <mergeCell ref="BV88:CC88"/>
    <mergeCell ref="A89:B89"/>
    <mergeCell ref="C89:H89"/>
    <mergeCell ref="I89:AD89"/>
    <mergeCell ref="AE89:AF89"/>
    <mergeCell ref="AG89:AR89"/>
    <mergeCell ref="AS89:AW89"/>
    <mergeCell ref="AX89:BE89"/>
    <mergeCell ref="BF89:BM89"/>
    <mergeCell ref="BN89:BU89"/>
    <mergeCell ref="BV89:CC89"/>
    <mergeCell ref="A90:B90"/>
    <mergeCell ref="C90:H90"/>
    <mergeCell ref="I90:AD90"/>
    <mergeCell ref="AE90:AF90"/>
    <mergeCell ref="AG90:AR90"/>
    <mergeCell ref="AS90:AW90"/>
    <mergeCell ref="AX90:BE90"/>
    <mergeCell ref="BF90:BM90"/>
    <mergeCell ref="BN90:BU90"/>
    <mergeCell ref="BV90:CC90"/>
    <mergeCell ref="A91:B91"/>
    <mergeCell ref="C91:H91"/>
    <mergeCell ref="I91:AD91"/>
    <mergeCell ref="AE91:AF91"/>
    <mergeCell ref="AG91:AR91"/>
    <mergeCell ref="AS91:AW91"/>
    <mergeCell ref="AX91:BE91"/>
    <mergeCell ref="BF91:BM91"/>
    <mergeCell ref="BN91:BU91"/>
    <mergeCell ref="BV91:CC91"/>
    <mergeCell ref="AX93:BE93"/>
    <mergeCell ref="BF93:BM9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10" sqref="C10:H10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6" width="12.140625" style="0" hidden="1" customWidth="1"/>
  </cols>
  <sheetData>
    <row r="1" spans="1:12" ht="72.75" customHeight="1">
      <c r="A1" s="112" t="s">
        <v>225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2.75">
      <c r="A2" s="114" t="s">
        <v>1</v>
      </c>
      <c r="B2" s="115"/>
      <c r="C2" s="115"/>
      <c r="D2" s="116" t="str">
        <f>'Stavební rozpočet'!D2</f>
        <v>Zimní stadión Bohumín- Přístavba</v>
      </c>
      <c r="E2" s="119" t="s">
        <v>211</v>
      </c>
      <c r="F2" s="115"/>
      <c r="G2" s="119" t="str">
        <f>'Stavební rozpočet'!G2</f>
        <v> </v>
      </c>
      <c r="H2" s="115"/>
      <c r="I2" s="119" t="s">
        <v>216</v>
      </c>
      <c r="J2" s="119"/>
      <c r="K2" s="115"/>
      <c r="L2" s="120"/>
      <c r="M2" s="6"/>
    </row>
    <row r="3" spans="1:13" ht="12.75">
      <c r="A3" s="111"/>
      <c r="B3" s="104"/>
      <c r="C3" s="104"/>
      <c r="D3" s="78"/>
      <c r="E3" s="104"/>
      <c r="F3" s="104"/>
      <c r="G3" s="104"/>
      <c r="H3" s="104"/>
      <c r="I3" s="104"/>
      <c r="J3" s="104"/>
      <c r="K3" s="104"/>
      <c r="L3" s="109"/>
      <c r="M3" s="6"/>
    </row>
    <row r="4" spans="1:13" ht="12.75">
      <c r="A4" s="103" t="s">
        <v>2</v>
      </c>
      <c r="B4" s="104"/>
      <c r="C4" s="104"/>
      <c r="D4" s="107"/>
      <c r="E4" s="107" t="s">
        <v>212</v>
      </c>
      <c r="F4" s="104"/>
      <c r="G4" s="107"/>
      <c r="H4" s="104"/>
      <c r="I4" s="107" t="s">
        <v>217</v>
      </c>
      <c r="J4" s="107" t="s">
        <v>348</v>
      </c>
      <c r="K4" s="104"/>
      <c r="L4" s="109"/>
      <c r="M4" s="6"/>
    </row>
    <row r="5" spans="1:13" ht="12.75">
      <c r="A5" s="111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9"/>
      <c r="M5" s="6"/>
    </row>
    <row r="6" spans="1:13" ht="12.75">
      <c r="A6" s="103" t="s">
        <v>3</v>
      </c>
      <c r="B6" s="104"/>
      <c r="C6" s="104"/>
      <c r="D6" s="107" t="str">
        <f>'Stavební rozpočet'!D6</f>
        <v>Bohumín</v>
      </c>
      <c r="E6" s="107" t="s">
        <v>213</v>
      </c>
      <c r="F6" s="104"/>
      <c r="G6" s="107" t="str">
        <f>'Stavební rozpočet'!G6</f>
        <v> </v>
      </c>
      <c r="H6" s="104"/>
      <c r="I6" s="107" t="s">
        <v>218</v>
      </c>
      <c r="J6" s="107"/>
      <c r="K6" s="104"/>
      <c r="L6" s="109"/>
      <c r="M6" s="6"/>
    </row>
    <row r="7" spans="1:13" ht="12.75">
      <c r="A7" s="11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9"/>
      <c r="M7" s="6"/>
    </row>
    <row r="8" spans="1:13" ht="12.75">
      <c r="A8" s="103" t="s">
        <v>4</v>
      </c>
      <c r="B8" s="104"/>
      <c r="C8" s="104"/>
      <c r="D8" s="107"/>
      <c r="E8" s="107" t="s">
        <v>214</v>
      </c>
      <c r="F8" s="104"/>
      <c r="G8" s="135">
        <v>43569</v>
      </c>
      <c r="H8" s="104"/>
      <c r="I8" s="107" t="s">
        <v>219</v>
      </c>
      <c r="J8" s="107"/>
      <c r="K8" s="104"/>
      <c r="L8" s="109"/>
      <c r="M8" s="6"/>
    </row>
    <row r="9" spans="1:13" ht="12.7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6"/>
      <c r="M9" s="6"/>
    </row>
    <row r="10" spans="1:13" ht="12.75">
      <c r="A10" s="10" t="s">
        <v>6</v>
      </c>
      <c r="B10" s="10" t="s">
        <v>6</v>
      </c>
      <c r="C10" s="123" t="s">
        <v>6</v>
      </c>
      <c r="D10" s="124"/>
      <c r="E10" s="124"/>
      <c r="F10" s="124"/>
      <c r="G10" s="124"/>
      <c r="H10" s="125"/>
      <c r="I10" s="126" t="s">
        <v>236</v>
      </c>
      <c r="J10" s="127"/>
      <c r="K10" s="128"/>
      <c r="L10" s="21" t="s">
        <v>240</v>
      </c>
      <c r="M10" s="23"/>
    </row>
    <row r="11" spans="1:13" ht="12.75">
      <c r="A11" s="11" t="s">
        <v>226</v>
      </c>
      <c r="B11" s="11" t="s">
        <v>46</v>
      </c>
      <c r="C11" s="129" t="s">
        <v>96</v>
      </c>
      <c r="D11" s="130"/>
      <c r="E11" s="130"/>
      <c r="F11" s="130"/>
      <c r="G11" s="130"/>
      <c r="H11" s="131"/>
      <c r="I11" s="16" t="s">
        <v>237</v>
      </c>
      <c r="J11" s="20" t="s">
        <v>238</v>
      </c>
      <c r="K11" s="20" t="s">
        <v>239</v>
      </c>
      <c r="L11" s="22" t="s">
        <v>239</v>
      </c>
      <c r="M11" s="23"/>
    </row>
    <row r="12" spans="1:16" ht="12.75">
      <c r="A12" s="12"/>
      <c r="B12" s="12" t="s">
        <v>7</v>
      </c>
      <c r="C12" s="132" t="s">
        <v>229</v>
      </c>
      <c r="D12" s="124"/>
      <c r="E12" s="124"/>
      <c r="F12" s="124"/>
      <c r="G12" s="124"/>
      <c r="H12" s="124"/>
      <c r="I12" s="17">
        <f>SUMIF('Stavební rozpočet'!AZ13:AZ66,"1_",'Stavební rozpočet'!AW13:AW66)</f>
        <v>0</v>
      </c>
      <c r="J12" s="17">
        <f>SUMIF('Stavební rozpočet'!AZ13:AZ66,"1_",'Stavební rozpočet'!AX13:AX66)</f>
        <v>0</v>
      </c>
      <c r="K12" s="17">
        <f>SUMIF('Stavební rozpočet'!AZ13:AZ66,"1_",'Stavební rozpočet'!AV13:AV66)</f>
        <v>0</v>
      </c>
      <c r="L12" s="17">
        <f>SUMIF('Stavební rozpočet'!AZ13:AZ66,"1_",'Stavební rozpočet'!BF13:BF66)</f>
        <v>0.0005</v>
      </c>
      <c r="M12" s="18" t="s">
        <v>241</v>
      </c>
      <c r="N12" s="18">
        <f aca="true" t="shared" si="0" ref="N12:N18">IF(M12="F",0,K12)</f>
        <v>0</v>
      </c>
      <c r="O12" s="3"/>
      <c r="P12" s="18">
        <f aca="true" t="shared" si="1" ref="P12:P18">IF(M12="T",0,K12)</f>
        <v>0</v>
      </c>
    </row>
    <row r="13" spans="1:16" ht="12.75">
      <c r="A13" s="3"/>
      <c r="B13" s="3" t="s">
        <v>8</v>
      </c>
      <c r="C13" s="108" t="s">
        <v>230</v>
      </c>
      <c r="D13" s="104"/>
      <c r="E13" s="104"/>
      <c r="F13" s="104"/>
      <c r="G13" s="104"/>
      <c r="H13" s="104"/>
      <c r="I13" s="18">
        <f>SUMIF('Stavební rozpočet'!AZ13:AZ66,"2_",'Stavební rozpočet'!AW13:AW66)</f>
        <v>0</v>
      </c>
      <c r="J13" s="18">
        <f>SUMIF('Stavební rozpočet'!AZ13:AZ66,"2_",'Stavební rozpočet'!AX13:AX66)</f>
        <v>0</v>
      </c>
      <c r="K13" s="18">
        <f>SUMIF('Stavební rozpočet'!AZ13:AZ66,"2_",'Stavební rozpočet'!AV13:AV66)</f>
        <v>0</v>
      </c>
      <c r="L13" s="18">
        <f>SUMIF('Stavební rozpočet'!AZ13:AZ66,"2_",'Stavební rozpočet'!BF13:BF66)</f>
        <v>13.0337819141</v>
      </c>
      <c r="M13" s="18" t="s">
        <v>241</v>
      </c>
      <c r="N13" s="18">
        <f t="shared" si="0"/>
        <v>0</v>
      </c>
      <c r="O13" s="3"/>
      <c r="P13" s="18">
        <f t="shared" si="1"/>
        <v>0</v>
      </c>
    </row>
    <row r="14" spans="1:16" ht="12.75">
      <c r="A14" s="3"/>
      <c r="B14" s="3" t="s">
        <v>9</v>
      </c>
      <c r="C14" s="108" t="s">
        <v>231</v>
      </c>
      <c r="D14" s="104"/>
      <c r="E14" s="104"/>
      <c r="F14" s="104"/>
      <c r="G14" s="104"/>
      <c r="H14" s="104"/>
      <c r="I14" s="18">
        <f>SUMIF('Stavební rozpočet'!AZ13:AZ66,"3_",'Stavební rozpočet'!AW13:AW66)</f>
        <v>0</v>
      </c>
      <c r="J14" s="18">
        <f>SUMIF('Stavební rozpočet'!AZ13:AZ66,"3_",'Stavební rozpočet'!AX13:AX66)</f>
        <v>0</v>
      </c>
      <c r="K14" s="18">
        <f>SUMIF('Stavební rozpočet'!AZ13:AZ66,"3_",'Stavební rozpočet'!AV13:AV66)</f>
        <v>0</v>
      </c>
      <c r="L14" s="18">
        <f>SUMIF('Stavební rozpočet'!AZ13:AZ66,"3_",'Stavební rozpočet'!BF13:BF66)</f>
        <v>1.410072</v>
      </c>
      <c r="M14" s="18" t="s">
        <v>241</v>
      </c>
      <c r="N14" s="18">
        <f t="shared" si="0"/>
        <v>0</v>
      </c>
      <c r="O14" s="3"/>
      <c r="P14" s="18">
        <f t="shared" si="1"/>
        <v>0</v>
      </c>
    </row>
    <row r="15" spans="1:16" ht="12.75">
      <c r="A15" s="3"/>
      <c r="B15" s="3" t="s">
        <v>11</v>
      </c>
      <c r="C15" s="108" t="s">
        <v>232</v>
      </c>
      <c r="D15" s="104"/>
      <c r="E15" s="104"/>
      <c r="F15" s="104"/>
      <c r="G15" s="104"/>
      <c r="H15" s="104"/>
      <c r="I15" s="18">
        <f>SUMIF('Stavební rozpočet'!AZ13:AZ66,"5_",'Stavební rozpočet'!AW13:AW66)</f>
        <v>0</v>
      </c>
      <c r="J15" s="18">
        <f>SUMIF('Stavební rozpočet'!AZ13:AZ66,"5_",'Stavební rozpočet'!AX13:AX66)</f>
        <v>0</v>
      </c>
      <c r="K15" s="18">
        <f>SUMIF('Stavební rozpočet'!AZ13:AZ66,"5_",'Stavební rozpočet'!AV13:AV66)</f>
        <v>0</v>
      </c>
      <c r="L15" s="18">
        <f>SUMIF('Stavební rozpočet'!AZ13:AZ66,"5_",'Stavební rozpočet'!BF13:BF66)</f>
        <v>6.893000000000001</v>
      </c>
      <c r="M15" s="18" t="s">
        <v>241</v>
      </c>
      <c r="N15" s="18">
        <f t="shared" si="0"/>
        <v>0</v>
      </c>
      <c r="O15" s="3"/>
      <c r="P15" s="18">
        <f t="shared" si="1"/>
        <v>0</v>
      </c>
    </row>
    <row r="16" spans="1:16" ht="12.75">
      <c r="A16" s="3"/>
      <c r="B16" s="3" t="s">
        <v>12</v>
      </c>
      <c r="C16" s="108" t="s">
        <v>233</v>
      </c>
      <c r="D16" s="104"/>
      <c r="E16" s="104"/>
      <c r="F16" s="104"/>
      <c r="G16" s="104"/>
      <c r="H16" s="104"/>
      <c r="I16" s="18">
        <f>SUMIF('Stavební rozpočet'!AZ13:AZ66,"6_",'Stavební rozpočet'!AW13:AW66)</f>
        <v>0</v>
      </c>
      <c r="J16" s="18">
        <f>SUMIF('Stavební rozpočet'!AZ13:AZ66,"6_",'Stavební rozpočet'!AX13:AX66)</f>
        <v>0</v>
      </c>
      <c r="K16" s="18">
        <f>SUMIF('Stavební rozpočet'!AZ13:AZ66,"6_",'Stavební rozpočet'!AV13:AV66)</f>
        <v>0</v>
      </c>
      <c r="L16" s="18">
        <f>SUMIF('Stavební rozpočet'!AZ13:AZ66,"6_",'Stavební rozpočet'!BF13:BF66)</f>
        <v>0.37935</v>
      </c>
      <c r="M16" s="18" t="s">
        <v>241</v>
      </c>
      <c r="N16" s="18">
        <f t="shared" si="0"/>
        <v>0</v>
      </c>
      <c r="O16" s="3"/>
      <c r="P16" s="18">
        <f t="shared" si="1"/>
        <v>0</v>
      </c>
    </row>
    <row r="17" spans="1:16" ht="12.75">
      <c r="A17" s="3"/>
      <c r="B17" s="3" t="s">
        <v>228</v>
      </c>
      <c r="C17" s="108" t="s">
        <v>234</v>
      </c>
      <c r="D17" s="104"/>
      <c r="E17" s="104"/>
      <c r="F17" s="104"/>
      <c r="G17" s="104"/>
      <c r="H17" s="104"/>
      <c r="I17" s="18">
        <f>SUMIF('Stavební rozpočet'!AZ13:AZ66,"78_",'Stavební rozpočet'!AW13:AW66)</f>
        <v>0</v>
      </c>
      <c r="J17" s="18">
        <f>SUMIF('Stavební rozpočet'!AZ13:AZ66,"78_",'Stavební rozpočet'!AX13:AX66)</f>
        <v>0</v>
      </c>
      <c r="K17" s="18">
        <f>SUMIF('Stavební rozpočet'!AZ13:AZ66,"78_",'Stavební rozpočet'!AV13:AV66)</f>
        <v>0</v>
      </c>
      <c r="L17" s="18">
        <f>SUMIF('Stavební rozpočet'!AZ13:AZ66,"78_",'Stavební rozpočet'!BF13:BF66)</f>
        <v>7.726223999999999</v>
      </c>
      <c r="M17" s="18" t="s">
        <v>241</v>
      </c>
      <c r="N17" s="18">
        <f t="shared" si="0"/>
        <v>0</v>
      </c>
      <c r="O17" s="3"/>
      <c r="P17" s="18">
        <f t="shared" si="1"/>
        <v>0</v>
      </c>
    </row>
    <row r="18" spans="1:16" ht="12.75">
      <c r="A18" s="13"/>
      <c r="B18" s="13" t="s">
        <v>15</v>
      </c>
      <c r="C18" s="121" t="s">
        <v>235</v>
      </c>
      <c r="D18" s="106"/>
      <c r="E18" s="106"/>
      <c r="F18" s="106"/>
      <c r="G18" s="106"/>
      <c r="H18" s="106"/>
      <c r="I18" s="19">
        <f>SUMIF('Stavební rozpočet'!AZ13:AZ66,"9_",'Stavební rozpočet'!AW13:AW66)</f>
        <v>0</v>
      </c>
      <c r="J18" s="19">
        <f>SUMIF('Stavební rozpočet'!AZ13:AZ66,"9_",'Stavební rozpočet'!AX13:AX66)</f>
        <v>0</v>
      </c>
      <c r="K18" s="19">
        <f>SUMIF('Stavební rozpočet'!AZ13:AZ66,"9_",'Stavební rozpočet'!AV13:AV66)</f>
        <v>0</v>
      </c>
      <c r="L18" s="19">
        <f>SUMIF('Stavební rozpočet'!AZ13:AZ66,"9_",'Stavební rozpočet'!BF13:BF66)</f>
        <v>5.989659999999999</v>
      </c>
      <c r="M18" s="18" t="s">
        <v>241</v>
      </c>
      <c r="N18" s="18">
        <f t="shared" si="0"/>
        <v>0</v>
      </c>
      <c r="O18" s="3"/>
      <c r="P18" s="18">
        <f t="shared" si="1"/>
        <v>0</v>
      </c>
    </row>
    <row r="19" spans="1:12" ht="12.75">
      <c r="A19" s="14"/>
      <c r="B19" s="14"/>
      <c r="C19" s="14"/>
      <c r="D19" s="14"/>
      <c r="E19" s="14"/>
      <c r="F19" s="14"/>
      <c r="G19" s="14"/>
      <c r="H19" s="14"/>
      <c r="I19" s="122" t="s">
        <v>221</v>
      </c>
      <c r="J19" s="117"/>
      <c r="K19" s="24">
        <f>SUM(N12:N18)</f>
        <v>0</v>
      </c>
      <c r="L19" s="14"/>
    </row>
    <row r="20" ht="11.25" customHeight="1">
      <c r="A20" s="15" t="s">
        <v>227</v>
      </c>
    </row>
    <row r="21" spans="1:11" ht="12.75">
      <c r="A21" s="107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</sheetData>
  <sheetProtection/>
  <mergeCells count="37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C10:H10"/>
    <mergeCell ref="I10:K10"/>
    <mergeCell ref="C11:H11"/>
    <mergeCell ref="C12:H12"/>
    <mergeCell ref="C13:H13"/>
    <mergeCell ref="C14:H14"/>
    <mergeCell ref="C15:H15"/>
    <mergeCell ref="C16:H16"/>
    <mergeCell ref="C17:H17"/>
    <mergeCell ref="C18:H18"/>
    <mergeCell ref="I19:J19"/>
    <mergeCell ref="A21:K21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9">
      <selection activeCell="A38" sqref="A38:I3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25"/>
      <c r="C1" s="158" t="s">
        <v>257</v>
      </c>
      <c r="D1" s="113"/>
      <c r="E1" s="113"/>
      <c r="F1" s="113"/>
      <c r="G1" s="113"/>
      <c r="H1" s="113"/>
      <c r="I1" s="113"/>
    </row>
    <row r="2" spans="1:10" ht="12.75">
      <c r="A2" s="114" t="s">
        <v>1</v>
      </c>
      <c r="B2" s="115"/>
      <c r="C2" s="116" t="str">
        <f>'Stavební rozpočet'!D2</f>
        <v>Zimní stadión Bohumín- Přístavba</v>
      </c>
      <c r="D2" s="117"/>
      <c r="E2" s="119" t="s">
        <v>216</v>
      </c>
      <c r="F2" s="119"/>
      <c r="G2" s="115"/>
      <c r="H2" s="119" t="s">
        <v>282</v>
      </c>
      <c r="I2" s="159"/>
      <c r="J2" s="6"/>
    </row>
    <row r="3" spans="1:10" ht="12.75">
      <c r="A3" s="111"/>
      <c r="B3" s="104"/>
      <c r="C3" s="78"/>
      <c r="D3" s="78"/>
      <c r="E3" s="104"/>
      <c r="F3" s="104"/>
      <c r="G3" s="104"/>
      <c r="H3" s="104"/>
      <c r="I3" s="109"/>
      <c r="J3" s="6"/>
    </row>
    <row r="4" spans="1:10" ht="12.75">
      <c r="A4" s="103" t="s">
        <v>2</v>
      </c>
      <c r="B4" s="104"/>
      <c r="C4" s="107"/>
      <c r="D4" s="104"/>
      <c r="E4" s="107" t="s">
        <v>217</v>
      </c>
      <c r="F4" s="107" t="s">
        <v>345</v>
      </c>
      <c r="G4" s="104"/>
      <c r="H4" s="107" t="s">
        <v>282</v>
      </c>
      <c r="I4" s="157" t="s">
        <v>346</v>
      </c>
      <c r="J4" s="6"/>
    </row>
    <row r="5" spans="1:10" ht="12.75">
      <c r="A5" s="111"/>
      <c r="B5" s="104"/>
      <c r="C5" s="104"/>
      <c r="D5" s="104"/>
      <c r="E5" s="104"/>
      <c r="F5" s="104"/>
      <c r="G5" s="104"/>
      <c r="H5" s="104"/>
      <c r="I5" s="109"/>
      <c r="J5" s="6"/>
    </row>
    <row r="6" spans="1:10" ht="12.75">
      <c r="A6" s="103" t="s">
        <v>3</v>
      </c>
      <c r="B6" s="104"/>
      <c r="C6" s="107" t="str">
        <f>'Stavební rozpočet'!D6</f>
        <v>Bohumín</v>
      </c>
      <c r="D6" s="104"/>
      <c r="E6" s="107" t="s">
        <v>218</v>
      </c>
      <c r="F6" s="107"/>
      <c r="G6" s="104"/>
      <c r="H6" s="107" t="s">
        <v>282</v>
      </c>
      <c r="I6" s="157"/>
      <c r="J6" s="6"/>
    </row>
    <row r="7" spans="1:10" ht="12.75">
      <c r="A7" s="111"/>
      <c r="B7" s="104"/>
      <c r="C7" s="104"/>
      <c r="D7" s="104"/>
      <c r="E7" s="104"/>
      <c r="F7" s="104"/>
      <c r="G7" s="104"/>
      <c r="H7" s="104"/>
      <c r="I7" s="109"/>
      <c r="J7" s="6"/>
    </row>
    <row r="8" spans="1:10" ht="12.75">
      <c r="A8" s="103" t="s">
        <v>212</v>
      </c>
      <c r="B8" s="104"/>
      <c r="C8" s="107"/>
      <c r="D8" s="104"/>
      <c r="E8" s="107" t="s">
        <v>213</v>
      </c>
      <c r="F8" s="107" t="str">
        <f>'Stavební rozpočet'!G6</f>
        <v> </v>
      </c>
      <c r="G8" s="104"/>
      <c r="H8" s="108" t="s">
        <v>283</v>
      </c>
      <c r="I8" s="157" t="s">
        <v>45</v>
      </c>
      <c r="J8" s="6"/>
    </row>
    <row r="9" spans="1:10" ht="12.75">
      <c r="A9" s="111"/>
      <c r="B9" s="104"/>
      <c r="C9" s="104"/>
      <c r="D9" s="104"/>
      <c r="E9" s="104"/>
      <c r="F9" s="104"/>
      <c r="G9" s="104"/>
      <c r="H9" s="104"/>
      <c r="I9" s="109"/>
      <c r="J9" s="6"/>
    </row>
    <row r="10" spans="1:10" ht="12.75">
      <c r="A10" s="103" t="s">
        <v>4</v>
      </c>
      <c r="B10" s="104"/>
      <c r="C10" s="107"/>
      <c r="D10" s="104"/>
      <c r="E10" s="107" t="s">
        <v>219</v>
      </c>
      <c r="F10" s="107"/>
      <c r="G10" s="104"/>
      <c r="H10" s="108" t="s">
        <v>284</v>
      </c>
      <c r="I10" s="156" t="str">
        <f>'Stavební rozpočet'!G8</f>
        <v>14.04.2019</v>
      </c>
      <c r="J10" s="6"/>
    </row>
    <row r="11" spans="1:10" ht="12.75">
      <c r="A11" s="105"/>
      <c r="B11" s="106"/>
      <c r="C11" s="106"/>
      <c r="D11" s="106"/>
      <c r="E11" s="106"/>
      <c r="F11" s="106"/>
      <c r="G11" s="106"/>
      <c r="H11" s="106"/>
      <c r="I11" s="110"/>
      <c r="J11" s="6"/>
    </row>
    <row r="12" spans="1:9" ht="23.25" customHeight="1">
      <c r="A12" s="152" t="s">
        <v>242</v>
      </c>
      <c r="B12" s="153"/>
      <c r="C12" s="153"/>
      <c r="D12" s="153"/>
      <c r="E12" s="153"/>
      <c r="F12" s="153"/>
      <c r="G12" s="153"/>
      <c r="H12" s="153"/>
      <c r="I12" s="153"/>
    </row>
    <row r="13" spans="1:10" ht="26.25" customHeight="1">
      <c r="A13" s="26" t="s">
        <v>243</v>
      </c>
      <c r="B13" s="154" t="s">
        <v>255</v>
      </c>
      <c r="C13" s="155"/>
      <c r="D13" s="26" t="s">
        <v>258</v>
      </c>
      <c r="E13" s="154" t="s">
        <v>267</v>
      </c>
      <c r="F13" s="155"/>
      <c r="G13" s="26" t="s">
        <v>268</v>
      </c>
      <c r="H13" s="154" t="s">
        <v>285</v>
      </c>
      <c r="I13" s="155"/>
      <c r="J13" s="6"/>
    </row>
    <row r="14" spans="1:10" ht="15" customHeight="1">
      <c r="A14" s="27" t="s">
        <v>244</v>
      </c>
      <c r="B14" s="31" t="s">
        <v>256</v>
      </c>
      <c r="C14" s="35">
        <f>SUM('Stavební rozpočet'!AB12:AB66)</f>
        <v>0</v>
      </c>
      <c r="D14" s="150" t="s">
        <v>259</v>
      </c>
      <c r="E14" s="151"/>
      <c r="F14" s="35">
        <f>VORN!I15</f>
        <v>0</v>
      </c>
      <c r="G14" s="150" t="s">
        <v>269</v>
      </c>
      <c r="H14" s="151"/>
      <c r="I14" s="35">
        <f>VORN!I21</f>
        <v>0</v>
      </c>
      <c r="J14" s="6"/>
    </row>
    <row r="15" spans="1:10" ht="15" customHeight="1">
      <c r="A15" s="28"/>
      <c r="B15" s="31" t="s">
        <v>238</v>
      </c>
      <c r="C15" s="35">
        <f>SUM('Stavební rozpočet'!AC12:AC66)</f>
        <v>0</v>
      </c>
      <c r="D15" s="150" t="s">
        <v>260</v>
      </c>
      <c r="E15" s="151"/>
      <c r="F15" s="35">
        <f>VORN!I16</f>
        <v>0</v>
      </c>
      <c r="G15" s="150" t="s">
        <v>270</v>
      </c>
      <c r="H15" s="151"/>
      <c r="I15" s="35">
        <f>VORN!I22</f>
        <v>0</v>
      </c>
      <c r="J15" s="6"/>
    </row>
    <row r="16" spans="1:10" ht="15" customHeight="1">
      <c r="A16" s="27" t="s">
        <v>245</v>
      </c>
      <c r="B16" s="31" t="s">
        <v>256</v>
      </c>
      <c r="C16" s="35">
        <f>SUM('Stavební rozpočet'!AD12:AD66)</f>
        <v>0</v>
      </c>
      <c r="D16" s="150" t="s">
        <v>261</v>
      </c>
      <c r="E16" s="151"/>
      <c r="F16" s="35">
        <f>VORN!I17</f>
        <v>0</v>
      </c>
      <c r="G16" s="150" t="s">
        <v>271</v>
      </c>
      <c r="H16" s="151"/>
      <c r="I16" s="35">
        <f>VORN!I23</f>
        <v>0</v>
      </c>
      <c r="J16" s="6"/>
    </row>
    <row r="17" spans="1:10" ht="15" customHeight="1">
      <c r="A17" s="28"/>
      <c r="B17" s="31" t="s">
        <v>238</v>
      </c>
      <c r="C17" s="35">
        <f>SUM('Stavební rozpočet'!AE12:AE66)</f>
        <v>0</v>
      </c>
      <c r="D17" s="150"/>
      <c r="E17" s="151"/>
      <c r="F17" s="36"/>
      <c r="G17" s="150" t="s">
        <v>272</v>
      </c>
      <c r="H17" s="151"/>
      <c r="I17" s="35">
        <f>VORN!I24</f>
        <v>0</v>
      </c>
      <c r="J17" s="6"/>
    </row>
    <row r="18" spans="1:10" ht="15" customHeight="1">
      <c r="A18" s="27" t="s">
        <v>246</v>
      </c>
      <c r="B18" s="31" t="s">
        <v>256</v>
      </c>
      <c r="C18" s="35">
        <f>SUM('Stavební rozpočet'!AF12:AF66)</f>
        <v>0</v>
      </c>
      <c r="D18" s="150"/>
      <c r="E18" s="151"/>
      <c r="F18" s="36"/>
      <c r="G18" s="150" t="s">
        <v>273</v>
      </c>
      <c r="H18" s="151"/>
      <c r="I18" s="35">
        <f>VORN!I25</f>
        <v>0</v>
      </c>
      <c r="J18" s="6"/>
    </row>
    <row r="19" spans="1:10" ht="15" customHeight="1">
      <c r="A19" s="28"/>
      <c r="B19" s="31" t="s">
        <v>238</v>
      </c>
      <c r="C19" s="35">
        <f>SUM('Stavební rozpočet'!AG12:AG66)</f>
        <v>0</v>
      </c>
      <c r="D19" s="150"/>
      <c r="E19" s="151"/>
      <c r="F19" s="36"/>
      <c r="G19" s="150" t="s">
        <v>274</v>
      </c>
      <c r="H19" s="151"/>
      <c r="I19" s="35">
        <f>VORN!I26</f>
        <v>0</v>
      </c>
      <c r="J19" s="6"/>
    </row>
    <row r="20" spans="1:10" ht="15" customHeight="1">
      <c r="A20" s="148" t="s">
        <v>247</v>
      </c>
      <c r="B20" s="149"/>
      <c r="C20" s="35">
        <f>SUM('Stavební rozpočet'!AH12:AH66)</f>
        <v>0</v>
      </c>
      <c r="D20" s="150"/>
      <c r="E20" s="151"/>
      <c r="F20" s="36"/>
      <c r="G20" s="150"/>
      <c r="H20" s="151"/>
      <c r="I20" s="36"/>
      <c r="J20" s="6"/>
    </row>
    <row r="21" spans="1:10" ht="15" customHeight="1">
      <c r="A21" s="148" t="s">
        <v>248</v>
      </c>
      <c r="B21" s="149"/>
      <c r="C21" s="35">
        <f>SUM('Stavební rozpočet'!Z12:Z66)</f>
        <v>0</v>
      </c>
      <c r="D21" s="150"/>
      <c r="E21" s="151"/>
      <c r="F21" s="36"/>
      <c r="G21" s="150"/>
      <c r="H21" s="151"/>
      <c r="I21" s="36"/>
      <c r="J21" s="6"/>
    </row>
    <row r="22" spans="1:10" ht="16.5" customHeight="1">
      <c r="A22" s="148" t="s">
        <v>249</v>
      </c>
      <c r="B22" s="149"/>
      <c r="C22" s="35">
        <f>SUM(C14:C21)</f>
        <v>0</v>
      </c>
      <c r="D22" s="148" t="s">
        <v>262</v>
      </c>
      <c r="E22" s="149"/>
      <c r="F22" s="35">
        <f>SUM(F14:F21)</f>
        <v>0</v>
      </c>
      <c r="G22" s="148" t="s">
        <v>275</v>
      </c>
      <c r="H22" s="149"/>
      <c r="I22" s="35">
        <f>SUM(I14:I21)</f>
        <v>0</v>
      </c>
      <c r="J22" s="6"/>
    </row>
    <row r="23" spans="1:10" ht="15" customHeight="1">
      <c r="A23" s="14"/>
      <c r="B23" s="14"/>
      <c r="C23" s="33"/>
      <c r="D23" s="148" t="s">
        <v>263</v>
      </c>
      <c r="E23" s="149"/>
      <c r="F23" s="37">
        <v>0</v>
      </c>
      <c r="G23" s="148" t="s">
        <v>276</v>
      </c>
      <c r="H23" s="149"/>
      <c r="I23" s="35">
        <v>0</v>
      </c>
      <c r="J23" s="6"/>
    </row>
    <row r="24" spans="4:10" ht="15" customHeight="1">
      <c r="D24" s="14"/>
      <c r="E24" s="14"/>
      <c r="F24" s="38"/>
      <c r="G24" s="148" t="s">
        <v>277</v>
      </c>
      <c r="H24" s="149"/>
      <c r="I24" s="35">
        <f>vorn_sum</f>
        <v>0</v>
      </c>
      <c r="J24" s="6"/>
    </row>
    <row r="25" spans="6:10" ht="15" customHeight="1">
      <c r="F25" s="39"/>
      <c r="G25" s="148" t="s">
        <v>278</v>
      </c>
      <c r="H25" s="149"/>
      <c r="I25" s="35">
        <v>0</v>
      </c>
      <c r="J25" s="6"/>
    </row>
    <row r="26" spans="1:9" ht="12.75">
      <c r="A26" s="25"/>
      <c r="B26" s="25"/>
      <c r="C26" s="25"/>
      <c r="G26" s="14"/>
      <c r="H26" s="14"/>
      <c r="I26" s="14"/>
    </row>
    <row r="27" spans="1:9" ht="15" customHeight="1">
      <c r="A27" s="143" t="s">
        <v>250</v>
      </c>
      <c r="B27" s="144"/>
      <c r="C27" s="40">
        <f>SUM('Stavební rozpočet'!AJ12:AJ66)</f>
        <v>0</v>
      </c>
      <c r="D27" s="34"/>
      <c r="E27" s="25"/>
      <c r="F27" s="25"/>
      <c r="G27" s="25"/>
      <c r="H27" s="25"/>
      <c r="I27" s="25"/>
    </row>
    <row r="28" spans="1:10" ht="15" customHeight="1">
      <c r="A28" s="143" t="s">
        <v>251</v>
      </c>
      <c r="B28" s="144"/>
      <c r="C28" s="40">
        <f>SUM('Stavební rozpočet'!AK12:AK66)</f>
        <v>0</v>
      </c>
      <c r="D28" s="143" t="s">
        <v>264</v>
      </c>
      <c r="E28" s="144"/>
      <c r="F28" s="40">
        <f>ROUND(C28*(15/100),2)</f>
        <v>0</v>
      </c>
      <c r="G28" s="143" t="s">
        <v>279</v>
      </c>
      <c r="H28" s="144"/>
      <c r="I28" s="40">
        <f>SUM(C27:C29)</f>
        <v>0</v>
      </c>
      <c r="J28" s="6"/>
    </row>
    <row r="29" spans="1:10" ht="15" customHeight="1">
      <c r="A29" s="143" t="s">
        <v>252</v>
      </c>
      <c r="B29" s="144"/>
      <c r="C29" s="40">
        <f>SUM('Stavební rozpočet'!AL12:AL66)+(F22+I22+F23+I23+I24+I25)</f>
        <v>0</v>
      </c>
      <c r="D29" s="143" t="s">
        <v>265</v>
      </c>
      <c r="E29" s="144"/>
      <c r="F29" s="40">
        <f>ROUND(C29*(21/100),2)</f>
        <v>0</v>
      </c>
      <c r="G29" s="143" t="s">
        <v>280</v>
      </c>
      <c r="H29" s="144"/>
      <c r="I29" s="40">
        <f>SUM(F28:F29)+I28</f>
        <v>0</v>
      </c>
      <c r="J29" s="6"/>
    </row>
    <row r="30" spans="1:9" ht="12.75">
      <c r="A30" s="29"/>
      <c r="B30" s="29"/>
      <c r="C30" s="29"/>
      <c r="D30" s="29"/>
      <c r="E30" s="29"/>
      <c r="F30" s="29"/>
      <c r="G30" s="29"/>
      <c r="H30" s="29"/>
      <c r="I30" s="29"/>
    </row>
    <row r="31" spans="1:10" ht="14.25" customHeight="1">
      <c r="A31" s="145" t="s">
        <v>253</v>
      </c>
      <c r="B31" s="146"/>
      <c r="C31" s="147"/>
      <c r="D31" s="145" t="s">
        <v>266</v>
      </c>
      <c r="E31" s="146"/>
      <c r="F31" s="147"/>
      <c r="G31" s="145" t="s">
        <v>281</v>
      </c>
      <c r="H31" s="146"/>
      <c r="I31" s="147"/>
      <c r="J31" s="23"/>
    </row>
    <row r="32" spans="1:10" ht="14.25" customHeight="1">
      <c r="A32" s="137"/>
      <c r="B32" s="138"/>
      <c r="C32" s="139"/>
      <c r="D32" s="137"/>
      <c r="E32" s="138"/>
      <c r="F32" s="139"/>
      <c r="G32" s="137"/>
      <c r="H32" s="138"/>
      <c r="I32" s="139"/>
      <c r="J32" s="23"/>
    </row>
    <row r="33" spans="1:10" ht="14.25" customHeight="1">
      <c r="A33" s="137"/>
      <c r="B33" s="138"/>
      <c r="C33" s="139"/>
      <c r="D33" s="137"/>
      <c r="E33" s="138"/>
      <c r="F33" s="139"/>
      <c r="G33" s="137"/>
      <c r="H33" s="138"/>
      <c r="I33" s="139"/>
      <c r="J33" s="23"/>
    </row>
    <row r="34" spans="1:10" ht="14.25" customHeight="1">
      <c r="A34" s="137"/>
      <c r="B34" s="138"/>
      <c r="C34" s="139"/>
      <c r="D34" s="137"/>
      <c r="E34" s="138"/>
      <c r="F34" s="139"/>
      <c r="G34" s="137"/>
      <c r="H34" s="138"/>
      <c r="I34" s="139"/>
      <c r="J34" s="23"/>
    </row>
    <row r="35" spans="1:10" ht="14.25" customHeight="1">
      <c r="A35" s="140" t="s">
        <v>254</v>
      </c>
      <c r="B35" s="141"/>
      <c r="C35" s="142"/>
      <c r="D35" s="140" t="s">
        <v>254</v>
      </c>
      <c r="E35" s="141"/>
      <c r="F35" s="142"/>
      <c r="G35" s="140" t="s">
        <v>254</v>
      </c>
      <c r="H35" s="141"/>
      <c r="I35" s="142"/>
      <c r="J35" s="23"/>
    </row>
    <row r="36" spans="1:9" ht="11.25" customHeight="1">
      <c r="A36" s="30" t="s">
        <v>227</v>
      </c>
      <c r="B36" s="32"/>
      <c r="C36" s="32"/>
      <c r="D36" s="32"/>
      <c r="E36" s="32"/>
      <c r="F36" s="32"/>
      <c r="G36" s="32"/>
      <c r="H36" s="32"/>
      <c r="I36" s="32"/>
    </row>
    <row r="37" spans="1:9" ht="12.75">
      <c r="A37" s="107" t="s">
        <v>347</v>
      </c>
      <c r="B37" s="104"/>
      <c r="C37" s="104"/>
      <c r="D37" s="104"/>
      <c r="E37" s="104"/>
      <c r="F37" s="104"/>
      <c r="G37" s="104"/>
      <c r="H37" s="104"/>
      <c r="I37" s="104"/>
    </row>
    <row r="38" spans="1:9" ht="12.75">
      <c r="A38" s="107" t="s">
        <v>349</v>
      </c>
      <c r="B38" s="104"/>
      <c r="C38" s="104"/>
      <c r="D38" s="104"/>
      <c r="E38" s="104"/>
      <c r="F38" s="104"/>
      <c r="G38" s="104"/>
      <c r="H38" s="104"/>
      <c r="I38" s="104"/>
    </row>
  </sheetData>
  <sheetProtection/>
  <mergeCells count="84">
    <mergeCell ref="A38:I38"/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4" sqref="F4:I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4"/>
      <c r="B1" s="25"/>
      <c r="C1" s="158" t="s">
        <v>294</v>
      </c>
      <c r="D1" s="113"/>
      <c r="E1" s="113"/>
      <c r="F1" s="113"/>
      <c r="G1" s="113"/>
      <c r="H1" s="113"/>
      <c r="I1" s="113"/>
    </row>
    <row r="2" spans="1:10" ht="12.75">
      <c r="A2" s="114" t="s">
        <v>1</v>
      </c>
      <c r="B2" s="115"/>
      <c r="C2" s="116" t="str">
        <f>'Stavební rozpočet'!D2</f>
        <v>Zimní stadión Bohumín- Přístavba</v>
      </c>
      <c r="D2" s="117"/>
      <c r="E2" s="119" t="s">
        <v>216</v>
      </c>
      <c r="F2" s="119"/>
      <c r="G2" s="115"/>
      <c r="H2" s="119" t="s">
        <v>282</v>
      </c>
      <c r="I2" s="159"/>
      <c r="J2" s="6"/>
    </row>
    <row r="3" spans="1:10" ht="12.75">
      <c r="A3" s="111"/>
      <c r="B3" s="104"/>
      <c r="C3" s="78"/>
      <c r="D3" s="78"/>
      <c r="E3" s="104"/>
      <c r="F3" s="104"/>
      <c r="G3" s="104"/>
      <c r="H3" s="104"/>
      <c r="I3" s="109"/>
      <c r="J3" s="6"/>
    </row>
    <row r="4" spans="1:10" ht="12.75">
      <c r="A4" s="103" t="s">
        <v>2</v>
      </c>
      <c r="B4" s="104"/>
      <c r="C4" s="107"/>
      <c r="D4" s="104"/>
      <c r="E4" s="107" t="s">
        <v>217</v>
      </c>
      <c r="F4" s="107" t="s">
        <v>345</v>
      </c>
      <c r="G4" s="104"/>
      <c r="H4" s="107" t="s">
        <v>282</v>
      </c>
      <c r="I4" s="157" t="s">
        <v>346</v>
      </c>
      <c r="J4" s="6"/>
    </row>
    <row r="5" spans="1:10" ht="12.75">
      <c r="A5" s="111"/>
      <c r="B5" s="104"/>
      <c r="C5" s="104"/>
      <c r="D5" s="104"/>
      <c r="E5" s="104"/>
      <c r="F5" s="104"/>
      <c r="G5" s="104"/>
      <c r="H5" s="104"/>
      <c r="I5" s="109"/>
      <c r="J5" s="6"/>
    </row>
    <row r="6" spans="1:10" ht="12.75">
      <c r="A6" s="103" t="s">
        <v>3</v>
      </c>
      <c r="B6" s="104"/>
      <c r="C6" s="107" t="str">
        <f>'Stavební rozpočet'!D6</f>
        <v>Bohumín</v>
      </c>
      <c r="D6" s="104"/>
      <c r="E6" s="107" t="s">
        <v>218</v>
      </c>
      <c r="F6" s="107"/>
      <c r="G6" s="104"/>
      <c r="H6" s="107" t="s">
        <v>282</v>
      </c>
      <c r="I6" s="157"/>
      <c r="J6" s="6"/>
    </row>
    <row r="7" spans="1:10" ht="12.75">
      <c r="A7" s="111"/>
      <c r="B7" s="104"/>
      <c r="C7" s="104"/>
      <c r="D7" s="104"/>
      <c r="E7" s="104"/>
      <c r="F7" s="104"/>
      <c r="G7" s="104"/>
      <c r="H7" s="104"/>
      <c r="I7" s="109"/>
      <c r="J7" s="6"/>
    </row>
    <row r="8" spans="1:10" ht="12.75">
      <c r="A8" s="103" t="s">
        <v>212</v>
      </c>
      <c r="B8" s="104"/>
      <c r="C8" s="107" t="str">
        <f>'Stavební rozpočet'!G4</f>
        <v>14.04.2019</v>
      </c>
      <c r="D8" s="104"/>
      <c r="E8" s="107" t="s">
        <v>213</v>
      </c>
      <c r="F8" s="107"/>
      <c r="G8" s="104"/>
      <c r="H8" s="108" t="s">
        <v>283</v>
      </c>
      <c r="I8" s="157" t="s">
        <v>45</v>
      </c>
      <c r="J8" s="6"/>
    </row>
    <row r="9" spans="1:10" ht="12.75">
      <c r="A9" s="111"/>
      <c r="B9" s="104"/>
      <c r="C9" s="104"/>
      <c r="D9" s="104"/>
      <c r="E9" s="104"/>
      <c r="F9" s="104"/>
      <c r="G9" s="104"/>
      <c r="H9" s="104"/>
      <c r="I9" s="109"/>
      <c r="J9" s="6"/>
    </row>
    <row r="10" spans="1:10" ht="12.75">
      <c r="A10" s="103" t="s">
        <v>4</v>
      </c>
      <c r="B10" s="104"/>
      <c r="C10" s="107"/>
      <c r="D10" s="104"/>
      <c r="E10" s="107" t="s">
        <v>219</v>
      </c>
      <c r="F10" s="107"/>
      <c r="G10" s="104"/>
      <c r="H10" s="108" t="s">
        <v>284</v>
      </c>
      <c r="I10" s="156" t="str">
        <f>'Stavební rozpočet'!G8</f>
        <v>14.04.2019</v>
      </c>
      <c r="J10" s="6"/>
    </row>
    <row r="11" spans="1:10" ht="12.75">
      <c r="A11" s="105"/>
      <c r="B11" s="106"/>
      <c r="C11" s="106"/>
      <c r="D11" s="106"/>
      <c r="E11" s="106"/>
      <c r="F11" s="106"/>
      <c r="G11" s="106"/>
      <c r="H11" s="106"/>
      <c r="I11" s="110"/>
      <c r="J11" s="6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" customHeight="1">
      <c r="A13" s="172" t="s">
        <v>286</v>
      </c>
      <c r="B13" s="173"/>
      <c r="C13" s="173"/>
      <c r="D13" s="173"/>
      <c r="E13" s="173"/>
      <c r="F13" s="42"/>
      <c r="G13" s="42"/>
      <c r="H13" s="42"/>
      <c r="I13" s="42"/>
    </row>
    <row r="14" spans="1:10" ht="12.75">
      <c r="A14" s="174" t="s">
        <v>287</v>
      </c>
      <c r="B14" s="175"/>
      <c r="C14" s="175"/>
      <c r="D14" s="175"/>
      <c r="E14" s="176"/>
      <c r="F14" s="43" t="s">
        <v>295</v>
      </c>
      <c r="G14" s="43" t="s">
        <v>296</v>
      </c>
      <c r="H14" s="43" t="s">
        <v>297</v>
      </c>
      <c r="I14" s="43" t="s">
        <v>295</v>
      </c>
      <c r="J14" s="23"/>
    </row>
    <row r="15" spans="1:10" ht="12.75">
      <c r="A15" s="177" t="s">
        <v>259</v>
      </c>
      <c r="B15" s="178"/>
      <c r="C15" s="178"/>
      <c r="D15" s="178"/>
      <c r="E15" s="179"/>
      <c r="F15" s="44">
        <v>0</v>
      </c>
      <c r="G15" s="47"/>
      <c r="H15" s="47"/>
      <c r="I15" s="44">
        <f>F15</f>
        <v>0</v>
      </c>
      <c r="J15" s="6"/>
    </row>
    <row r="16" spans="1:10" ht="12.75">
      <c r="A16" s="177" t="s">
        <v>260</v>
      </c>
      <c r="B16" s="178"/>
      <c r="C16" s="178"/>
      <c r="D16" s="178"/>
      <c r="E16" s="179"/>
      <c r="F16" s="44">
        <v>0</v>
      </c>
      <c r="G16" s="47"/>
      <c r="H16" s="47"/>
      <c r="I16" s="44">
        <f>F16</f>
        <v>0</v>
      </c>
      <c r="J16" s="6"/>
    </row>
    <row r="17" spans="1:10" ht="12.75">
      <c r="A17" s="160" t="s">
        <v>261</v>
      </c>
      <c r="B17" s="161"/>
      <c r="C17" s="161"/>
      <c r="D17" s="161"/>
      <c r="E17" s="162"/>
      <c r="F17" s="45">
        <v>0</v>
      </c>
      <c r="G17" s="48"/>
      <c r="H17" s="48"/>
      <c r="I17" s="45">
        <f>F17</f>
        <v>0</v>
      </c>
      <c r="J17" s="6"/>
    </row>
    <row r="18" spans="1:10" ht="12.75">
      <c r="A18" s="163" t="s">
        <v>288</v>
      </c>
      <c r="B18" s="164"/>
      <c r="C18" s="164"/>
      <c r="D18" s="164"/>
      <c r="E18" s="165"/>
      <c r="F18" s="46"/>
      <c r="G18" s="49"/>
      <c r="H18" s="49"/>
      <c r="I18" s="50">
        <f>SUM(I15:I17)</f>
        <v>0</v>
      </c>
      <c r="J18" s="23"/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1"/>
    </row>
    <row r="20" spans="1:10" ht="12.75">
      <c r="A20" s="174" t="s">
        <v>285</v>
      </c>
      <c r="B20" s="175"/>
      <c r="C20" s="175"/>
      <c r="D20" s="175"/>
      <c r="E20" s="176"/>
      <c r="F20" s="43" t="s">
        <v>295</v>
      </c>
      <c r="G20" s="43" t="s">
        <v>296</v>
      </c>
      <c r="H20" s="43" t="s">
        <v>297</v>
      </c>
      <c r="I20" s="43" t="s">
        <v>295</v>
      </c>
      <c r="J20" s="23"/>
    </row>
    <row r="21" spans="1:10" ht="12.75">
      <c r="A21" s="177" t="s">
        <v>269</v>
      </c>
      <c r="B21" s="178"/>
      <c r="C21" s="178"/>
      <c r="D21" s="178"/>
      <c r="E21" s="179"/>
      <c r="F21" s="44">
        <v>0</v>
      </c>
      <c r="G21" s="47"/>
      <c r="H21" s="47"/>
      <c r="I21" s="44">
        <f aca="true" t="shared" si="0" ref="I21:I26">F21</f>
        <v>0</v>
      </c>
      <c r="J21" s="6"/>
    </row>
    <row r="22" spans="1:10" ht="12.75">
      <c r="A22" s="177" t="s">
        <v>270</v>
      </c>
      <c r="B22" s="178"/>
      <c r="C22" s="178"/>
      <c r="D22" s="178"/>
      <c r="E22" s="179"/>
      <c r="F22" s="44">
        <v>0</v>
      </c>
      <c r="G22" s="47"/>
      <c r="H22" s="47"/>
      <c r="I22" s="44">
        <f t="shared" si="0"/>
        <v>0</v>
      </c>
      <c r="J22" s="6"/>
    </row>
    <row r="23" spans="1:10" ht="12.75">
      <c r="A23" s="177" t="s">
        <v>271</v>
      </c>
      <c r="B23" s="178"/>
      <c r="C23" s="178"/>
      <c r="D23" s="178"/>
      <c r="E23" s="179"/>
      <c r="F23" s="44">
        <v>0</v>
      </c>
      <c r="G23" s="47"/>
      <c r="H23" s="47"/>
      <c r="I23" s="44">
        <f t="shared" si="0"/>
        <v>0</v>
      </c>
      <c r="J23" s="6"/>
    </row>
    <row r="24" spans="1:10" ht="12.75">
      <c r="A24" s="177" t="s">
        <v>272</v>
      </c>
      <c r="B24" s="178"/>
      <c r="C24" s="178"/>
      <c r="D24" s="178"/>
      <c r="E24" s="179"/>
      <c r="F24" s="44">
        <v>0</v>
      </c>
      <c r="G24" s="47"/>
      <c r="H24" s="47"/>
      <c r="I24" s="44">
        <f t="shared" si="0"/>
        <v>0</v>
      </c>
      <c r="J24" s="6"/>
    </row>
    <row r="25" spans="1:10" ht="12.75">
      <c r="A25" s="177" t="s">
        <v>344</v>
      </c>
      <c r="B25" s="178"/>
      <c r="C25" s="178"/>
      <c r="D25" s="178"/>
      <c r="E25" s="179"/>
      <c r="F25" s="44">
        <v>0</v>
      </c>
      <c r="G25" s="47"/>
      <c r="H25" s="47"/>
      <c r="I25" s="44">
        <f t="shared" si="0"/>
        <v>0</v>
      </c>
      <c r="J25" s="6"/>
    </row>
    <row r="26" spans="1:10" ht="12.75">
      <c r="A26" s="160" t="s">
        <v>274</v>
      </c>
      <c r="B26" s="161"/>
      <c r="C26" s="161"/>
      <c r="D26" s="161"/>
      <c r="E26" s="162"/>
      <c r="F26" s="45">
        <v>0</v>
      </c>
      <c r="G26" s="48"/>
      <c r="H26" s="48"/>
      <c r="I26" s="45">
        <f t="shared" si="0"/>
        <v>0</v>
      </c>
      <c r="J26" s="6"/>
    </row>
    <row r="27" spans="1:10" ht="12.75">
      <c r="A27" s="163" t="s">
        <v>289</v>
      </c>
      <c r="B27" s="164"/>
      <c r="C27" s="164"/>
      <c r="D27" s="164"/>
      <c r="E27" s="165"/>
      <c r="F27" s="46"/>
      <c r="G27" s="49"/>
      <c r="H27" s="49"/>
      <c r="I27" s="50">
        <f>SUM(I21:I26)</f>
        <v>0</v>
      </c>
      <c r="J27" s="23"/>
    </row>
    <row r="28" spans="1:9" ht="12.75">
      <c r="A28" s="41"/>
      <c r="B28" s="41"/>
      <c r="C28" s="41"/>
      <c r="D28" s="41"/>
      <c r="E28" s="41"/>
      <c r="F28" s="41"/>
      <c r="G28" s="41"/>
      <c r="H28" s="41"/>
      <c r="I28" s="41"/>
    </row>
    <row r="29" spans="1:10" ht="15" customHeight="1">
      <c r="A29" s="166" t="s">
        <v>290</v>
      </c>
      <c r="B29" s="167"/>
      <c r="C29" s="167"/>
      <c r="D29" s="167"/>
      <c r="E29" s="168"/>
      <c r="F29" s="169">
        <f>I18+I27</f>
        <v>0</v>
      </c>
      <c r="G29" s="170"/>
      <c r="H29" s="170"/>
      <c r="I29" s="171"/>
      <c r="J29" s="23"/>
    </row>
    <row r="30" spans="1:9" ht="12.75">
      <c r="A30" s="32"/>
      <c r="B30" s="32"/>
      <c r="C30" s="32"/>
      <c r="D30" s="32"/>
      <c r="E30" s="32"/>
      <c r="F30" s="32"/>
      <c r="G30" s="32"/>
      <c r="H30" s="32"/>
      <c r="I30" s="32"/>
    </row>
    <row r="33" spans="1:9" ht="15" customHeight="1">
      <c r="A33" s="172" t="s">
        <v>291</v>
      </c>
      <c r="B33" s="173"/>
      <c r="C33" s="173"/>
      <c r="D33" s="173"/>
      <c r="E33" s="173"/>
      <c r="F33" s="42"/>
      <c r="G33" s="42"/>
      <c r="H33" s="42"/>
      <c r="I33" s="42"/>
    </row>
    <row r="34" spans="1:10" ht="12.75">
      <c r="A34" s="174" t="s">
        <v>292</v>
      </c>
      <c r="B34" s="175"/>
      <c r="C34" s="175"/>
      <c r="D34" s="175"/>
      <c r="E34" s="176"/>
      <c r="F34" s="43" t="s">
        <v>295</v>
      </c>
      <c r="G34" s="43" t="s">
        <v>296</v>
      </c>
      <c r="H34" s="43" t="s">
        <v>297</v>
      </c>
      <c r="I34" s="43" t="s">
        <v>295</v>
      </c>
      <c r="J34" s="23"/>
    </row>
    <row r="35" spans="1:10" ht="12.75">
      <c r="A35" s="160" t="s">
        <v>343</v>
      </c>
      <c r="B35" s="161"/>
      <c r="C35" s="161"/>
      <c r="D35" s="161"/>
      <c r="E35" s="162"/>
      <c r="F35" s="45">
        <v>0</v>
      </c>
      <c r="G35" s="48"/>
      <c r="H35" s="48"/>
      <c r="I35" s="45">
        <f>F35</f>
        <v>0</v>
      </c>
      <c r="J35" s="6"/>
    </row>
    <row r="36" spans="1:10" ht="12.75">
      <c r="A36" s="163" t="s">
        <v>293</v>
      </c>
      <c r="B36" s="164"/>
      <c r="C36" s="164"/>
      <c r="D36" s="164"/>
      <c r="E36" s="165"/>
      <c r="F36" s="46"/>
      <c r="G36" s="49"/>
      <c r="H36" s="49"/>
      <c r="I36" s="50">
        <f>SUM(I35:I35)</f>
        <v>0</v>
      </c>
      <c r="J36" s="23"/>
    </row>
    <row r="37" spans="1:9" ht="12.75">
      <c r="A37" s="32"/>
      <c r="B37" s="32"/>
      <c r="C37" s="32"/>
      <c r="D37" s="32"/>
      <c r="E37" s="32"/>
      <c r="F37" s="32"/>
      <c r="G37" s="32"/>
      <c r="H37" s="32"/>
      <c r="I37" s="32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5.7109375" style="0" customWidth="1"/>
    <col min="5" max="5" width="4.8515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2.75">
      <c r="A2" s="114" t="s">
        <v>1</v>
      </c>
      <c r="B2" s="115"/>
      <c r="C2" s="115"/>
      <c r="D2" s="116" t="s">
        <v>298</v>
      </c>
      <c r="E2" s="118" t="s">
        <v>211</v>
      </c>
      <c r="F2" s="115"/>
      <c r="G2" s="118" t="s">
        <v>6</v>
      </c>
      <c r="H2" s="119" t="s">
        <v>216</v>
      </c>
      <c r="I2" s="183">
        <v>0</v>
      </c>
      <c r="J2" s="115"/>
      <c r="K2" s="115"/>
      <c r="L2" s="115"/>
      <c r="M2" s="120"/>
      <c r="N2" s="6"/>
    </row>
    <row r="3" spans="1:14" ht="12.75">
      <c r="A3" s="111"/>
      <c r="B3" s="104"/>
      <c r="C3" s="104"/>
      <c r="D3" s="78"/>
      <c r="E3" s="104"/>
      <c r="F3" s="104"/>
      <c r="G3" s="104"/>
      <c r="H3" s="104"/>
      <c r="I3" s="104"/>
      <c r="J3" s="104"/>
      <c r="K3" s="104"/>
      <c r="L3" s="104"/>
      <c r="M3" s="109"/>
      <c r="N3" s="6"/>
    </row>
    <row r="4" spans="1:14" ht="12.75">
      <c r="A4" s="103" t="s">
        <v>2</v>
      </c>
      <c r="B4" s="104"/>
      <c r="C4" s="104"/>
      <c r="D4" s="182">
        <v>0</v>
      </c>
      <c r="E4" s="108" t="s">
        <v>212</v>
      </c>
      <c r="F4" s="104"/>
      <c r="G4" s="108" t="s">
        <v>301</v>
      </c>
      <c r="H4" s="107" t="s">
        <v>217</v>
      </c>
      <c r="I4" s="182">
        <v>0</v>
      </c>
      <c r="J4" s="104"/>
      <c r="K4" s="104"/>
      <c r="L4" s="104"/>
      <c r="M4" s="109"/>
      <c r="N4" s="6"/>
    </row>
    <row r="5" spans="1:14" ht="12.75">
      <c r="A5" s="111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9"/>
      <c r="N5" s="6"/>
    </row>
    <row r="6" spans="1:14" ht="12.75">
      <c r="A6" s="103" t="s">
        <v>3</v>
      </c>
      <c r="B6" s="104"/>
      <c r="C6" s="104"/>
      <c r="D6" s="107" t="s">
        <v>299</v>
      </c>
      <c r="E6" s="108" t="s">
        <v>213</v>
      </c>
      <c r="F6" s="104"/>
      <c r="G6" s="108" t="s">
        <v>302</v>
      </c>
      <c r="H6" s="107" t="s">
        <v>218</v>
      </c>
      <c r="I6" s="182">
        <v>0</v>
      </c>
      <c r="J6" s="104"/>
      <c r="K6" s="104"/>
      <c r="L6" s="104"/>
      <c r="M6" s="109"/>
      <c r="N6" s="6"/>
    </row>
    <row r="7" spans="1:14" ht="12.75">
      <c r="A7" s="11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9"/>
      <c r="N7" s="6"/>
    </row>
    <row r="8" spans="1:14" ht="12.75">
      <c r="A8" s="103" t="s">
        <v>4</v>
      </c>
      <c r="B8" s="104"/>
      <c r="C8" s="104"/>
      <c r="D8" s="182">
        <v>0</v>
      </c>
      <c r="E8" s="108" t="s">
        <v>214</v>
      </c>
      <c r="F8" s="104"/>
      <c r="G8" s="108" t="s">
        <v>301</v>
      </c>
      <c r="H8" s="107" t="s">
        <v>219</v>
      </c>
      <c r="I8" s="182">
        <v>0</v>
      </c>
      <c r="J8" s="104"/>
      <c r="K8" s="104"/>
      <c r="L8" s="104"/>
      <c r="M8" s="109"/>
      <c r="N8" s="6"/>
    </row>
    <row r="9" spans="1:14" ht="12.7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6"/>
      <c r="N9" s="6"/>
    </row>
    <row r="10" spans="1:14" ht="12.75">
      <c r="A10" s="51" t="s">
        <v>5</v>
      </c>
      <c r="B10" s="56" t="s">
        <v>226</v>
      </c>
      <c r="C10" s="56" t="s">
        <v>46</v>
      </c>
      <c r="D10" s="56" t="s">
        <v>96</v>
      </c>
      <c r="E10" s="56" t="s">
        <v>151</v>
      </c>
      <c r="F10" s="61" t="s">
        <v>215</v>
      </c>
      <c r="G10" s="62" t="s">
        <v>303</v>
      </c>
      <c r="H10" s="126" t="s">
        <v>236</v>
      </c>
      <c r="I10" s="127"/>
      <c r="J10" s="128"/>
      <c r="K10" s="126" t="s">
        <v>240</v>
      </c>
      <c r="L10" s="128"/>
      <c r="M10" s="67" t="s">
        <v>305</v>
      </c>
      <c r="N10" s="23"/>
    </row>
    <row r="11" spans="1:62" ht="12.75">
      <c r="A11" s="52" t="s">
        <v>6</v>
      </c>
      <c r="B11" s="57" t="s">
        <v>6</v>
      </c>
      <c r="C11" s="57" t="s">
        <v>6</v>
      </c>
      <c r="D11" s="11" t="s">
        <v>160</v>
      </c>
      <c r="E11" s="57" t="s">
        <v>6</v>
      </c>
      <c r="F11" s="57" t="s">
        <v>6</v>
      </c>
      <c r="G11" s="63" t="s">
        <v>304</v>
      </c>
      <c r="H11" s="16" t="s">
        <v>237</v>
      </c>
      <c r="I11" s="20" t="s">
        <v>238</v>
      </c>
      <c r="J11" s="22" t="s">
        <v>239</v>
      </c>
      <c r="K11" s="16" t="s">
        <v>303</v>
      </c>
      <c r="L11" s="22" t="s">
        <v>239</v>
      </c>
      <c r="M11" s="68" t="s">
        <v>306</v>
      </c>
      <c r="N11" s="23"/>
      <c r="Z11" s="65" t="s">
        <v>308</v>
      </c>
      <c r="AA11" s="65" t="s">
        <v>309</v>
      </c>
      <c r="AB11" s="65" t="s">
        <v>310</v>
      </c>
      <c r="AC11" s="65" t="s">
        <v>311</v>
      </c>
      <c r="AD11" s="65" t="s">
        <v>312</v>
      </c>
      <c r="AE11" s="65" t="s">
        <v>313</v>
      </c>
      <c r="AF11" s="65" t="s">
        <v>314</v>
      </c>
      <c r="AG11" s="65" t="s">
        <v>315</v>
      </c>
      <c r="AH11" s="65" t="s">
        <v>316</v>
      </c>
      <c r="BH11" s="65" t="s">
        <v>340</v>
      </c>
      <c r="BI11" s="65" t="s">
        <v>341</v>
      </c>
      <c r="BJ11" s="65" t="s">
        <v>342</v>
      </c>
    </row>
    <row r="12" spans="1:47" ht="12.75">
      <c r="A12" s="53"/>
      <c r="B12" s="58"/>
      <c r="C12" s="58" t="s">
        <v>34</v>
      </c>
      <c r="D12" s="58" t="s">
        <v>97</v>
      </c>
      <c r="E12" s="53" t="s">
        <v>6</v>
      </c>
      <c r="F12" s="53" t="s">
        <v>6</v>
      </c>
      <c r="G12" s="53" t="s">
        <v>6</v>
      </c>
      <c r="H12" s="73">
        <f>SUM(H13:H18)</f>
        <v>0</v>
      </c>
      <c r="I12" s="73">
        <f>SUM(I13:I18)</f>
        <v>0</v>
      </c>
      <c r="J12" s="73">
        <f>SUM(J13:J18)</f>
        <v>0</v>
      </c>
      <c r="K12" s="64"/>
      <c r="L12" s="73">
        <f>SUM(L13:L18)</f>
        <v>13.0337819141</v>
      </c>
      <c r="M12" s="64"/>
      <c r="AI12" s="65"/>
      <c r="AS12" s="7">
        <f>SUM(AJ13:AJ18)</f>
        <v>0</v>
      </c>
      <c r="AT12" s="7">
        <f>SUM(AK13:AK18)</f>
        <v>0</v>
      </c>
      <c r="AU12" s="7">
        <f>SUM(AL13:AL18)</f>
        <v>0</v>
      </c>
    </row>
    <row r="13" spans="1:62" ht="12.75">
      <c r="A13" s="1" t="s">
        <v>7</v>
      </c>
      <c r="B13" s="1"/>
      <c r="C13" s="1" t="s">
        <v>47</v>
      </c>
      <c r="D13" s="1" t="s">
        <v>98</v>
      </c>
      <c r="E13" s="1" t="s">
        <v>152</v>
      </c>
      <c r="F13" s="4">
        <f>'Rozpočet - vybrané sloupce'!AS12</f>
        <v>174</v>
      </c>
      <c r="G13" s="4">
        <f>'Rozpočet - vybrané sloupce'!AX12</f>
        <v>0</v>
      </c>
      <c r="H13" s="4">
        <f aca="true" t="shared" si="0" ref="H13:H18">F13*AO13</f>
        <v>0</v>
      </c>
      <c r="I13" s="4">
        <f aca="true" t="shared" si="1" ref="I13:I18">F13*AP13</f>
        <v>0</v>
      </c>
      <c r="J13" s="4">
        <f aca="true" t="shared" si="2" ref="J13:J18">F13*G13</f>
        <v>0</v>
      </c>
      <c r="K13" s="4">
        <v>7E-05</v>
      </c>
      <c r="L13" s="4">
        <f aca="true" t="shared" si="3" ref="L13:L18">F13*K13</f>
        <v>0.012179999999999998</v>
      </c>
      <c r="M13" s="69" t="s">
        <v>307</v>
      </c>
      <c r="Z13" s="18">
        <f aca="true" t="shared" si="4" ref="Z13:Z18">IF(AQ13="5",BJ13,0)</f>
        <v>0</v>
      </c>
      <c r="AB13" s="18">
        <f aca="true" t="shared" si="5" ref="AB13:AB18">IF(AQ13="1",BH13,0)</f>
        <v>0</v>
      </c>
      <c r="AC13" s="18">
        <f aca="true" t="shared" si="6" ref="AC13:AC18">IF(AQ13="1",BI13,0)</f>
        <v>0</v>
      </c>
      <c r="AD13" s="18">
        <f aca="true" t="shared" si="7" ref="AD13:AD18">IF(AQ13="7",BH13,0)</f>
        <v>0</v>
      </c>
      <c r="AE13" s="18">
        <f aca="true" t="shared" si="8" ref="AE13:AE18">IF(AQ13="7",BI13,0)</f>
        <v>0</v>
      </c>
      <c r="AF13" s="18">
        <f aca="true" t="shared" si="9" ref="AF13:AF18">IF(AQ13="2",BH13,0)</f>
        <v>0</v>
      </c>
      <c r="AG13" s="18">
        <f aca="true" t="shared" si="10" ref="AG13:AG18">IF(AQ13="2",BI13,0)</f>
        <v>0</v>
      </c>
      <c r="AH13" s="18">
        <f aca="true" t="shared" si="11" ref="AH13:AH18">IF(AQ13="0",BJ13,0)</f>
        <v>0</v>
      </c>
      <c r="AI13" s="65"/>
      <c r="AJ13" s="4">
        <f aca="true" t="shared" si="12" ref="AJ13:AJ18">IF(AN13=0,J13,0)</f>
        <v>0</v>
      </c>
      <c r="AK13" s="4">
        <f aca="true" t="shared" si="13" ref="AK13:AK18">IF(AN13=15,J13,0)</f>
        <v>0</v>
      </c>
      <c r="AL13" s="4">
        <f aca="true" t="shared" si="14" ref="AL13:AL18">IF(AN13=21,J13,0)</f>
        <v>0</v>
      </c>
      <c r="AN13" s="18">
        <v>21</v>
      </c>
      <c r="AO13" s="18">
        <f>G13*0.0352433793180669</f>
        <v>0</v>
      </c>
      <c r="AP13" s="18">
        <f>G13*(1-0.0352433793180669)</f>
        <v>0</v>
      </c>
      <c r="AQ13" s="69" t="s">
        <v>7</v>
      </c>
      <c r="AV13" s="18">
        <f aca="true" t="shared" si="15" ref="AV13:AV18">AW13+AX13</f>
        <v>0</v>
      </c>
      <c r="AW13" s="18">
        <f aca="true" t="shared" si="16" ref="AW13:AW18">F13*AO13</f>
        <v>0</v>
      </c>
      <c r="AX13" s="18">
        <f aca="true" t="shared" si="17" ref="AX13:AX18">F13*AP13</f>
        <v>0</v>
      </c>
      <c r="AY13" s="72" t="s">
        <v>317</v>
      </c>
      <c r="AZ13" s="72" t="s">
        <v>332</v>
      </c>
      <c r="BA13" s="65" t="s">
        <v>339</v>
      </c>
      <c r="BC13" s="18">
        <f aca="true" t="shared" si="18" ref="BC13:BC18">AW13+AX13</f>
        <v>0</v>
      </c>
      <c r="BD13" s="18">
        <f aca="true" t="shared" si="19" ref="BD13:BD18">G13/(100-BE13)*100</f>
        <v>0</v>
      </c>
      <c r="BE13" s="18">
        <v>0</v>
      </c>
      <c r="BF13" s="18">
        <f aca="true" t="shared" si="20" ref="BF13:BF18">L13</f>
        <v>0.012179999999999998</v>
      </c>
      <c r="BH13" s="4">
        <f aca="true" t="shared" si="21" ref="BH13:BH18">F13*AO13</f>
        <v>0</v>
      </c>
      <c r="BI13" s="4">
        <f aca="true" t="shared" si="22" ref="BI13:BI18">F13*AP13</f>
        <v>0</v>
      </c>
      <c r="BJ13" s="4">
        <f aca="true" t="shared" si="23" ref="BJ13:BJ18">F13*G13</f>
        <v>0</v>
      </c>
    </row>
    <row r="14" spans="1:62" ht="12.75">
      <c r="A14" s="1" t="s">
        <v>8</v>
      </c>
      <c r="B14" s="1"/>
      <c r="C14" s="1" t="s">
        <v>48</v>
      </c>
      <c r="D14" s="1" t="s">
        <v>99</v>
      </c>
      <c r="E14" s="1" t="s">
        <v>153</v>
      </c>
      <c r="F14" s="4">
        <f>'Rozpočet - vybrané sloupce'!AS13</f>
        <v>11.6</v>
      </c>
      <c r="G14" s="4">
        <f>'Rozpočet - vybrané sloupce'!AX13</f>
        <v>0</v>
      </c>
      <c r="H14" s="4">
        <f t="shared" si="0"/>
        <v>0</v>
      </c>
      <c r="I14" s="4">
        <f t="shared" si="1"/>
        <v>0</v>
      </c>
      <c r="J14" s="4">
        <f t="shared" si="2"/>
        <v>0</v>
      </c>
      <c r="K14" s="4">
        <v>1.0712</v>
      </c>
      <c r="L14" s="4">
        <f t="shared" si="3"/>
        <v>12.42592</v>
      </c>
      <c r="M14" s="69" t="s">
        <v>307</v>
      </c>
      <c r="Z14" s="18">
        <f t="shared" si="4"/>
        <v>0</v>
      </c>
      <c r="AB14" s="18">
        <f t="shared" si="5"/>
        <v>0</v>
      </c>
      <c r="AC14" s="18">
        <f t="shared" si="6"/>
        <v>0</v>
      </c>
      <c r="AD14" s="18">
        <f t="shared" si="7"/>
        <v>0</v>
      </c>
      <c r="AE14" s="18">
        <f t="shared" si="8"/>
        <v>0</v>
      </c>
      <c r="AF14" s="18">
        <f t="shared" si="9"/>
        <v>0</v>
      </c>
      <c r="AG14" s="18">
        <f t="shared" si="10"/>
        <v>0</v>
      </c>
      <c r="AH14" s="18">
        <f t="shared" si="11"/>
        <v>0</v>
      </c>
      <c r="AI14" s="65"/>
      <c r="AJ14" s="4">
        <f t="shared" si="12"/>
        <v>0</v>
      </c>
      <c r="AK14" s="4">
        <f t="shared" si="13"/>
        <v>0</v>
      </c>
      <c r="AL14" s="4">
        <f t="shared" si="14"/>
        <v>0</v>
      </c>
      <c r="AN14" s="18">
        <v>21</v>
      </c>
      <c r="AO14" s="18">
        <f>G14*1</f>
        <v>0</v>
      </c>
      <c r="AP14" s="18">
        <f>G14*(1-1)</f>
        <v>0</v>
      </c>
      <c r="AQ14" s="69" t="s">
        <v>7</v>
      </c>
      <c r="AV14" s="18">
        <f t="shared" si="15"/>
        <v>0</v>
      </c>
      <c r="AW14" s="18">
        <f t="shared" si="16"/>
        <v>0</v>
      </c>
      <c r="AX14" s="18">
        <f t="shared" si="17"/>
        <v>0</v>
      </c>
      <c r="AY14" s="72" t="s">
        <v>317</v>
      </c>
      <c r="AZ14" s="72" t="s">
        <v>332</v>
      </c>
      <c r="BA14" s="65" t="s">
        <v>339</v>
      </c>
      <c r="BC14" s="18">
        <f t="shared" si="18"/>
        <v>0</v>
      </c>
      <c r="BD14" s="18">
        <f t="shared" si="19"/>
        <v>0</v>
      </c>
      <c r="BE14" s="18">
        <v>0</v>
      </c>
      <c r="BF14" s="18">
        <f t="shared" si="20"/>
        <v>12.42592</v>
      </c>
      <c r="BH14" s="4">
        <f t="shared" si="21"/>
        <v>0</v>
      </c>
      <c r="BI14" s="4">
        <f t="shared" si="22"/>
        <v>0</v>
      </c>
      <c r="BJ14" s="4">
        <f t="shared" si="23"/>
        <v>0</v>
      </c>
    </row>
    <row r="15" spans="1:62" ht="12.75">
      <c r="A15" s="1" t="s">
        <v>9</v>
      </c>
      <c r="B15" s="1"/>
      <c r="C15" s="1" t="s">
        <v>49</v>
      </c>
      <c r="D15" s="1" t="s">
        <v>100</v>
      </c>
      <c r="E15" s="1" t="s">
        <v>154</v>
      </c>
      <c r="F15" s="4">
        <f>'Rozpočet - vybrané sloupce'!AS14</f>
        <v>116</v>
      </c>
      <c r="G15" s="4">
        <f>'Rozpočet - vybrané sloupce'!AX14</f>
        <v>0</v>
      </c>
      <c r="H15" s="4">
        <f t="shared" si="0"/>
        <v>0</v>
      </c>
      <c r="I15" s="4">
        <f t="shared" si="1"/>
        <v>0</v>
      </c>
      <c r="J15" s="4">
        <f t="shared" si="2"/>
        <v>0</v>
      </c>
      <c r="K15" s="4">
        <v>0.00508</v>
      </c>
      <c r="L15" s="4">
        <f t="shared" si="3"/>
        <v>0.58928</v>
      </c>
      <c r="M15" s="69" t="s">
        <v>307</v>
      </c>
      <c r="Z15" s="18">
        <f t="shared" si="4"/>
        <v>0</v>
      </c>
      <c r="AB15" s="18">
        <f t="shared" si="5"/>
        <v>0</v>
      </c>
      <c r="AC15" s="18">
        <f t="shared" si="6"/>
        <v>0</v>
      </c>
      <c r="AD15" s="18">
        <f t="shared" si="7"/>
        <v>0</v>
      </c>
      <c r="AE15" s="18">
        <f t="shared" si="8"/>
        <v>0</v>
      </c>
      <c r="AF15" s="18">
        <f t="shared" si="9"/>
        <v>0</v>
      </c>
      <c r="AG15" s="18">
        <f t="shared" si="10"/>
        <v>0</v>
      </c>
      <c r="AH15" s="18">
        <f t="shared" si="11"/>
        <v>0</v>
      </c>
      <c r="AI15" s="65"/>
      <c r="AJ15" s="4">
        <f t="shared" si="12"/>
        <v>0</v>
      </c>
      <c r="AK15" s="4">
        <f t="shared" si="13"/>
        <v>0</v>
      </c>
      <c r="AL15" s="4">
        <f t="shared" si="14"/>
        <v>0</v>
      </c>
      <c r="AN15" s="18">
        <v>21</v>
      </c>
      <c r="AO15" s="18">
        <f>G15*0.635775647616836</f>
        <v>0</v>
      </c>
      <c r="AP15" s="18">
        <f>G15*(1-0.635775647616836)</f>
        <v>0</v>
      </c>
      <c r="AQ15" s="69" t="s">
        <v>7</v>
      </c>
      <c r="AV15" s="18">
        <f t="shared" si="15"/>
        <v>0</v>
      </c>
      <c r="AW15" s="18">
        <f t="shared" si="16"/>
        <v>0</v>
      </c>
      <c r="AX15" s="18">
        <f t="shared" si="17"/>
        <v>0</v>
      </c>
      <c r="AY15" s="72" t="s">
        <v>317</v>
      </c>
      <c r="AZ15" s="72" t="s">
        <v>332</v>
      </c>
      <c r="BA15" s="65" t="s">
        <v>339</v>
      </c>
      <c r="BC15" s="18">
        <f t="shared" si="18"/>
        <v>0</v>
      </c>
      <c r="BD15" s="18">
        <f t="shared" si="19"/>
        <v>0</v>
      </c>
      <c r="BE15" s="18">
        <v>0</v>
      </c>
      <c r="BF15" s="18">
        <f t="shared" si="20"/>
        <v>0.58928</v>
      </c>
      <c r="BH15" s="4">
        <f t="shared" si="21"/>
        <v>0</v>
      </c>
      <c r="BI15" s="4">
        <f t="shared" si="22"/>
        <v>0</v>
      </c>
      <c r="BJ15" s="4">
        <f t="shared" si="23"/>
        <v>0</v>
      </c>
    </row>
    <row r="16" spans="1:62" ht="12.75">
      <c r="A16" s="1" t="s">
        <v>10</v>
      </c>
      <c r="B16" s="1"/>
      <c r="C16" s="1" t="s">
        <v>50</v>
      </c>
      <c r="D16" s="1" t="s">
        <v>101</v>
      </c>
      <c r="E16" s="1" t="s">
        <v>155</v>
      </c>
      <c r="F16" s="4">
        <f>'Rozpočet - vybrané sloupce'!AS16</f>
        <v>29</v>
      </c>
      <c r="G16" s="4">
        <f>'Rozpočet - vybrané sloupce'!AX16</f>
        <v>0</v>
      </c>
      <c r="H16" s="4">
        <f t="shared" si="0"/>
        <v>0</v>
      </c>
      <c r="I16" s="4">
        <f t="shared" si="1"/>
        <v>0</v>
      </c>
      <c r="J16" s="4">
        <f t="shared" si="2"/>
        <v>0</v>
      </c>
      <c r="K16" s="4">
        <v>0.00019</v>
      </c>
      <c r="L16" s="4">
        <f t="shared" si="3"/>
        <v>0.00551</v>
      </c>
      <c r="M16" s="69" t="s">
        <v>307</v>
      </c>
      <c r="Z16" s="18">
        <f t="shared" si="4"/>
        <v>0</v>
      </c>
      <c r="AB16" s="18">
        <f t="shared" si="5"/>
        <v>0</v>
      </c>
      <c r="AC16" s="18">
        <f t="shared" si="6"/>
        <v>0</v>
      </c>
      <c r="AD16" s="18">
        <f t="shared" si="7"/>
        <v>0</v>
      </c>
      <c r="AE16" s="18">
        <f t="shared" si="8"/>
        <v>0</v>
      </c>
      <c r="AF16" s="18">
        <f t="shared" si="9"/>
        <v>0</v>
      </c>
      <c r="AG16" s="18">
        <f t="shared" si="10"/>
        <v>0</v>
      </c>
      <c r="AH16" s="18">
        <f t="shared" si="11"/>
        <v>0</v>
      </c>
      <c r="AI16" s="65"/>
      <c r="AJ16" s="4">
        <f t="shared" si="12"/>
        <v>0</v>
      </c>
      <c r="AK16" s="4">
        <f t="shared" si="13"/>
        <v>0</v>
      </c>
      <c r="AL16" s="4">
        <f t="shared" si="14"/>
        <v>0</v>
      </c>
      <c r="AN16" s="18">
        <v>21</v>
      </c>
      <c r="AO16" s="18">
        <f>G16*0.016551724137931</f>
        <v>0</v>
      </c>
      <c r="AP16" s="18">
        <f>G16*(1-0.016551724137931)</f>
        <v>0</v>
      </c>
      <c r="AQ16" s="69" t="s">
        <v>7</v>
      </c>
      <c r="AV16" s="18">
        <f t="shared" si="15"/>
        <v>0</v>
      </c>
      <c r="AW16" s="18">
        <f t="shared" si="16"/>
        <v>0</v>
      </c>
      <c r="AX16" s="18">
        <f t="shared" si="17"/>
        <v>0</v>
      </c>
      <c r="AY16" s="72" t="s">
        <v>317</v>
      </c>
      <c r="AZ16" s="72" t="s">
        <v>332</v>
      </c>
      <c r="BA16" s="65" t="s">
        <v>339</v>
      </c>
      <c r="BC16" s="18">
        <f t="shared" si="18"/>
        <v>0</v>
      </c>
      <c r="BD16" s="18">
        <f t="shared" si="19"/>
        <v>0</v>
      </c>
      <c r="BE16" s="18">
        <v>0</v>
      </c>
      <c r="BF16" s="18">
        <f t="shared" si="20"/>
        <v>0.00551</v>
      </c>
      <c r="BH16" s="4">
        <f t="shared" si="21"/>
        <v>0</v>
      </c>
      <c r="BI16" s="4">
        <f t="shared" si="22"/>
        <v>0</v>
      </c>
      <c r="BJ16" s="4">
        <f t="shared" si="23"/>
        <v>0</v>
      </c>
    </row>
    <row r="17" spans="1:62" ht="12.75">
      <c r="A17" s="1" t="s">
        <v>11</v>
      </c>
      <c r="B17" s="1"/>
      <c r="C17" s="1" t="s">
        <v>51</v>
      </c>
      <c r="D17" s="1" t="s">
        <v>102</v>
      </c>
      <c r="E17" s="1" t="s">
        <v>153</v>
      </c>
      <c r="F17" s="4">
        <f>'Rozpočet - vybrané sloupce'!AS18</f>
        <v>0.38611</v>
      </c>
      <c r="G17" s="4">
        <f>'Rozpočet - vybrané sloupce'!AX18</f>
        <v>0</v>
      </c>
      <c r="H17" s="4">
        <f t="shared" si="0"/>
        <v>0</v>
      </c>
      <c r="I17" s="4">
        <f t="shared" si="1"/>
        <v>0</v>
      </c>
      <c r="J17" s="4">
        <f t="shared" si="2"/>
        <v>0</v>
      </c>
      <c r="K17" s="4">
        <v>0.00231</v>
      </c>
      <c r="L17" s="4">
        <f t="shared" si="3"/>
        <v>0.0008919141</v>
      </c>
      <c r="M17" s="69" t="s">
        <v>307</v>
      </c>
      <c r="Z17" s="18">
        <f t="shared" si="4"/>
        <v>0</v>
      </c>
      <c r="AB17" s="18">
        <f t="shared" si="5"/>
        <v>0</v>
      </c>
      <c r="AC17" s="18">
        <f t="shared" si="6"/>
        <v>0</v>
      </c>
      <c r="AD17" s="18">
        <f t="shared" si="7"/>
        <v>0</v>
      </c>
      <c r="AE17" s="18">
        <f t="shared" si="8"/>
        <v>0</v>
      </c>
      <c r="AF17" s="18">
        <f t="shared" si="9"/>
        <v>0</v>
      </c>
      <c r="AG17" s="18">
        <f t="shared" si="10"/>
        <v>0</v>
      </c>
      <c r="AH17" s="18">
        <f t="shared" si="11"/>
        <v>0</v>
      </c>
      <c r="AI17" s="65"/>
      <c r="AJ17" s="4">
        <f t="shared" si="12"/>
        <v>0</v>
      </c>
      <c r="AK17" s="4">
        <f t="shared" si="13"/>
        <v>0</v>
      </c>
      <c r="AL17" s="4">
        <f t="shared" si="14"/>
        <v>0</v>
      </c>
      <c r="AN17" s="18">
        <v>21</v>
      </c>
      <c r="AO17" s="18">
        <f>G17*0.255486625409823</f>
        <v>0</v>
      </c>
      <c r="AP17" s="18">
        <f>G17*(1-0.255486625409823)</f>
        <v>0</v>
      </c>
      <c r="AQ17" s="69" t="s">
        <v>7</v>
      </c>
      <c r="AV17" s="18">
        <f t="shared" si="15"/>
        <v>0</v>
      </c>
      <c r="AW17" s="18">
        <f t="shared" si="16"/>
        <v>0</v>
      </c>
      <c r="AX17" s="18">
        <f t="shared" si="17"/>
        <v>0</v>
      </c>
      <c r="AY17" s="72" t="s">
        <v>317</v>
      </c>
      <c r="AZ17" s="72" t="s">
        <v>332</v>
      </c>
      <c r="BA17" s="65" t="s">
        <v>339</v>
      </c>
      <c r="BC17" s="18">
        <f t="shared" si="18"/>
        <v>0</v>
      </c>
      <c r="BD17" s="18">
        <f t="shared" si="19"/>
        <v>0</v>
      </c>
      <c r="BE17" s="18">
        <v>0</v>
      </c>
      <c r="BF17" s="18">
        <f t="shared" si="20"/>
        <v>0.0008919141</v>
      </c>
      <c r="BH17" s="4">
        <f t="shared" si="21"/>
        <v>0</v>
      </c>
      <c r="BI17" s="4">
        <f t="shared" si="22"/>
        <v>0</v>
      </c>
      <c r="BJ17" s="4">
        <f t="shared" si="23"/>
        <v>0</v>
      </c>
    </row>
    <row r="18" spans="1:62" ht="12.75">
      <c r="A18" s="1" t="s">
        <v>12</v>
      </c>
      <c r="B18" s="1"/>
      <c r="C18" s="1" t="s">
        <v>52</v>
      </c>
      <c r="D18" s="1" t="s">
        <v>103</v>
      </c>
      <c r="E18" s="1" t="s">
        <v>153</v>
      </c>
      <c r="F18" s="4">
        <f>'Rozpočet - vybrané sloupce'!AS19</f>
        <v>13.02738</v>
      </c>
      <c r="G18" s="4">
        <f>'Rozpočet - vybrané sloupce'!AX19</f>
        <v>0</v>
      </c>
      <c r="H18" s="4">
        <f t="shared" si="0"/>
        <v>0</v>
      </c>
      <c r="I18" s="4">
        <f t="shared" si="1"/>
        <v>0</v>
      </c>
      <c r="J18" s="4">
        <f t="shared" si="2"/>
        <v>0</v>
      </c>
      <c r="K18" s="4">
        <v>0</v>
      </c>
      <c r="L18" s="4">
        <f t="shared" si="3"/>
        <v>0</v>
      </c>
      <c r="M18" s="69" t="s">
        <v>307</v>
      </c>
      <c r="Z18" s="18">
        <f t="shared" si="4"/>
        <v>0</v>
      </c>
      <c r="AB18" s="18">
        <f t="shared" si="5"/>
        <v>0</v>
      </c>
      <c r="AC18" s="18">
        <f t="shared" si="6"/>
        <v>0</v>
      </c>
      <c r="AD18" s="18">
        <f t="shared" si="7"/>
        <v>0</v>
      </c>
      <c r="AE18" s="18">
        <f t="shared" si="8"/>
        <v>0</v>
      </c>
      <c r="AF18" s="18">
        <f t="shared" si="9"/>
        <v>0</v>
      </c>
      <c r="AG18" s="18">
        <f t="shared" si="10"/>
        <v>0</v>
      </c>
      <c r="AH18" s="18">
        <f t="shared" si="11"/>
        <v>0</v>
      </c>
      <c r="AI18" s="65"/>
      <c r="AJ18" s="4">
        <f t="shared" si="12"/>
        <v>0</v>
      </c>
      <c r="AK18" s="4">
        <f t="shared" si="13"/>
        <v>0</v>
      </c>
      <c r="AL18" s="4">
        <f t="shared" si="14"/>
        <v>0</v>
      </c>
      <c r="AN18" s="18">
        <v>21</v>
      </c>
      <c r="AO18" s="18">
        <f>G18*0</f>
        <v>0</v>
      </c>
      <c r="AP18" s="18">
        <f>G18*(1-0)</f>
        <v>0</v>
      </c>
      <c r="AQ18" s="69" t="s">
        <v>11</v>
      </c>
      <c r="AV18" s="18">
        <f t="shared" si="15"/>
        <v>0</v>
      </c>
      <c r="AW18" s="18">
        <f t="shared" si="16"/>
        <v>0</v>
      </c>
      <c r="AX18" s="18">
        <f t="shared" si="17"/>
        <v>0</v>
      </c>
      <c r="AY18" s="72" t="s">
        <v>317</v>
      </c>
      <c r="AZ18" s="72" t="s">
        <v>332</v>
      </c>
      <c r="BA18" s="65" t="s">
        <v>339</v>
      </c>
      <c r="BC18" s="18">
        <f t="shared" si="18"/>
        <v>0</v>
      </c>
      <c r="BD18" s="18">
        <f t="shared" si="19"/>
        <v>0</v>
      </c>
      <c r="BE18" s="18">
        <v>0</v>
      </c>
      <c r="BF18" s="18">
        <f t="shared" si="20"/>
        <v>0</v>
      </c>
      <c r="BH18" s="4">
        <f t="shared" si="21"/>
        <v>0</v>
      </c>
      <c r="BI18" s="4">
        <f t="shared" si="22"/>
        <v>0</v>
      </c>
      <c r="BJ18" s="4">
        <f t="shared" si="23"/>
        <v>0</v>
      </c>
    </row>
    <row r="19" spans="1:47" ht="12.75">
      <c r="A19" s="54"/>
      <c r="B19" s="59"/>
      <c r="C19" s="59" t="s">
        <v>44</v>
      </c>
      <c r="D19" s="59" t="s">
        <v>104</v>
      </c>
      <c r="E19" s="54" t="s">
        <v>6</v>
      </c>
      <c r="F19" s="54" t="s">
        <v>6</v>
      </c>
      <c r="G19" s="54" t="s">
        <v>6</v>
      </c>
      <c r="H19" s="7">
        <f>SUM(H20:H23)</f>
        <v>0</v>
      </c>
      <c r="I19" s="7">
        <f>SUM(I20:I23)</f>
        <v>0</v>
      </c>
      <c r="J19" s="7">
        <f>SUM(J20:J23)</f>
        <v>0</v>
      </c>
      <c r="K19" s="65"/>
      <c r="L19" s="7">
        <f>SUM(L20:L23)</f>
        <v>1.410072</v>
      </c>
      <c r="M19" s="65"/>
      <c r="AI19" s="65"/>
      <c r="AS19" s="7">
        <f>SUM(AJ20:AJ23)</f>
        <v>0</v>
      </c>
      <c r="AT19" s="7">
        <f>SUM(AK20:AK23)</f>
        <v>0</v>
      </c>
      <c r="AU19" s="7">
        <f>SUM(AL20:AL23)</f>
        <v>0</v>
      </c>
    </row>
    <row r="20" spans="1:62" ht="12.75">
      <c r="A20" s="1" t="s">
        <v>13</v>
      </c>
      <c r="B20" s="1"/>
      <c r="C20" s="1" t="s">
        <v>53</v>
      </c>
      <c r="D20" s="1" t="s">
        <v>105</v>
      </c>
      <c r="E20" s="1" t="s">
        <v>154</v>
      </c>
      <c r="F20" s="4">
        <f>'Rozpočet - vybrané sloupce'!AS21</f>
        <v>151.3</v>
      </c>
      <c r="G20" s="4">
        <f>'Rozpočet - vybrané sloupce'!AX21</f>
        <v>0</v>
      </c>
      <c r="H20" s="4">
        <f>F20*AO20</f>
        <v>0</v>
      </c>
      <c r="I20" s="4">
        <f>F20*AP20</f>
        <v>0</v>
      </c>
      <c r="J20" s="4">
        <f>F20*G20</f>
        <v>0</v>
      </c>
      <c r="K20" s="4">
        <v>0.00869</v>
      </c>
      <c r="L20" s="4">
        <f>F20*K20</f>
        <v>1.314797</v>
      </c>
      <c r="M20" s="69" t="s">
        <v>307</v>
      </c>
      <c r="Z20" s="18">
        <f>IF(AQ20="5",BJ20,0)</f>
        <v>0</v>
      </c>
      <c r="AB20" s="18">
        <f>IF(AQ20="1",BH20,0)</f>
        <v>0</v>
      </c>
      <c r="AC20" s="18">
        <f>IF(AQ20="1",BI20,0)</f>
        <v>0</v>
      </c>
      <c r="AD20" s="18">
        <f>IF(AQ20="7",BH20,0)</f>
        <v>0</v>
      </c>
      <c r="AE20" s="18">
        <f>IF(AQ20="7",BI20,0)</f>
        <v>0</v>
      </c>
      <c r="AF20" s="18">
        <f>IF(AQ20="2",BH20,0)</f>
        <v>0</v>
      </c>
      <c r="AG20" s="18">
        <f>IF(AQ20="2",BI20,0)</f>
        <v>0</v>
      </c>
      <c r="AH20" s="18">
        <f>IF(AQ20="0",BJ20,0)</f>
        <v>0</v>
      </c>
      <c r="AI20" s="65"/>
      <c r="AJ20" s="4">
        <f>IF(AN20=0,J20,0)</f>
        <v>0</v>
      </c>
      <c r="AK20" s="4">
        <f>IF(AN20=15,J20,0)</f>
        <v>0</v>
      </c>
      <c r="AL20" s="4">
        <f>IF(AN20=21,J20,0)</f>
        <v>0</v>
      </c>
      <c r="AN20" s="18">
        <v>21</v>
      </c>
      <c r="AO20" s="18">
        <f>G20*0.227266055045872</f>
        <v>0</v>
      </c>
      <c r="AP20" s="18">
        <f>G20*(1-0.227266055045872)</f>
        <v>0</v>
      </c>
      <c r="AQ20" s="69" t="s">
        <v>7</v>
      </c>
      <c r="AV20" s="18">
        <f>AW20+AX20</f>
        <v>0</v>
      </c>
      <c r="AW20" s="18">
        <f>F20*AO20</f>
        <v>0</v>
      </c>
      <c r="AX20" s="18">
        <f>F20*AP20</f>
        <v>0</v>
      </c>
      <c r="AY20" s="72" t="s">
        <v>318</v>
      </c>
      <c r="AZ20" s="72" t="s">
        <v>333</v>
      </c>
      <c r="BA20" s="65" t="s">
        <v>339</v>
      </c>
      <c r="BC20" s="18">
        <f>AW20+AX20</f>
        <v>0</v>
      </c>
      <c r="BD20" s="18">
        <f>G20/(100-BE20)*100</f>
        <v>0</v>
      </c>
      <c r="BE20" s="18">
        <v>0</v>
      </c>
      <c r="BF20" s="18">
        <f>L20</f>
        <v>1.314797</v>
      </c>
      <c r="BH20" s="4">
        <f>F20*AO20</f>
        <v>0</v>
      </c>
      <c r="BI20" s="4">
        <f>F20*AP20</f>
        <v>0</v>
      </c>
      <c r="BJ20" s="4">
        <f>F20*G20</f>
        <v>0</v>
      </c>
    </row>
    <row r="21" spans="3:13" ht="12.75">
      <c r="C21" s="60" t="s">
        <v>227</v>
      </c>
      <c r="D21" s="180" t="s">
        <v>300</v>
      </c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62" ht="12.75">
      <c r="A22" s="1" t="s">
        <v>14</v>
      </c>
      <c r="B22" s="1"/>
      <c r="C22" s="1" t="s">
        <v>54</v>
      </c>
      <c r="D22" s="1" t="s">
        <v>106</v>
      </c>
      <c r="E22" s="1" t="s">
        <v>154</v>
      </c>
      <c r="F22" s="4">
        <f>'Rozpočet - vybrané sloupce'!AS28</f>
        <v>151.3</v>
      </c>
      <c r="G22" s="4">
        <f>'Rozpočet - vybrané sloupce'!AX28</f>
        <v>0</v>
      </c>
      <c r="H22" s="4">
        <f>F22*AO22</f>
        <v>0</v>
      </c>
      <c r="I22" s="4">
        <f>F22*AP22</f>
        <v>0</v>
      </c>
      <c r="J22" s="4">
        <f>F22*G22</f>
        <v>0</v>
      </c>
      <c r="K22" s="4">
        <v>0.00056</v>
      </c>
      <c r="L22" s="4">
        <f>F22*K22</f>
        <v>0.084728</v>
      </c>
      <c r="M22" s="69" t="s">
        <v>307</v>
      </c>
      <c r="Z22" s="18">
        <f>IF(AQ22="5",BJ22,0)</f>
        <v>0</v>
      </c>
      <c r="AB22" s="18">
        <f>IF(AQ22="1",BH22,0)</f>
        <v>0</v>
      </c>
      <c r="AC22" s="18">
        <f>IF(AQ22="1",BI22,0)</f>
        <v>0</v>
      </c>
      <c r="AD22" s="18">
        <f>IF(AQ22="7",BH22,0)</f>
        <v>0</v>
      </c>
      <c r="AE22" s="18">
        <f>IF(AQ22="7",BI22,0)</f>
        <v>0</v>
      </c>
      <c r="AF22" s="18">
        <f>IF(AQ22="2",BH22,0)</f>
        <v>0</v>
      </c>
      <c r="AG22" s="18">
        <f>IF(AQ22="2",BI22,0)</f>
        <v>0</v>
      </c>
      <c r="AH22" s="18">
        <f>IF(AQ22="0",BJ22,0)</f>
        <v>0</v>
      </c>
      <c r="AI22" s="65"/>
      <c r="AJ22" s="4">
        <f>IF(AN22=0,J22,0)</f>
        <v>0</v>
      </c>
      <c r="AK22" s="4">
        <f>IF(AN22=15,J22,0)</f>
        <v>0</v>
      </c>
      <c r="AL22" s="4">
        <f>IF(AN22=21,J22,0)</f>
        <v>0</v>
      </c>
      <c r="AN22" s="18">
        <v>21</v>
      </c>
      <c r="AO22" s="18">
        <f>G22*0.101913202865109</f>
        <v>0</v>
      </c>
      <c r="AP22" s="18">
        <f>G22*(1-0.101913202865109)</f>
        <v>0</v>
      </c>
      <c r="AQ22" s="69" t="s">
        <v>7</v>
      </c>
      <c r="AV22" s="18">
        <f>AW22+AX22</f>
        <v>0</v>
      </c>
      <c r="AW22" s="18">
        <f>F22*AO22</f>
        <v>0</v>
      </c>
      <c r="AX22" s="18">
        <f>F22*AP22</f>
        <v>0</v>
      </c>
      <c r="AY22" s="72" t="s">
        <v>318</v>
      </c>
      <c r="AZ22" s="72" t="s">
        <v>333</v>
      </c>
      <c r="BA22" s="65" t="s">
        <v>339</v>
      </c>
      <c r="BC22" s="18">
        <f>AW22+AX22</f>
        <v>0</v>
      </c>
      <c r="BD22" s="18">
        <f>G22/(100-BE22)*100</f>
        <v>0</v>
      </c>
      <c r="BE22" s="18">
        <v>0</v>
      </c>
      <c r="BF22" s="18">
        <f>L22</f>
        <v>0.084728</v>
      </c>
      <c r="BH22" s="4">
        <f>F22*AO22</f>
        <v>0</v>
      </c>
      <c r="BI22" s="4">
        <f>F22*AP22</f>
        <v>0</v>
      </c>
      <c r="BJ22" s="4">
        <f>F22*G22</f>
        <v>0</v>
      </c>
    </row>
    <row r="23" spans="1:62" ht="12.75">
      <c r="A23" s="1" t="s">
        <v>15</v>
      </c>
      <c r="B23" s="1"/>
      <c r="C23" s="1" t="s">
        <v>55</v>
      </c>
      <c r="D23" s="1" t="s">
        <v>107</v>
      </c>
      <c r="E23" s="1" t="s">
        <v>154</v>
      </c>
      <c r="F23" s="4">
        <f>'Rozpočet - vybrané sloupce'!AS29</f>
        <v>19.9</v>
      </c>
      <c r="G23" s="4">
        <f>'Rozpočet - vybrané sloupce'!AX29</f>
        <v>0</v>
      </c>
      <c r="H23" s="4">
        <f>F23*AO23</f>
        <v>0</v>
      </c>
      <c r="I23" s="4">
        <f>F23*AP23</f>
        <v>0</v>
      </c>
      <c r="J23" s="4">
        <f>F23*G23</f>
        <v>0</v>
      </c>
      <c r="K23" s="4">
        <v>0.00053</v>
      </c>
      <c r="L23" s="4">
        <f>F23*K23</f>
        <v>0.010546999999999999</v>
      </c>
      <c r="M23" s="69" t="s">
        <v>307</v>
      </c>
      <c r="Z23" s="18">
        <f>IF(AQ23="5",BJ23,0)</f>
        <v>0</v>
      </c>
      <c r="AB23" s="18">
        <f>IF(AQ23="1",BH23,0)</f>
        <v>0</v>
      </c>
      <c r="AC23" s="18">
        <f>IF(AQ23="1",BI23,0)</f>
        <v>0</v>
      </c>
      <c r="AD23" s="18">
        <f>IF(AQ23="7",BH23,0)</f>
        <v>0</v>
      </c>
      <c r="AE23" s="18">
        <f>IF(AQ23="7",BI23,0)</f>
        <v>0</v>
      </c>
      <c r="AF23" s="18">
        <f>IF(AQ23="2",BH23,0)</f>
        <v>0</v>
      </c>
      <c r="AG23" s="18">
        <f>IF(AQ23="2",BI23,0)</f>
        <v>0</v>
      </c>
      <c r="AH23" s="18">
        <f>IF(AQ23="0",BJ23,0)</f>
        <v>0</v>
      </c>
      <c r="AI23" s="65"/>
      <c r="AJ23" s="4">
        <f>IF(AN23=0,J23,0)</f>
        <v>0</v>
      </c>
      <c r="AK23" s="4">
        <f>IF(AN23=15,J23,0)</f>
        <v>0</v>
      </c>
      <c r="AL23" s="4">
        <f>IF(AN23=21,J23,0)</f>
        <v>0</v>
      </c>
      <c r="AN23" s="18">
        <v>21</v>
      </c>
      <c r="AO23" s="18">
        <f>G23*0.4138</f>
        <v>0</v>
      </c>
      <c r="AP23" s="18">
        <f>G23*(1-0.4138)</f>
        <v>0</v>
      </c>
      <c r="AQ23" s="69" t="s">
        <v>7</v>
      </c>
      <c r="AV23" s="18">
        <f>AW23+AX23</f>
        <v>0</v>
      </c>
      <c r="AW23" s="18">
        <f>F23*AO23</f>
        <v>0</v>
      </c>
      <c r="AX23" s="18">
        <f>F23*AP23</f>
        <v>0</v>
      </c>
      <c r="AY23" s="72" t="s">
        <v>318</v>
      </c>
      <c r="AZ23" s="72" t="s">
        <v>333</v>
      </c>
      <c r="BA23" s="65" t="s">
        <v>339</v>
      </c>
      <c r="BC23" s="18">
        <f>AW23+AX23</f>
        <v>0</v>
      </c>
      <c r="BD23" s="18">
        <f>G23/(100-BE23)*100</f>
        <v>0</v>
      </c>
      <c r="BE23" s="18">
        <v>0</v>
      </c>
      <c r="BF23" s="18">
        <f>L23</f>
        <v>0.010546999999999999</v>
      </c>
      <c r="BH23" s="4">
        <f>F23*AO23</f>
        <v>0</v>
      </c>
      <c r="BI23" s="4">
        <f>F23*AP23</f>
        <v>0</v>
      </c>
      <c r="BJ23" s="4">
        <f>F23*G23</f>
        <v>0</v>
      </c>
    </row>
    <row r="24" spans="1:47" ht="12.75">
      <c r="A24" s="54"/>
      <c r="B24" s="59"/>
      <c r="C24" s="59" t="s">
        <v>56</v>
      </c>
      <c r="D24" s="59" t="s">
        <v>108</v>
      </c>
      <c r="E24" s="54" t="s">
        <v>6</v>
      </c>
      <c r="F24" s="54" t="s">
        <v>6</v>
      </c>
      <c r="G24" s="54" t="s">
        <v>6</v>
      </c>
      <c r="H24" s="7">
        <f>SUM(H25:H27)</f>
        <v>0</v>
      </c>
      <c r="I24" s="7">
        <f>SUM(I25:I27)</f>
        <v>0</v>
      </c>
      <c r="J24" s="7">
        <f>SUM(J25:J27)</f>
        <v>0</v>
      </c>
      <c r="K24" s="65"/>
      <c r="L24" s="7">
        <f>SUM(L25:L27)</f>
        <v>6.893000000000001</v>
      </c>
      <c r="M24" s="65"/>
      <c r="AI24" s="65"/>
      <c r="AS24" s="7">
        <f>SUM(AJ25:AJ27)</f>
        <v>0</v>
      </c>
      <c r="AT24" s="7">
        <f>SUM(AK25:AK27)</f>
        <v>0</v>
      </c>
      <c r="AU24" s="7">
        <f>SUM(AL25:AL27)</f>
        <v>0</v>
      </c>
    </row>
    <row r="25" spans="1:62" ht="12.75">
      <c r="A25" s="1" t="s">
        <v>16</v>
      </c>
      <c r="B25" s="1"/>
      <c r="C25" s="1" t="s">
        <v>57</v>
      </c>
      <c r="D25" s="1" t="s">
        <v>109</v>
      </c>
      <c r="E25" s="1" t="s">
        <v>156</v>
      </c>
      <c r="F25" s="4">
        <f>'Rozpočet - vybrané sloupce'!AS38</f>
        <v>11.3</v>
      </c>
      <c r="G25" s="4">
        <f>'Rozpočet - vybrané sloupce'!AX38</f>
        <v>0</v>
      </c>
      <c r="H25" s="4">
        <f>F25*AO25</f>
        <v>0</v>
      </c>
      <c r="I25" s="4">
        <f>F25*AP25</f>
        <v>0</v>
      </c>
      <c r="J25" s="4">
        <f>F25*G25</f>
        <v>0</v>
      </c>
      <c r="K25" s="4">
        <v>0.358</v>
      </c>
      <c r="L25" s="4">
        <f>F25*K25</f>
        <v>4.0454</v>
      </c>
      <c r="M25" s="69" t="s">
        <v>307</v>
      </c>
      <c r="Z25" s="18">
        <f>IF(AQ25="5",BJ25,0)</f>
        <v>0</v>
      </c>
      <c r="AB25" s="18">
        <f>IF(AQ25="1",BH25,0)</f>
        <v>0</v>
      </c>
      <c r="AC25" s="18">
        <f>IF(AQ25="1",BI25,0)</f>
        <v>0</v>
      </c>
      <c r="AD25" s="18">
        <f>IF(AQ25="7",BH25,0)</f>
        <v>0</v>
      </c>
      <c r="AE25" s="18">
        <f>IF(AQ25="7",BI25,0)</f>
        <v>0</v>
      </c>
      <c r="AF25" s="18">
        <f>IF(AQ25="2",BH25,0)</f>
        <v>0</v>
      </c>
      <c r="AG25" s="18">
        <f>IF(AQ25="2",BI25,0)</f>
        <v>0</v>
      </c>
      <c r="AH25" s="18">
        <f>IF(AQ25="0",BJ25,0)</f>
        <v>0</v>
      </c>
      <c r="AI25" s="65"/>
      <c r="AJ25" s="4">
        <f>IF(AN25=0,J25,0)</f>
        <v>0</v>
      </c>
      <c r="AK25" s="4">
        <f>IF(AN25=15,J25,0)</f>
        <v>0</v>
      </c>
      <c r="AL25" s="4">
        <f>IF(AN25=21,J25,0)</f>
        <v>0</v>
      </c>
      <c r="AN25" s="18">
        <v>21</v>
      </c>
      <c r="AO25" s="18">
        <f>G25*0</f>
        <v>0</v>
      </c>
      <c r="AP25" s="18">
        <f>G25*(1-0)</f>
        <v>0</v>
      </c>
      <c r="AQ25" s="69" t="s">
        <v>7</v>
      </c>
      <c r="AV25" s="18">
        <f>AW25+AX25</f>
        <v>0</v>
      </c>
      <c r="AW25" s="18">
        <f>F25*AO25</f>
        <v>0</v>
      </c>
      <c r="AX25" s="18">
        <f>F25*AP25</f>
        <v>0</v>
      </c>
      <c r="AY25" s="72" t="s">
        <v>319</v>
      </c>
      <c r="AZ25" s="72" t="s">
        <v>334</v>
      </c>
      <c r="BA25" s="65" t="s">
        <v>339</v>
      </c>
      <c r="BC25" s="18">
        <f>AW25+AX25</f>
        <v>0</v>
      </c>
      <c r="BD25" s="18">
        <f>G25/(100-BE25)*100</f>
        <v>0</v>
      </c>
      <c r="BE25" s="18">
        <v>0</v>
      </c>
      <c r="BF25" s="18">
        <f>L25</f>
        <v>4.0454</v>
      </c>
      <c r="BH25" s="4">
        <f>F25*AO25</f>
        <v>0</v>
      </c>
      <c r="BI25" s="4">
        <f>F25*AP25</f>
        <v>0</v>
      </c>
      <c r="BJ25" s="4">
        <f>F25*G25</f>
        <v>0</v>
      </c>
    </row>
    <row r="26" spans="1:62" ht="12.75">
      <c r="A26" s="1" t="s">
        <v>17</v>
      </c>
      <c r="B26" s="1"/>
      <c r="C26" s="1" t="s">
        <v>58</v>
      </c>
      <c r="D26" s="1" t="s">
        <v>110</v>
      </c>
      <c r="E26" s="1" t="s">
        <v>156</v>
      </c>
      <c r="F26" s="4">
        <f>'Rozpočet - vybrané sloupce'!AS39</f>
        <v>11.3</v>
      </c>
      <c r="G26" s="4">
        <f>'Rozpočet - vybrané sloupce'!AX39</f>
        <v>0</v>
      </c>
      <c r="H26" s="4">
        <f>F26*AO26</f>
        <v>0</v>
      </c>
      <c r="I26" s="4">
        <f>F26*AP26</f>
        <v>0</v>
      </c>
      <c r="J26" s="4">
        <f>F26*G26</f>
        <v>0</v>
      </c>
      <c r="K26" s="4">
        <v>0.072</v>
      </c>
      <c r="L26" s="4">
        <f>F26*K26</f>
        <v>0.8136</v>
      </c>
      <c r="M26" s="69" t="s">
        <v>307</v>
      </c>
      <c r="Z26" s="18">
        <f>IF(AQ26="5",BJ26,0)</f>
        <v>0</v>
      </c>
      <c r="AB26" s="18">
        <f>IF(AQ26="1",BH26,0)</f>
        <v>0</v>
      </c>
      <c r="AC26" s="18">
        <f>IF(AQ26="1",BI26,0)</f>
        <v>0</v>
      </c>
      <c r="AD26" s="18">
        <f>IF(AQ26="7",BH26,0)</f>
        <v>0</v>
      </c>
      <c r="AE26" s="18">
        <f>IF(AQ26="7",BI26,0)</f>
        <v>0</v>
      </c>
      <c r="AF26" s="18">
        <f>IF(AQ26="2",BH26,0)</f>
        <v>0</v>
      </c>
      <c r="AG26" s="18">
        <f>IF(AQ26="2",BI26,0)</f>
        <v>0</v>
      </c>
      <c r="AH26" s="18">
        <f>IF(AQ26="0",BJ26,0)</f>
        <v>0</v>
      </c>
      <c r="AI26" s="65"/>
      <c r="AJ26" s="4">
        <f>IF(AN26=0,J26,0)</f>
        <v>0</v>
      </c>
      <c r="AK26" s="4">
        <f>IF(AN26=15,J26,0)</f>
        <v>0</v>
      </c>
      <c r="AL26" s="4">
        <f>IF(AN26=21,J26,0)</f>
        <v>0</v>
      </c>
      <c r="AN26" s="18">
        <v>21</v>
      </c>
      <c r="AO26" s="18">
        <f>G26*0.134459833795014</f>
        <v>0</v>
      </c>
      <c r="AP26" s="18">
        <f>G26*(1-0.134459833795014)</f>
        <v>0</v>
      </c>
      <c r="AQ26" s="69" t="s">
        <v>7</v>
      </c>
      <c r="AV26" s="18">
        <f>AW26+AX26</f>
        <v>0</v>
      </c>
      <c r="AW26" s="18">
        <f>F26*AO26</f>
        <v>0</v>
      </c>
      <c r="AX26" s="18">
        <f>F26*AP26</f>
        <v>0</v>
      </c>
      <c r="AY26" s="72" t="s">
        <v>319</v>
      </c>
      <c r="AZ26" s="72" t="s">
        <v>334</v>
      </c>
      <c r="BA26" s="65" t="s">
        <v>339</v>
      </c>
      <c r="BC26" s="18">
        <f>AW26+AX26</f>
        <v>0</v>
      </c>
      <c r="BD26" s="18">
        <f>G26/(100-BE26)*100</f>
        <v>0</v>
      </c>
      <c r="BE26" s="18">
        <v>0</v>
      </c>
      <c r="BF26" s="18">
        <f>L26</f>
        <v>0.8136</v>
      </c>
      <c r="BH26" s="4">
        <f>F26*AO26</f>
        <v>0</v>
      </c>
      <c r="BI26" s="4">
        <f>F26*AP26</f>
        <v>0</v>
      </c>
      <c r="BJ26" s="4">
        <f>F26*G26</f>
        <v>0</v>
      </c>
    </row>
    <row r="27" spans="1:62" ht="12.75">
      <c r="A27" s="1" t="s">
        <v>18</v>
      </c>
      <c r="B27" s="1"/>
      <c r="C27" s="1" t="s">
        <v>59</v>
      </c>
      <c r="D27" s="1" t="s">
        <v>111</v>
      </c>
      <c r="E27" s="1" t="s">
        <v>156</v>
      </c>
      <c r="F27" s="4">
        <f>'Rozpočet - vybrané sloupce'!AS40</f>
        <v>11.3</v>
      </c>
      <c r="G27" s="4">
        <f>'Rozpočet - vybrané sloupce'!AX40</f>
        <v>0</v>
      </c>
      <c r="H27" s="4">
        <f>F27*AO27</f>
        <v>0</v>
      </c>
      <c r="I27" s="4">
        <f>F27*AP27</f>
        <v>0</v>
      </c>
      <c r="J27" s="4">
        <f>F27*G27</f>
        <v>0</v>
      </c>
      <c r="K27" s="4">
        <v>0.18</v>
      </c>
      <c r="L27" s="4">
        <f>F27*K27</f>
        <v>2.0340000000000003</v>
      </c>
      <c r="M27" s="69" t="s">
        <v>307</v>
      </c>
      <c r="Z27" s="18">
        <f>IF(AQ27="5",BJ27,0)</f>
        <v>0</v>
      </c>
      <c r="AB27" s="18">
        <f>IF(AQ27="1",BH27,0)</f>
        <v>0</v>
      </c>
      <c r="AC27" s="18">
        <f>IF(AQ27="1",BI27,0)</f>
        <v>0</v>
      </c>
      <c r="AD27" s="18">
        <f>IF(AQ27="7",BH27,0)</f>
        <v>0</v>
      </c>
      <c r="AE27" s="18">
        <f>IF(AQ27="7",BI27,0)</f>
        <v>0</v>
      </c>
      <c r="AF27" s="18">
        <f>IF(AQ27="2",BH27,0)</f>
        <v>0</v>
      </c>
      <c r="AG27" s="18">
        <f>IF(AQ27="2",BI27,0)</f>
        <v>0</v>
      </c>
      <c r="AH27" s="18">
        <f>IF(AQ27="0",BJ27,0)</f>
        <v>0</v>
      </c>
      <c r="AI27" s="65"/>
      <c r="AJ27" s="4">
        <f>IF(AN27=0,J27,0)</f>
        <v>0</v>
      </c>
      <c r="AK27" s="4">
        <f>IF(AN27=15,J27,0)</f>
        <v>0</v>
      </c>
      <c r="AL27" s="4">
        <f>IF(AN27=21,J27,0)</f>
        <v>0</v>
      </c>
      <c r="AN27" s="18">
        <v>21</v>
      </c>
      <c r="AO27" s="18">
        <f>G27*0.551974826818815</f>
        <v>0</v>
      </c>
      <c r="AP27" s="18">
        <f>G27*(1-0.551974826818815)</f>
        <v>0</v>
      </c>
      <c r="AQ27" s="69" t="s">
        <v>7</v>
      </c>
      <c r="AV27" s="18">
        <f>AW27+AX27</f>
        <v>0</v>
      </c>
      <c r="AW27" s="18">
        <f>F27*AO27</f>
        <v>0</v>
      </c>
      <c r="AX27" s="18">
        <f>F27*AP27</f>
        <v>0</v>
      </c>
      <c r="AY27" s="72" t="s">
        <v>319</v>
      </c>
      <c r="AZ27" s="72" t="s">
        <v>334</v>
      </c>
      <c r="BA27" s="65" t="s">
        <v>339</v>
      </c>
      <c r="BC27" s="18">
        <f>AW27+AX27</f>
        <v>0</v>
      </c>
      <c r="BD27" s="18">
        <f>G27/(100-BE27)*100</f>
        <v>0</v>
      </c>
      <c r="BE27" s="18">
        <v>0</v>
      </c>
      <c r="BF27" s="18">
        <f>L27</f>
        <v>2.0340000000000003</v>
      </c>
      <c r="BH27" s="4">
        <f>F27*AO27</f>
        <v>0</v>
      </c>
      <c r="BI27" s="4">
        <f>F27*AP27</f>
        <v>0</v>
      </c>
      <c r="BJ27" s="4">
        <f>F27*G27</f>
        <v>0</v>
      </c>
    </row>
    <row r="28" spans="1:47" ht="12.75">
      <c r="A28" s="54"/>
      <c r="B28" s="59"/>
      <c r="C28" s="59" t="s">
        <v>60</v>
      </c>
      <c r="D28" s="59" t="s">
        <v>112</v>
      </c>
      <c r="E28" s="54" t="s">
        <v>6</v>
      </c>
      <c r="F28" s="54" t="s">
        <v>6</v>
      </c>
      <c r="G28" s="54" t="s">
        <v>6</v>
      </c>
      <c r="H28" s="7">
        <f>SUM(H29:H29)</f>
        <v>0</v>
      </c>
      <c r="I28" s="7">
        <f>SUM(I29:I29)</f>
        <v>0</v>
      </c>
      <c r="J28" s="7">
        <f>SUM(J29:J29)</f>
        <v>0</v>
      </c>
      <c r="K28" s="65"/>
      <c r="L28" s="7">
        <f>SUM(L29:L29)</f>
        <v>0</v>
      </c>
      <c r="M28" s="65"/>
      <c r="AI28" s="65"/>
      <c r="AS28" s="7">
        <f>SUM(AJ29:AJ29)</f>
        <v>0</v>
      </c>
      <c r="AT28" s="7">
        <f>SUM(AK29:AK29)</f>
        <v>0</v>
      </c>
      <c r="AU28" s="7">
        <f>SUM(AL29:AL29)</f>
        <v>0</v>
      </c>
    </row>
    <row r="29" spans="1:62" ht="12.75">
      <c r="A29" s="1" t="s">
        <v>19</v>
      </c>
      <c r="B29" s="1"/>
      <c r="C29" s="1" t="s">
        <v>61</v>
      </c>
      <c r="D29" s="1" t="s">
        <v>113</v>
      </c>
      <c r="E29" s="1" t="s">
        <v>157</v>
      </c>
      <c r="F29" s="4">
        <f>'Rozpočet - vybrané sloupce'!AS43</f>
        <v>1</v>
      </c>
      <c r="G29" s="4">
        <f>'Rozpočet - vybrané sloupce'!AX43</f>
        <v>0</v>
      </c>
      <c r="H29" s="4">
        <f>F29*AO29</f>
        <v>0</v>
      </c>
      <c r="I29" s="4">
        <f>F29*AP29</f>
        <v>0</v>
      </c>
      <c r="J29" s="4">
        <f>F29*G29</f>
        <v>0</v>
      </c>
      <c r="K29" s="4">
        <v>0</v>
      </c>
      <c r="L29" s="4">
        <f>F29*K29</f>
        <v>0</v>
      </c>
      <c r="M29" s="69"/>
      <c r="Z29" s="18">
        <f>IF(AQ29="5",BJ29,0)</f>
        <v>0</v>
      </c>
      <c r="AB29" s="18">
        <f>IF(AQ29="1",BH29,0)</f>
        <v>0</v>
      </c>
      <c r="AC29" s="18">
        <f>IF(AQ29="1",BI29,0)</f>
        <v>0</v>
      </c>
      <c r="AD29" s="18">
        <f>IF(AQ29="7",BH29,0)</f>
        <v>0</v>
      </c>
      <c r="AE29" s="18">
        <f>IF(AQ29="7",BI29,0)</f>
        <v>0</v>
      </c>
      <c r="AF29" s="18">
        <f>IF(AQ29="2",BH29,0)</f>
        <v>0</v>
      </c>
      <c r="AG29" s="18">
        <f>IF(AQ29="2",BI29,0)</f>
        <v>0</v>
      </c>
      <c r="AH29" s="18">
        <f>IF(AQ29="0",BJ29,0)</f>
        <v>0</v>
      </c>
      <c r="AI29" s="65"/>
      <c r="AJ29" s="4">
        <f>IF(AN29=0,J29,0)</f>
        <v>0</v>
      </c>
      <c r="AK29" s="4">
        <f>IF(AN29=15,J29,0)</f>
        <v>0</v>
      </c>
      <c r="AL29" s="4">
        <f>IF(AN29=21,J29,0)</f>
        <v>0</v>
      </c>
      <c r="AN29" s="18">
        <v>21</v>
      </c>
      <c r="AO29" s="18">
        <f>G29*0</f>
        <v>0</v>
      </c>
      <c r="AP29" s="18">
        <f>G29*(1-0)</f>
        <v>0</v>
      </c>
      <c r="AQ29" s="69" t="s">
        <v>7</v>
      </c>
      <c r="AV29" s="18">
        <f>AW29+AX29</f>
        <v>0</v>
      </c>
      <c r="AW29" s="18">
        <f>F29*AO29</f>
        <v>0</v>
      </c>
      <c r="AX29" s="18">
        <f>F29*AP29</f>
        <v>0</v>
      </c>
      <c r="AY29" s="72" t="s">
        <v>320</v>
      </c>
      <c r="AZ29" s="72" t="s">
        <v>335</v>
      </c>
      <c r="BA29" s="65" t="s">
        <v>339</v>
      </c>
      <c r="BC29" s="18">
        <f>AW29+AX29</f>
        <v>0</v>
      </c>
      <c r="BD29" s="18">
        <f>G29/(100-BE29)*100</f>
        <v>0</v>
      </c>
      <c r="BE29" s="18">
        <v>0</v>
      </c>
      <c r="BF29" s="18">
        <f>L29</f>
        <v>0</v>
      </c>
      <c r="BH29" s="4">
        <f>F29*AO29</f>
        <v>0</v>
      </c>
      <c r="BI29" s="4">
        <f>F29*AP29</f>
        <v>0</v>
      </c>
      <c r="BJ29" s="4">
        <f>F29*G29</f>
        <v>0</v>
      </c>
    </row>
    <row r="30" spans="1:47" ht="12.75">
      <c r="A30" s="54"/>
      <c r="B30" s="59"/>
      <c r="C30" s="59" t="s">
        <v>19</v>
      </c>
      <c r="D30" s="59" t="s">
        <v>114</v>
      </c>
      <c r="E30" s="54" t="s">
        <v>6</v>
      </c>
      <c r="F30" s="54" t="s">
        <v>6</v>
      </c>
      <c r="G30" s="54" t="s">
        <v>6</v>
      </c>
      <c r="H30" s="7">
        <f>SUM(H31:H31)</f>
        <v>0</v>
      </c>
      <c r="I30" s="7">
        <f>SUM(I31:I31)</f>
        <v>0</v>
      </c>
      <c r="J30" s="7">
        <f>SUM(J31:J31)</f>
        <v>0</v>
      </c>
      <c r="K30" s="65"/>
      <c r="L30" s="7">
        <f>SUM(L31:L31)</f>
        <v>0</v>
      </c>
      <c r="M30" s="65"/>
      <c r="AI30" s="65"/>
      <c r="AS30" s="7">
        <f>SUM(AJ31:AJ31)</f>
        <v>0</v>
      </c>
      <c r="AT30" s="7">
        <f>SUM(AK31:AK31)</f>
        <v>0</v>
      </c>
      <c r="AU30" s="7">
        <f>SUM(AL31:AL31)</f>
        <v>0</v>
      </c>
    </row>
    <row r="31" spans="1:62" ht="12.75">
      <c r="A31" s="1" t="s">
        <v>20</v>
      </c>
      <c r="B31" s="1"/>
      <c r="C31" s="1" t="s">
        <v>62</v>
      </c>
      <c r="D31" s="1" t="s">
        <v>115</v>
      </c>
      <c r="E31" s="1" t="s">
        <v>158</v>
      </c>
      <c r="F31" s="4">
        <f>'Rozpočet - vybrané sloupce'!AS45</f>
        <v>23</v>
      </c>
      <c r="G31" s="4">
        <f>'Rozpočet - vybrané sloupce'!AX45</f>
        <v>0</v>
      </c>
      <c r="H31" s="4">
        <f>F31*AO31</f>
        <v>0</v>
      </c>
      <c r="I31" s="4">
        <f>F31*AP31</f>
        <v>0</v>
      </c>
      <c r="J31" s="4">
        <f>F31*G31</f>
        <v>0</v>
      </c>
      <c r="K31" s="4">
        <v>0</v>
      </c>
      <c r="L31" s="4">
        <f>F31*K31</f>
        <v>0</v>
      </c>
      <c r="M31" s="69" t="s">
        <v>307</v>
      </c>
      <c r="Z31" s="18">
        <f>IF(AQ31="5",BJ31,0)</f>
        <v>0</v>
      </c>
      <c r="AB31" s="18">
        <f>IF(AQ31="1",BH31,0)</f>
        <v>0</v>
      </c>
      <c r="AC31" s="18">
        <f>IF(AQ31="1",BI31,0)</f>
        <v>0</v>
      </c>
      <c r="AD31" s="18">
        <f>IF(AQ31="7",BH31,0)</f>
        <v>0</v>
      </c>
      <c r="AE31" s="18">
        <f>IF(AQ31="7",BI31,0)</f>
        <v>0</v>
      </c>
      <c r="AF31" s="18">
        <f>IF(AQ31="2",BH31,0)</f>
        <v>0</v>
      </c>
      <c r="AG31" s="18">
        <f>IF(AQ31="2",BI31,0)</f>
        <v>0</v>
      </c>
      <c r="AH31" s="18">
        <f>IF(AQ31="0",BJ31,0)</f>
        <v>0</v>
      </c>
      <c r="AI31" s="65"/>
      <c r="AJ31" s="4">
        <f>IF(AN31=0,J31,0)</f>
        <v>0</v>
      </c>
      <c r="AK31" s="4">
        <f>IF(AN31=15,J31,0)</f>
        <v>0</v>
      </c>
      <c r="AL31" s="4">
        <f>IF(AN31=21,J31,0)</f>
        <v>0</v>
      </c>
      <c r="AN31" s="18">
        <v>21</v>
      </c>
      <c r="AO31" s="18">
        <f>G31*0</f>
        <v>0</v>
      </c>
      <c r="AP31" s="18">
        <f>G31*(1-0)</f>
        <v>0</v>
      </c>
      <c r="AQ31" s="69" t="s">
        <v>7</v>
      </c>
      <c r="AV31" s="18">
        <f>AW31+AX31</f>
        <v>0</v>
      </c>
      <c r="AW31" s="18">
        <f>F31*AO31</f>
        <v>0</v>
      </c>
      <c r="AX31" s="18">
        <f>F31*AP31</f>
        <v>0</v>
      </c>
      <c r="AY31" s="72" t="s">
        <v>321</v>
      </c>
      <c r="AZ31" s="72" t="s">
        <v>335</v>
      </c>
      <c r="BA31" s="65" t="s">
        <v>339</v>
      </c>
      <c r="BC31" s="18">
        <f>AW31+AX31</f>
        <v>0</v>
      </c>
      <c r="BD31" s="18">
        <f>G31/(100-BE31)*100</f>
        <v>0</v>
      </c>
      <c r="BE31" s="18">
        <v>0</v>
      </c>
      <c r="BF31" s="18">
        <f>L31</f>
        <v>0</v>
      </c>
      <c r="BH31" s="4">
        <f>F31*AO31</f>
        <v>0</v>
      </c>
      <c r="BI31" s="4">
        <f>F31*AP31</f>
        <v>0</v>
      </c>
      <c r="BJ31" s="4">
        <f>F31*G31</f>
        <v>0</v>
      </c>
    </row>
    <row r="32" spans="1:47" ht="12.75">
      <c r="A32" s="54"/>
      <c r="B32" s="59"/>
      <c r="C32" s="59" t="s">
        <v>23</v>
      </c>
      <c r="D32" s="59" t="s">
        <v>116</v>
      </c>
      <c r="E32" s="54" t="s">
        <v>6</v>
      </c>
      <c r="F32" s="54" t="s">
        <v>6</v>
      </c>
      <c r="G32" s="54" t="s">
        <v>6</v>
      </c>
      <c r="H32" s="7">
        <f>SUM(H33:H33)</f>
        <v>0</v>
      </c>
      <c r="I32" s="7">
        <f>SUM(I33:I33)</f>
        <v>0</v>
      </c>
      <c r="J32" s="7">
        <f>SUM(J33:J33)</f>
        <v>0</v>
      </c>
      <c r="K32" s="65"/>
      <c r="L32" s="7">
        <f>SUM(L33:L33)</f>
        <v>0</v>
      </c>
      <c r="M32" s="65"/>
      <c r="AI32" s="65"/>
      <c r="AS32" s="7">
        <f>SUM(AJ33:AJ33)</f>
        <v>0</v>
      </c>
      <c r="AT32" s="7">
        <f>SUM(AK33:AK33)</f>
        <v>0</v>
      </c>
      <c r="AU32" s="7">
        <f>SUM(AL33:AL33)</f>
        <v>0</v>
      </c>
    </row>
    <row r="33" spans="1:62" ht="12.75">
      <c r="A33" s="1" t="s">
        <v>21</v>
      </c>
      <c r="B33" s="1"/>
      <c r="C33" s="1" t="s">
        <v>63</v>
      </c>
      <c r="D33" s="1" t="s">
        <v>117</v>
      </c>
      <c r="E33" s="1" t="s">
        <v>158</v>
      </c>
      <c r="F33" s="4">
        <f>'Rozpočet - vybrané sloupce'!AS47</f>
        <v>23</v>
      </c>
      <c r="G33" s="4">
        <f>'Rozpočet - vybrané sloupce'!AX47</f>
        <v>0</v>
      </c>
      <c r="H33" s="4">
        <f>F33*AO33</f>
        <v>0</v>
      </c>
      <c r="I33" s="4">
        <f>F33*AP33</f>
        <v>0</v>
      </c>
      <c r="J33" s="4">
        <f>F33*G33</f>
        <v>0</v>
      </c>
      <c r="K33" s="4">
        <v>0</v>
      </c>
      <c r="L33" s="4">
        <f>F33*K33</f>
        <v>0</v>
      </c>
      <c r="M33" s="69" t="s">
        <v>307</v>
      </c>
      <c r="Z33" s="18">
        <f>IF(AQ33="5",BJ33,0)</f>
        <v>0</v>
      </c>
      <c r="AB33" s="18">
        <f>IF(AQ33="1",BH33,0)</f>
        <v>0</v>
      </c>
      <c r="AC33" s="18">
        <f>IF(AQ33="1",BI33,0)</f>
        <v>0</v>
      </c>
      <c r="AD33" s="18">
        <f>IF(AQ33="7",BH33,0)</f>
        <v>0</v>
      </c>
      <c r="AE33" s="18">
        <f>IF(AQ33="7",BI33,0)</f>
        <v>0</v>
      </c>
      <c r="AF33" s="18">
        <f>IF(AQ33="2",BH33,0)</f>
        <v>0</v>
      </c>
      <c r="AG33" s="18">
        <f>IF(AQ33="2",BI33,0)</f>
        <v>0</v>
      </c>
      <c r="AH33" s="18">
        <f>IF(AQ33="0",BJ33,0)</f>
        <v>0</v>
      </c>
      <c r="AI33" s="65"/>
      <c r="AJ33" s="4">
        <f>IF(AN33=0,J33,0)</f>
        <v>0</v>
      </c>
      <c r="AK33" s="4">
        <f>IF(AN33=15,J33,0)</f>
        <v>0</v>
      </c>
      <c r="AL33" s="4">
        <f>IF(AN33=21,J33,0)</f>
        <v>0</v>
      </c>
      <c r="AN33" s="18">
        <v>21</v>
      </c>
      <c r="AO33" s="18">
        <f>G33*0</f>
        <v>0</v>
      </c>
      <c r="AP33" s="18">
        <f>G33*(1-0)</f>
        <v>0</v>
      </c>
      <c r="AQ33" s="69" t="s">
        <v>7</v>
      </c>
      <c r="AV33" s="18">
        <f>AW33+AX33</f>
        <v>0</v>
      </c>
      <c r="AW33" s="18">
        <f>F33*AO33</f>
        <v>0</v>
      </c>
      <c r="AX33" s="18">
        <f>F33*AP33</f>
        <v>0</v>
      </c>
      <c r="AY33" s="72" t="s">
        <v>322</v>
      </c>
      <c r="AZ33" s="72" t="s">
        <v>335</v>
      </c>
      <c r="BA33" s="65" t="s">
        <v>339</v>
      </c>
      <c r="BC33" s="18">
        <f>AW33+AX33</f>
        <v>0</v>
      </c>
      <c r="BD33" s="18">
        <f>G33/(100-BE33)*100</f>
        <v>0</v>
      </c>
      <c r="BE33" s="18">
        <v>0</v>
      </c>
      <c r="BF33" s="18">
        <f>L33</f>
        <v>0</v>
      </c>
      <c r="BH33" s="4">
        <f>F33*AO33</f>
        <v>0</v>
      </c>
      <c r="BI33" s="4">
        <f>F33*AP33</f>
        <v>0</v>
      </c>
      <c r="BJ33" s="4">
        <f>F33*G33</f>
        <v>0</v>
      </c>
    </row>
    <row r="34" spans="1:47" ht="12.75">
      <c r="A34" s="54"/>
      <c r="B34" s="59"/>
      <c r="C34" s="59" t="s">
        <v>24</v>
      </c>
      <c r="D34" s="59" t="s">
        <v>118</v>
      </c>
      <c r="E34" s="54" t="s">
        <v>6</v>
      </c>
      <c r="F34" s="54" t="s">
        <v>6</v>
      </c>
      <c r="G34" s="54" t="s">
        <v>6</v>
      </c>
      <c r="H34" s="7">
        <f>SUM(H35:H36)</f>
        <v>0</v>
      </c>
      <c r="I34" s="7">
        <f>SUM(I35:I36)</f>
        <v>0</v>
      </c>
      <c r="J34" s="7">
        <f>SUM(J35:J36)</f>
        <v>0</v>
      </c>
      <c r="K34" s="65"/>
      <c r="L34" s="7">
        <f>SUM(L35:L36)</f>
        <v>0.0005</v>
      </c>
      <c r="M34" s="65"/>
      <c r="AI34" s="65"/>
      <c r="AS34" s="7">
        <f>SUM(AJ35:AJ36)</f>
        <v>0</v>
      </c>
      <c r="AT34" s="7">
        <f>SUM(AK35:AK36)</f>
        <v>0</v>
      </c>
      <c r="AU34" s="7">
        <f>SUM(AL35:AL36)</f>
        <v>0</v>
      </c>
    </row>
    <row r="35" spans="1:62" ht="12.75">
      <c r="A35" s="1" t="s">
        <v>22</v>
      </c>
      <c r="B35" s="1"/>
      <c r="C35" s="1" t="s">
        <v>64</v>
      </c>
      <c r="D35" s="1" t="s">
        <v>119</v>
      </c>
      <c r="E35" s="1" t="s">
        <v>156</v>
      </c>
      <c r="F35" s="4">
        <f>'Rozpočet - vybrané sloupce'!AS49</f>
        <v>25</v>
      </c>
      <c r="G35" s="4">
        <f>'Rozpočet - vybrané sloupce'!AX49</f>
        <v>0</v>
      </c>
      <c r="H35" s="4">
        <f>F35*AO35</f>
        <v>0</v>
      </c>
      <c r="I35" s="4">
        <f>F35*AP35</f>
        <v>0</v>
      </c>
      <c r="J35" s="4">
        <f>F35*G35</f>
        <v>0</v>
      </c>
      <c r="K35" s="4">
        <v>0</v>
      </c>
      <c r="L35" s="4">
        <f>F35*K35</f>
        <v>0</v>
      </c>
      <c r="M35" s="69" t="s">
        <v>307</v>
      </c>
      <c r="Z35" s="18">
        <f>IF(AQ35="5",BJ35,0)</f>
        <v>0</v>
      </c>
      <c r="AB35" s="18">
        <f>IF(AQ35="1",BH35,0)</f>
        <v>0</v>
      </c>
      <c r="AC35" s="18">
        <f>IF(AQ35="1",BI35,0)</f>
        <v>0</v>
      </c>
      <c r="AD35" s="18">
        <f>IF(AQ35="7",BH35,0)</f>
        <v>0</v>
      </c>
      <c r="AE35" s="18">
        <f>IF(AQ35="7",BI35,0)</f>
        <v>0</v>
      </c>
      <c r="AF35" s="18">
        <f>IF(AQ35="2",BH35,0)</f>
        <v>0</v>
      </c>
      <c r="AG35" s="18">
        <f>IF(AQ35="2",BI35,0)</f>
        <v>0</v>
      </c>
      <c r="AH35" s="18">
        <f>IF(AQ35="0",BJ35,0)</f>
        <v>0</v>
      </c>
      <c r="AI35" s="65"/>
      <c r="AJ35" s="4">
        <f>IF(AN35=0,J35,0)</f>
        <v>0</v>
      </c>
      <c r="AK35" s="4">
        <f>IF(AN35=15,J35,0)</f>
        <v>0</v>
      </c>
      <c r="AL35" s="4">
        <f>IF(AN35=21,J35,0)</f>
        <v>0</v>
      </c>
      <c r="AN35" s="18">
        <v>21</v>
      </c>
      <c r="AO35" s="18">
        <f>G35*0.0721045515998197</f>
        <v>0</v>
      </c>
      <c r="AP35" s="18">
        <f>G35*(1-0.0721045515998197)</f>
        <v>0</v>
      </c>
      <c r="AQ35" s="69" t="s">
        <v>7</v>
      </c>
      <c r="AV35" s="18">
        <f>AW35+AX35</f>
        <v>0</v>
      </c>
      <c r="AW35" s="18">
        <f>F35*AO35</f>
        <v>0</v>
      </c>
      <c r="AX35" s="18">
        <f>F35*AP35</f>
        <v>0</v>
      </c>
      <c r="AY35" s="72" t="s">
        <v>323</v>
      </c>
      <c r="AZ35" s="72" t="s">
        <v>335</v>
      </c>
      <c r="BA35" s="65" t="s">
        <v>339</v>
      </c>
      <c r="BC35" s="18">
        <f>AW35+AX35</f>
        <v>0</v>
      </c>
      <c r="BD35" s="18">
        <f>G35/(100-BE35)*100</f>
        <v>0</v>
      </c>
      <c r="BE35" s="18">
        <v>0</v>
      </c>
      <c r="BF35" s="18">
        <f>L35</f>
        <v>0</v>
      </c>
      <c r="BH35" s="4">
        <f>F35*AO35</f>
        <v>0</v>
      </c>
      <c r="BI35" s="4">
        <f>F35*AP35</f>
        <v>0</v>
      </c>
      <c r="BJ35" s="4">
        <f>F35*G35</f>
        <v>0</v>
      </c>
    </row>
    <row r="36" spans="1:62" ht="12.75">
      <c r="A36" s="2" t="s">
        <v>23</v>
      </c>
      <c r="B36" s="2"/>
      <c r="C36" s="2" t="s">
        <v>65</v>
      </c>
      <c r="D36" s="2" t="s">
        <v>120</v>
      </c>
      <c r="E36" s="2" t="s">
        <v>159</v>
      </c>
      <c r="F36" s="5">
        <f>'Rozpočet - vybrané sloupce'!AS50</f>
        <v>0.5</v>
      </c>
      <c r="G36" s="5">
        <f>'Rozpočet - vybrané sloupce'!AX50</f>
        <v>0</v>
      </c>
      <c r="H36" s="5">
        <f>F36*AO36</f>
        <v>0</v>
      </c>
      <c r="I36" s="5">
        <f>F36*AP36</f>
        <v>0</v>
      </c>
      <c r="J36" s="5">
        <f>F36*G36</f>
        <v>0</v>
      </c>
      <c r="K36" s="5">
        <v>0.001</v>
      </c>
      <c r="L36" s="5">
        <f>F36*K36</f>
        <v>0.0005</v>
      </c>
      <c r="M36" s="70" t="s">
        <v>307</v>
      </c>
      <c r="Z36" s="18">
        <f>IF(AQ36="5",BJ36,0)</f>
        <v>0</v>
      </c>
      <c r="AB36" s="18">
        <f>IF(AQ36="1",BH36,0)</f>
        <v>0</v>
      </c>
      <c r="AC36" s="18">
        <f>IF(AQ36="1",BI36,0)</f>
        <v>0</v>
      </c>
      <c r="AD36" s="18">
        <f>IF(AQ36="7",BH36,0)</f>
        <v>0</v>
      </c>
      <c r="AE36" s="18">
        <f>IF(AQ36="7",BI36,0)</f>
        <v>0</v>
      </c>
      <c r="AF36" s="18">
        <f>IF(AQ36="2",BH36,0)</f>
        <v>0</v>
      </c>
      <c r="AG36" s="18">
        <f>IF(AQ36="2",BI36,0)</f>
        <v>0</v>
      </c>
      <c r="AH36" s="18">
        <f>IF(AQ36="0",BJ36,0)</f>
        <v>0</v>
      </c>
      <c r="AI36" s="65"/>
      <c r="AJ36" s="5">
        <f>IF(AN36=0,J36,0)</f>
        <v>0</v>
      </c>
      <c r="AK36" s="5">
        <f>IF(AN36=15,J36,0)</f>
        <v>0</v>
      </c>
      <c r="AL36" s="5">
        <f>IF(AN36=21,J36,0)</f>
        <v>0</v>
      </c>
      <c r="AN36" s="18">
        <v>21</v>
      </c>
      <c r="AO36" s="18">
        <f>G36*1</f>
        <v>0</v>
      </c>
      <c r="AP36" s="18">
        <f>G36*(1-1)</f>
        <v>0</v>
      </c>
      <c r="AQ36" s="70" t="s">
        <v>7</v>
      </c>
      <c r="AV36" s="18">
        <f>AW36+AX36</f>
        <v>0</v>
      </c>
      <c r="AW36" s="18">
        <f>F36*AO36</f>
        <v>0</v>
      </c>
      <c r="AX36" s="18">
        <f>F36*AP36</f>
        <v>0</v>
      </c>
      <c r="AY36" s="72" t="s">
        <v>323</v>
      </c>
      <c r="AZ36" s="72" t="s">
        <v>335</v>
      </c>
      <c r="BA36" s="65" t="s">
        <v>339</v>
      </c>
      <c r="BC36" s="18">
        <f>AW36+AX36</f>
        <v>0</v>
      </c>
      <c r="BD36" s="18">
        <f>G36/(100-BE36)*100</f>
        <v>0</v>
      </c>
      <c r="BE36" s="18">
        <v>0</v>
      </c>
      <c r="BF36" s="18">
        <f>L36</f>
        <v>0.0005</v>
      </c>
      <c r="BH36" s="5">
        <f>F36*AO36</f>
        <v>0</v>
      </c>
      <c r="BI36" s="5">
        <f>F36*AP36</f>
        <v>0</v>
      </c>
      <c r="BJ36" s="5">
        <f>F36*G36</f>
        <v>0</v>
      </c>
    </row>
    <row r="37" spans="1:47" ht="12.75">
      <c r="A37" s="54"/>
      <c r="B37" s="59"/>
      <c r="C37" s="59" t="s">
        <v>66</v>
      </c>
      <c r="D37" s="59" t="s">
        <v>121</v>
      </c>
      <c r="E37" s="54" t="s">
        <v>6</v>
      </c>
      <c r="F37" s="54" t="s">
        <v>6</v>
      </c>
      <c r="G37" s="54" t="s">
        <v>6</v>
      </c>
      <c r="H37" s="7">
        <f>SUM(H38:H39)</f>
        <v>0</v>
      </c>
      <c r="I37" s="7">
        <f>SUM(I38:I39)</f>
        <v>0</v>
      </c>
      <c r="J37" s="7">
        <f>SUM(J38:J39)</f>
        <v>0</v>
      </c>
      <c r="K37" s="65"/>
      <c r="L37" s="7">
        <f>SUM(L38:L39)</f>
        <v>0.37815000000000004</v>
      </c>
      <c r="M37" s="65"/>
      <c r="AI37" s="65"/>
      <c r="AS37" s="7">
        <f>SUM(AJ38:AJ39)</f>
        <v>0</v>
      </c>
      <c r="AT37" s="7">
        <f>SUM(AK38:AK39)</f>
        <v>0</v>
      </c>
      <c r="AU37" s="7">
        <f>SUM(AL38:AL39)</f>
        <v>0</v>
      </c>
    </row>
    <row r="38" spans="1:62" ht="12.75">
      <c r="A38" s="1" t="s">
        <v>24</v>
      </c>
      <c r="B38" s="1"/>
      <c r="C38" s="1" t="s">
        <v>67</v>
      </c>
      <c r="D38" s="1" t="s">
        <v>122</v>
      </c>
      <c r="E38" s="1" t="s">
        <v>156</v>
      </c>
      <c r="F38" s="4">
        <f>'Rozpočet - vybrané sloupce'!AS52</f>
        <v>16.2</v>
      </c>
      <c r="G38" s="4">
        <f>'Rozpočet - vybrané sloupce'!AX52</f>
        <v>0</v>
      </c>
      <c r="H38" s="4">
        <f>F38*AO38</f>
        <v>0</v>
      </c>
      <c r="I38" s="4">
        <f>F38*AP38</f>
        <v>0</v>
      </c>
      <c r="J38" s="4">
        <f>F38*G38</f>
        <v>0</v>
      </c>
      <c r="K38" s="4">
        <v>0.017</v>
      </c>
      <c r="L38" s="4">
        <f>F38*K38</f>
        <v>0.27540000000000003</v>
      </c>
      <c r="M38" s="69" t="s">
        <v>307</v>
      </c>
      <c r="Z38" s="18">
        <f>IF(AQ38="5",BJ38,0)</f>
        <v>0</v>
      </c>
      <c r="AB38" s="18">
        <f>IF(AQ38="1",BH38,0)</f>
        <v>0</v>
      </c>
      <c r="AC38" s="18">
        <f>IF(AQ38="1",BI38,0)</f>
        <v>0</v>
      </c>
      <c r="AD38" s="18">
        <f>IF(AQ38="7",BH38,0)</f>
        <v>0</v>
      </c>
      <c r="AE38" s="18">
        <f>IF(AQ38="7",BI38,0)</f>
        <v>0</v>
      </c>
      <c r="AF38" s="18">
        <f>IF(AQ38="2",BH38,0)</f>
        <v>0</v>
      </c>
      <c r="AG38" s="18">
        <f>IF(AQ38="2",BI38,0)</f>
        <v>0</v>
      </c>
      <c r="AH38" s="18">
        <f>IF(AQ38="0",BJ38,0)</f>
        <v>0</v>
      </c>
      <c r="AI38" s="65"/>
      <c r="AJ38" s="4">
        <f>IF(AN38=0,J38,0)</f>
        <v>0</v>
      </c>
      <c r="AK38" s="4">
        <f>IF(AN38=15,J38,0)</f>
        <v>0</v>
      </c>
      <c r="AL38" s="4">
        <f>IF(AN38=21,J38,0)</f>
        <v>0</v>
      </c>
      <c r="AN38" s="18">
        <v>21</v>
      </c>
      <c r="AO38" s="18">
        <f>G38*0.275527130255364</f>
        <v>0</v>
      </c>
      <c r="AP38" s="18">
        <f>G38*(1-0.275527130255364)</f>
        <v>0</v>
      </c>
      <c r="AQ38" s="69" t="s">
        <v>7</v>
      </c>
      <c r="AV38" s="18">
        <f>AW38+AX38</f>
        <v>0</v>
      </c>
      <c r="AW38" s="18">
        <f>F38*AO38</f>
        <v>0</v>
      </c>
      <c r="AX38" s="18">
        <f>F38*AP38</f>
        <v>0</v>
      </c>
      <c r="AY38" s="72" t="s">
        <v>324</v>
      </c>
      <c r="AZ38" s="72" t="s">
        <v>336</v>
      </c>
      <c r="BA38" s="65" t="s">
        <v>339</v>
      </c>
      <c r="BC38" s="18">
        <f>AW38+AX38</f>
        <v>0</v>
      </c>
      <c r="BD38" s="18">
        <f>G38/(100-BE38)*100</f>
        <v>0</v>
      </c>
      <c r="BE38" s="18">
        <v>0</v>
      </c>
      <c r="BF38" s="18">
        <f>L38</f>
        <v>0.27540000000000003</v>
      </c>
      <c r="BH38" s="4">
        <f>F38*AO38</f>
        <v>0</v>
      </c>
      <c r="BI38" s="4">
        <f>F38*AP38</f>
        <v>0</v>
      </c>
      <c r="BJ38" s="4">
        <f>F38*G38</f>
        <v>0</v>
      </c>
    </row>
    <row r="39" spans="1:62" ht="12.75">
      <c r="A39" s="1" t="s">
        <v>25</v>
      </c>
      <c r="B39" s="1"/>
      <c r="C39" s="1" t="s">
        <v>68</v>
      </c>
      <c r="D39" s="1" t="s">
        <v>123</v>
      </c>
      <c r="E39" s="1" t="s">
        <v>156</v>
      </c>
      <c r="F39" s="4">
        <f>'Rozpočet - vybrané sloupce'!AS53</f>
        <v>41.1</v>
      </c>
      <c r="G39" s="4">
        <f>'Rozpočet - vybrané sloupce'!AX53</f>
        <v>0</v>
      </c>
      <c r="H39" s="4">
        <f>F39*AO39</f>
        <v>0</v>
      </c>
      <c r="I39" s="4">
        <f>F39*AP39</f>
        <v>0</v>
      </c>
      <c r="J39" s="4">
        <f>F39*G39</f>
        <v>0</v>
      </c>
      <c r="K39" s="4">
        <v>0.0025</v>
      </c>
      <c r="L39" s="4">
        <f>F39*K39</f>
        <v>0.10275000000000001</v>
      </c>
      <c r="M39" s="69" t="s">
        <v>307</v>
      </c>
      <c r="Z39" s="18">
        <f>IF(AQ39="5",BJ39,0)</f>
        <v>0</v>
      </c>
      <c r="AB39" s="18">
        <f>IF(AQ39="1",BH39,0)</f>
        <v>0</v>
      </c>
      <c r="AC39" s="18">
        <f>IF(AQ39="1",BI39,0)</f>
        <v>0</v>
      </c>
      <c r="AD39" s="18">
        <f>IF(AQ39="7",BH39,0)</f>
        <v>0</v>
      </c>
      <c r="AE39" s="18">
        <f>IF(AQ39="7",BI39,0)</f>
        <v>0</v>
      </c>
      <c r="AF39" s="18">
        <f>IF(AQ39="2",BH39,0)</f>
        <v>0</v>
      </c>
      <c r="AG39" s="18">
        <f>IF(AQ39="2",BI39,0)</f>
        <v>0</v>
      </c>
      <c r="AH39" s="18">
        <f>IF(AQ39="0",BJ39,0)</f>
        <v>0</v>
      </c>
      <c r="AI39" s="65"/>
      <c r="AJ39" s="4">
        <f>IF(AN39=0,J39,0)</f>
        <v>0</v>
      </c>
      <c r="AK39" s="4">
        <f>IF(AN39=15,J39,0)</f>
        <v>0</v>
      </c>
      <c r="AL39" s="4">
        <f>IF(AN39=21,J39,0)</f>
        <v>0</v>
      </c>
      <c r="AN39" s="18">
        <v>21</v>
      </c>
      <c r="AO39" s="18">
        <f>G39*0.0935883017023738</f>
        <v>0</v>
      </c>
      <c r="AP39" s="18">
        <f>G39*(1-0.0935883017023738)</f>
        <v>0</v>
      </c>
      <c r="AQ39" s="69" t="s">
        <v>7</v>
      </c>
      <c r="AV39" s="18">
        <f>AW39+AX39</f>
        <v>0</v>
      </c>
      <c r="AW39" s="18">
        <f>F39*AO39</f>
        <v>0</v>
      </c>
      <c r="AX39" s="18">
        <f>F39*AP39</f>
        <v>0</v>
      </c>
      <c r="AY39" s="72" t="s">
        <v>324</v>
      </c>
      <c r="AZ39" s="72" t="s">
        <v>336</v>
      </c>
      <c r="BA39" s="65" t="s">
        <v>339</v>
      </c>
      <c r="BC39" s="18">
        <f>AW39+AX39</f>
        <v>0</v>
      </c>
      <c r="BD39" s="18">
        <f>G39/(100-BE39)*100</f>
        <v>0</v>
      </c>
      <c r="BE39" s="18">
        <v>0</v>
      </c>
      <c r="BF39" s="18">
        <f>L39</f>
        <v>0.10275000000000001</v>
      </c>
      <c r="BH39" s="4">
        <f>F39*AO39</f>
        <v>0</v>
      </c>
      <c r="BI39" s="4">
        <f>F39*AP39</f>
        <v>0</v>
      </c>
      <c r="BJ39" s="4">
        <f>F39*G39</f>
        <v>0</v>
      </c>
    </row>
    <row r="40" spans="1:47" ht="12.75">
      <c r="A40" s="54"/>
      <c r="B40" s="59"/>
      <c r="C40" s="59" t="s">
        <v>69</v>
      </c>
      <c r="D40" s="59" t="s">
        <v>124</v>
      </c>
      <c r="E40" s="54" t="s">
        <v>6</v>
      </c>
      <c r="F40" s="54" t="s">
        <v>6</v>
      </c>
      <c r="G40" s="54" t="s">
        <v>6</v>
      </c>
      <c r="H40" s="7">
        <f>SUM(H41:H41)</f>
        <v>0</v>
      </c>
      <c r="I40" s="7">
        <f>SUM(I41:I41)</f>
        <v>0</v>
      </c>
      <c r="J40" s="7">
        <f>SUM(J41:J41)</f>
        <v>0</v>
      </c>
      <c r="K40" s="65"/>
      <c r="L40" s="7">
        <f>SUM(L41:L41)</f>
        <v>0.0012000000000000001</v>
      </c>
      <c r="M40" s="65"/>
      <c r="AI40" s="65"/>
      <c r="AS40" s="7">
        <f>SUM(AJ41:AJ41)</f>
        <v>0</v>
      </c>
      <c r="AT40" s="7">
        <f>SUM(AK41:AK41)</f>
        <v>0</v>
      </c>
      <c r="AU40" s="7">
        <f>SUM(AL41:AL41)</f>
        <v>0</v>
      </c>
    </row>
    <row r="41" spans="1:62" ht="12.75">
      <c r="A41" s="1" t="s">
        <v>26</v>
      </c>
      <c r="B41" s="1"/>
      <c r="C41" s="1" t="s">
        <v>70</v>
      </c>
      <c r="D41" s="1" t="s">
        <v>125</v>
      </c>
      <c r="E41" s="1" t="s">
        <v>156</v>
      </c>
      <c r="F41" s="4">
        <f>'Rozpočet - vybrané sloupce'!AS56</f>
        <v>30</v>
      </c>
      <c r="G41" s="4">
        <f>'Rozpočet - vybrané sloupce'!AX56</f>
        <v>0</v>
      </c>
      <c r="H41" s="4">
        <f>F41*AO41</f>
        <v>0</v>
      </c>
      <c r="I41" s="4">
        <f>F41*AP41</f>
        <v>0</v>
      </c>
      <c r="J41" s="4">
        <f>F41*G41</f>
        <v>0</v>
      </c>
      <c r="K41" s="4">
        <v>4E-05</v>
      </c>
      <c r="L41" s="4">
        <f>F41*K41</f>
        <v>0.0012000000000000001</v>
      </c>
      <c r="M41" s="69" t="s">
        <v>307</v>
      </c>
      <c r="Z41" s="18">
        <f>IF(AQ41="5",BJ41,0)</f>
        <v>0</v>
      </c>
      <c r="AB41" s="18">
        <f>IF(AQ41="1",BH41,0)</f>
        <v>0</v>
      </c>
      <c r="AC41" s="18">
        <f>IF(AQ41="1",BI41,0)</f>
        <v>0</v>
      </c>
      <c r="AD41" s="18">
        <f>IF(AQ41="7",BH41,0)</f>
        <v>0</v>
      </c>
      <c r="AE41" s="18">
        <f>IF(AQ41="7",BI41,0)</f>
        <v>0</v>
      </c>
      <c r="AF41" s="18">
        <f>IF(AQ41="2",BH41,0)</f>
        <v>0</v>
      </c>
      <c r="AG41" s="18">
        <f>IF(AQ41="2",BI41,0)</f>
        <v>0</v>
      </c>
      <c r="AH41" s="18">
        <f>IF(AQ41="0",BJ41,0)</f>
        <v>0</v>
      </c>
      <c r="AI41" s="65"/>
      <c r="AJ41" s="4">
        <f>IF(AN41=0,J41,0)</f>
        <v>0</v>
      </c>
      <c r="AK41" s="4">
        <f>IF(AN41=15,J41,0)</f>
        <v>0</v>
      </c>
      <c r="AL41" s="4">
        <f>IF(AN41=21,J41,0)</f>
        <v>0</v>
      </c>
      <c r="AN41" s="18">
        <v>21</v>
      </c>
      <c r="AO41" s="18">
        <f>G41*0.302714932126697</f>
        <v>0</v>
      </c>
      <c r="AP41" s="18">
        <f>G41*(1-0.302714932126697)</f>
        <v>0</v>
      </c>
      <c r="AQ41" s="69" t="s">
        <v>7</v>
      </c>
      <c r="AV41" s="18">
        <f>AW41+AX41</f>
        <v>0</v>
      </c>
      <c r="AW41" s="18">
        <f>F41*AO41</f>
        <v>0</v>
      </c>
      <c r="AX41" s="18">
        <f>F41*AP41</f>
        <v>0</v>
      </c>
      <c r="AY41" s="72" t="s">
        <v>325</v>
      </c>
      <c r="AZ41" s="72" t="s">
        <v>336</v>
      </c>
      <c r="BA41" s="65" t="s">
        <v>339</v>
      </c>
      <c r="BC41" s="18">
        <f>AW41+AX41</f>
        <v>0</v>
      </c>
      <c r="BD41" s="18">
        <f>G41/(100-BE41)*100</f>
        <v>0</v>
      </c>
      <c r="BE41" s="18">
        <v>0</v>
      </c>
      <c r="BF41" s="18">
        <f>L41</f>
        <v>0.0012000000000000001</v>
      </c>
      <c r="BH41" s="4">
        <f>F41*AO41</f>
        <v>0</v>
      </c>
      <c r="BI41" s="4">
        <f>F41*AP41</f>
        <v>0</v>
      </c>
      <c r="BJ41" s="4">
        <f>F41*G41</f>
        <v>0</v>
      </c>
    </row>
    <row r="42" spans="1:47" ht="12.75">
      <c r="A42" s="54"/>
      <c r="B42" s="59"/>
      <c r="C42" s="59" t="s">
        <v>71</v>
      </c>
      <c r="D42" s="59" t="s">
        <v>126</v>
      </c>
      <c r="E42" s="54" t="s">
        <v>6</v>
      </c>
      <c r="F42" s="54" t="s">
        <v>6</v>
      </c>
      <c r="G42" s="54" t="s">
        <v>6</v>
      </c>
      <c r="H42" s="7">
        <f>SUM(H43:H50)</f>
        <v>0</v>
      </c>
      <c r="I42" s="7">
        <f>SUM(I43:I50)</f>
        <v>0</v>
      </c>
      <c r="J42" s="7">
        <f>SUM(J43:J50)</f>
        <v>0</v>
      </c>
      <c r="K42" s="65"/>
      <c r="L42" s="7">
        <f>SUM(L43:L50)</f>
        <v>7.708962</v>
      </c>
      <c r="M42" s="65"/>
      <c r="AI42" s="65"/>
      <c r="AS42" s="7">
        <f>SUM(AJ43:AJ50)</f>
        <v>0</v>
      </c>
      <c r="AT42" s="7">
        <f>SUM(AK43:AK50)</f>
        <v>0</v>
      </c>
      <c r="AU42" s="7">
        <f>SUM(AL43:AL50)</f>
        <v>0</v>
      </c>
    </row>
    <row r="43" spans="1:62" ht="12.75">
      <c r="A43" s="1" t="s">
        <v>27</v>
      </c>
      <c r="B43" s="1"/>
      <c r="C43" s="1" t="s">
        <v>72</v>
      </c>
      <c r="D43" s="1" t="s">
        <v>127</v>
      </c>
      <c r="E43" s="1" t="s">
        <v>156</v>
      </c>
      <c r="F43" s="4">
        <f>'Rozpočet - vybrané sloupce'!AS58</f>
        <v>55</v>
      </c>
      <c r="G43" s="4">
        <f>'Rozpočet - vybrané sloupce'!AX58</f>
        <v>0</v>
      </c>
      <c r="H43" s="4">
        <f aca="true" t="shared" si="24" ref="H43:H50">F43*AO43</f>
        <v>0</v>
      </c>
      <c r="I43" s="4">
        <f aca="true" t="shared" si="25" ref="I43:I50">F43*AP43</f>
        <v>0</v>
      </c>
      <c r="J43" s="4">
        <f aca="true" t="shared" si="26" ref="J43:J50">F43*G43</f>
        <v>0</v>
      </c>
      <c r="K43" s="4">
        <v>0.01117</v>
      </c>
      <c r="L43" s="4">
        <f aca="true" t="shared" si="27" ref="L43:L50">F43*K43</f>
        <v>0.61435</v>
      </c>
      <c r="M43" s="69" t="s">
        <v>307</v>
      </c>
      <c r="Z43" s="18">
        <f aca="true" t="shared" si="28" ref="Z43:Z50">IF(AQ43="5",BJ43,0)</f>
        <v>0</v>
      </c>
      <c r="AB43" s="18">
        <f aca="true" t="shared" si="29" ref="AB43:AB50">IF(AQ43="1",BH43,0)</f>
        <v>0</v>
      </c>
      <c r="AC43" s="18">
        <f aca="true" t="shared" si="30" ref="AC43:AC50">IF(AQ43="1",BI43,0)</f>
        <v>0</v>
      </c>
      <c r="AD43" s="18">
        <f aca="true" t="shared" si="31" ref="AD43:AD50">IF(AQ43="7",BH43,0)</f>
        <v>0</v>
      </c>
      <c r="AE43" s="18">
        <f aca="true" t="shared" si="32" ref="AE43:AE50">IF(AQ43="7",BI43,0)</f>
        <v>0</v>
      </c>
      <c r="AF43" s="18">
        <f aca="true" t="shared" si="33" ref="AF43:AF50">IF(AQ43="2",BH43,0)</f>
        <v>0</v>
      </c>
      <c r="AG43" s="18">
        <f aca="true" t="shared" si="34" ref="AG43:AG50">IF(AQ43="2",BI43,0)</f>
        <v>0</v>
      </c>
      <c r="AH43" s="18">
        <f aca="true" t="shared" si="35" ref="AH43:AH50">IF(AQ43="0",BJ43,0)</f>
        <v>0</v>
      </c>
      <c r="AI43" s="65"/>
      <c r="AJ43" s="4">
        <f aca="true" t="shared" si="36" ref="AJ43:AJ50">IF(AN43=0,J43,0)</f>
        <v>0</v>
      </c>
      <c r="AK43" s="4">
        <f aca="true" t="shared" si="37" ref="AK43:AK50">IF(AN43=15,J43,0)</f>
        <v>0</v>
      </c>
      <c r="AL43" s="4">
        <f aca="true" t="shared" si="38" ref="AL43:AL50">IF(AN43=21,J43,0)</f>
        <v>0</v>
      </c>
      <c r="AN43" s="18">
        <v>21</v>
      </c>
      <c r="AO43" s="18">
        <f>G43*0.209160675459663</f>
        <v>0</v>
      </c>
      <c r="AP43" s="18">
        <f>G43*(1-0.209160675459663)</f>
        <v>0</v>
      </c>
      <c r="AQ43" s="69" t="s">
        <v>13</v>
      </c>
      <c r="AV43" s="18">
        <f aca="true" t="shared" si="39" ref="AV43:AV50">AW43+AX43</f>
        <v>0</v>
      </c>
      <c r="AW43" s="18">
        <f aca="true" t="shared" si="40" ref="AW43:AW50">F43*AO43</f>
        <v>0</v>
      </c>
      <c r="AX43" s="18">
        <f aca="true" t="shared" si="41" ref="AX43:AX50">F43*AP43</f>
        <v>0</v>
      </c>
      <c r="AY43" s="72" t="s">
        <v>326</v>
      </c>
      <c r="AZ43" s="72" t="s">
        <v>337</v>
      </c>
      <c r="BA43" s="65" t="s">
        <v>339</v>
      </c>
      <c r="BC43" s="18">
        <f aca="true" t="shared" si="42" ref="BC43:BC50">AW43+AX43</f>
        <v>0</v>
      </c>
      <c r="BD43" s="18">
        <f aca="true" t="shared" si="43" ref="BD43:BD50">G43/(100-BE43)*100</f>
        <v>0</v>
      </c>
      <c r="BE43" s="18">
        <v>0</v>
      </c>
      <c r="BF43" s="18">
        <f aca="true" t="shared" si="44" ref="BF43:BF50">L43</f>
        <v>0.61435</v>
      </c>
      <c r="BH43" s="4">
        <f aca="true" t="shared" si="45" ref="BH43:BH50">F43*AO43</f>
        <v>0</v>
      </c>
      <c r="BI43" s="4">
        <f aca="true" t="shared" si="46" ref="BI43:BI50">F43*AP43</f>
        <v>0</v>
      </c>
      <c r="BJ43" s="4">
        <f aca="true" t="shared" si="47" ref="BJ43:BJ50">F43*G43</f>
        <v>0</v>
      </c>
    </row>
    <row r="44" spans="1:62" ht="12.75">
      <c r="A44" s="1" t="s">
        <v>28</v>
      </c>
      <c r="B44" s="1"/>
      <c r="C44" s="1" t="s">
        <v>73</v>
      </c>
      <c r="D44" s="1" t="s">
        <v>128</v>
      </c>
      <c r="E44" s="1" t="s">
        <v>156</v>
      </c>
      <c r="F44" s="4">
        <f>'Rozpočet - vybrané sloupce'!AS59</f>
        <v>16.2</v>
      </c>
      <c r="G44" s="4">
        <f>'Rozpočet - vybrané sloupce'!AX59</f>
        <v>0</v>
      </c>
      <c r="H44" s="4">
        <f t="shared" si="24"/>
        <v>0</v>
      </c>
      <c r="I44" s="4">
        <f t="shared" si="25"/>
        <v>0</v>
      </c>
      <c r="J44" s="4">
        <f t="shared" si="26"/>
        <v>0</v>
      </c>
      <c r="K44" s="4">
        <v>0.068</v>
      </c>
      <c r="L44" s="4">
        <f t="shared" si="27"/>
        <v>1.1016000000000001</v>
      </c>
      <c r="M44" s="69" t="s">
        <v>307</v>
      </c>
      <c r="Z44" s="18">
        <f t="shared" si="28"/>
        <v>0</v>
      </c>
      <c r="AB44" s="18">
        <f t="shared" si="29"/>
        <v>0</v>
      </c>
      <c r="AC44" s="18">
        <f t="shared" si="30"/>
        <v>0</v>
      </c>
      <c r="AD44" s="18">
        <f t="shared" si="31"/>
        <v>0</v>
      </c>
      <c r="AE44" s="18">
        <f t="shared" si="32"/>
        <v>0</v>
      </c>
      <c r="AF44" s="18">
        <f t="shared" si="33"/>
        <v>0</v>
      </c>
      <c r="AG44" s="18">
        <f t="shared" si="34"/>
        <v>0</v>
      </c>
      <c r="AH44" s="18">
        <f t="shared" si="35"/>
        <v>0</v>
      </c>
      <c r="AI44" s="65"/>
      <c r="AJ44" s="4">
        <f t="shared" si="36"/>
        <v>0</v>
      </c>
      <c r="AK44" s="4">
        <f t="shared" si="37"/>
        <v>0</v>
      </c>
      <c r="AL44" s="4">
        <f t="shared" si="38"/>
        <v>0</v>
      </c>
      <c r="AN44" s="18">
        <v>21</v>
      </c>
      <c r="AO44" s="18">
        <f>G44*0</f>
        <v>0</v>
      </c>
      <c r="AP44" s="18">
        <f>G44*(1-0)</f>
        <v>0</v>
      </c>
      <c r="AQ44" s="69" t="s">
        <v>13</v>
      </c>
      <c r="AV44" s="18">
        <f t="shared" si="39"/>
        <v>0</v>
      </c>
      <c r="AW44" s="18">
        <f t="shared" si="40"/>
        <v>0</v>
      </c>
      <c r="AX44" s="18">
        <f t="shared" si="41"/>
        <v>0</v>
      </c>
      <c r="AY44" s="72" t="s">
        <v>326</v>
      </c>
      <c r="AZ44" s="72" t="s">
        <v>337</v>
      </c>
      <c r="BA44" s="65" t="s">
        <v>339</v>
      </c>
      <c r="BC44" s="18">
        <f t="shared" si="42"/>
        <v>0</v>
      </c>
      <c r="BD44" s="18">
        <f t="shared" si="43"/>
        <v>0</v>
      </c>
      <c r="BE44" s="18">
        <v>0</v>
      </c>
      <c r="BF44" s="18">
        <f t="shared" si="44"/>
        <v>1.1016000000000001</v>
      </c>
      <c r="BH44" s="4">
        <f t="shared" si="45"/>
        <v>0</v>
      </c>
      <c r="BI44" s="4">
        <f t="shared" si="46"/>
        <v>0</v>
      </c>
      <c r="BJ44" s="4">
        <f t="shared" si="47"/>
        <v>0</v>
      </c>
    </row>
    <row r="45" spans="1:62" ht="12.75">
      <c r="A45" s="2" t="s">
        <v>29</v>
      </c>
      <c r="B45" s="2"/>
      <c r="C45" s="2" t="s">
        <v>74</v>
      </c>
      <c r="D45" s="2" t="s">
        <v>129</v>
      </c>
      <c r="E45" s="2" t="s">
        <v>156</v>
      </c>
      <c r="F45" s="5">
        <f>'Rozpočet - vybrané sloupce'!AS62</f>
        <v>60.5</v>
      </c>
      <c r="G45" s="5">
        <f>'Rozpočet - vybrané sloupce'!AX62</f>
        <v>0</v>
      </c>
      <c r="H45" s="5">
        <f t="shared" si="24"/>
        <v>0</v>
      </c>
      <c r="I45" s="5">
        <f t="shared" si="25"/>
        <v>0</v>
      </c>
      <c r="J45" s="5">
        <f t="shared" si="26"/>
        <v>0</v>
      </c>
      <c r="K45" s="5">
        <v>0.015</v>
      </c>
      <c r="L45" s="5">
        <f t="shared" si="27"/>
        <v>0.9075</v>
      </c>
      <c r="M45" s="70" t="s">
        <v>307</v>
      </c>
      <c r="Z45" s="18">
        <f t="shared" si="28"/>
        <v>0</v>
      </c>
      <c r="AB45" s="18">
        <f t="shared" si="29"/>
        <v>0</v>
      </c>
      <c r="AC45" s="18">
        <f t="shared" si="30"/>
        <v>0</v>
      </c>
      <c r="AD45" s="18">
        <f t="shared" si="31"/>
        <v>0</v>
      </c>
      <c r="AE45" s="18">
        <f t="shared" si="32"/>
        <v>0</v>
      </c>
      <c r="AF45" s="18">
        <f t="shared" si="33"/>
        <v>0</v>
      </c>
      <c r="AG45" s="18">
        <f t="shared" si="34"/>
        <v>0</v>
      </c>
      <c r="AH45" s="18">
        <f t="shared" si="35"/>
        <v>0</v>
      </c>
      <c r="AI45" s="65"/>
      <c r="AJ45" s="5">
        <f t="shared" si="36"/>
        <v>0</v>
      </c>
      <c r="AK45" s="5">
        <f t="shared" si="37"/>
        <v>0</v>
      </c>
      <c r="AL45" s="5">
        <f t="shared" si="38"/>
        <v>0</v>
      </c>
      <c r="AN45" s="18">
        <v>21</v>
      </c>
      <c r="AO45" s="18">
        <f>G45*1</f>
        <v>0</v>
      </c>
      <c r="AP45" s="18">
        <f>G45*(1-1)</f>
        <v>0</v>
      </c>
      <c r="AQ45" s="70" t="s">
        <v>13</v>
      </c>
      <c r="AV45" s="18">
        <f t="shared" si="39"/>
        <v>0</v>
      </c>
      <c r="AW45" s="18">
        <f t="shared" si="40"/>
        <v>0</v>
      </c>
      <c r="AX45" s="18">
        <f t="shared" si="41"/>
        <v>0</v>
      </c>
      <c r="AY45" s="72" t="s">
        <v>326</v>
      </c>
      <c r="AZ45" s="72" t="s">
        <v>337</v>
      </c>
      <c r="BA45" s="65" t="s">
        <v>339</v>
      </c>
      <c r="BC45" s="18">
        <f t="shared" si="42"/>
        <v>0</v>
      </c>
      <c r="BD45" s="18">
        <f t="shared" si="43"/>
        <v>0</v>
      </c>
      <c r="BE45" s="18">
        <v>0</v>
      </c>
      <c r="BF45" s="18">
        <f t="shared" si="44"/>
        <v>0.9075</v>
      </c>
      <c r="BH45" s="5">
        <f t="shared" si="45"/>
        <v>0</v>
      </c>
      <c r="BI45" s="5">
        <f t="shared" si="46"/>
        <v>0</v>
      </c>
      <c r="BJ45" s="5">
        <f t="shared" si="47"/>
        <v>0</v>
      </c>
    </row>
    <row r="46" spans="1:62" ht="12.75">
      <c r="A46" s="1" t="s">
        <v>30</v>
      </c>
      <c r="B46" s="1"/>
      <c r="C46" s="1" t="s">
        <v>75</v>
      </c>
      <c r="D46" s="1" t="s">
        <v>130</v>
      </c>
      <c r="E46" s="1" t="s">
        <v>156</v>
      </c>
      <c r="F46" s="4">
        <f>'Rozpočet - vybrané sloupce'!AS63</f>
        <v>55</v>
      </c>
      <c r="G46" s="4">
        <f>'Rozpočet - vybrané sloupce'!AX63</f>
        <v>0</v>
      </c>
      <c r="H46" s="4">
        <f t="shared" si="24"/>
        <v>0</v>
      </c>
      <c r="I46" s="4">
        <f t="shared" si="25"/>
        <v>0</v>
      </c>
      <c r="J46" s="4">
        <f t="shared" si="26"/>
        <v>0</v>
      </c>
      <c r="K46" s="4">
        <v>0.089</v>
      </c>
      <c r="L46" s="4">
        <f t="shared" si="27"/>
        <v>4.895</v>
      </c>
      <c r="M46" s="69" t="s">
        <v>307</v>
      </c>
      <c r="Z46" s="18">
        <f t="shared" si="28"/>
        <v>0</v>
      </c>
      <c r="AB46" s="18">
        <f t="shared" si="29"/>
        <v>0</v>
      </c>
      <c r="AC46" s="18">
        <f t="shared" si="30"/>
        <v>0</v>
      </c>
      <c r="AD46" s="18">
        <f t="shared" si="31"/>
        <v>0</v>
      </c>
      <c r="AE46" s="18">
        <f t="shared" si="32"/>
        <v>0</v>
      </c>
      <c r="AF46" s="18">
        <f t="shared" si="33"/>
        <v>0</v>
      </c>
      <c r="AG46" s="18">
        <f t="shared" si="34"/>
        <v>0</v>
      </c>
      <c r="AH46" s="18">
        <f t="shared" si="35"/>
        <v>0</v>
      </c>
      <c r="AI46" s="65"/>
      <c r="AJ46" s="4">
        <f t="shared" si="36"/>
        <v>0</v>
      </c>
      <c r="AK46" s="4">
        <f t="shared" si="37"/>
        <v>0</v>
      </c>
      <c r="AL46" s="4">
        <f t="shared" si="38"/>
        <v>0</v>
      </c>
      <c r="AN46" s="18">
        <v>21</v>
      </c>
      <c r="AO46" s="18">
        <f>G46*0</f>
        <v>0</v>
      </c>
      <c r="AP46" s="18">
        <f>G46*(1-0)</f>
        <v>0</v>
      </c>
      <c r="AQ46" s="69" t="s">
        <v>13</v>
      </c>
      <c r="AV46" s="18">
        <f t="shared" si="39"/>
        <v>0</v>
      </c>
      <c r="AW46" s="18">
        <f t="shared" si="40"/>
        <v>0</v>
      </c>
      <c r="AX46" s="18">
        <f t="shared" si="41"/>
        <v>0</v>
      </c>
      <c r="AY46" s="72" t="s">
        <v>326</v>
      </c>
      <c r="AZ46" s="72" t="s">
        <v>337</v>
      </c>
      <c r="BA46" s="65" t="s">
        <v>339</v>
      </c>
      <c r="BC46" s="18">
        <f t="shared" si="42"/>
        <v>0</v>
      </c>
      <c r="BD46" s="18">
        <f t="shared" si="43"/>
        <v>0</v>
      </c>
      <c r="BE46" s="18">
        <v>0</v>
      </c>
      <c r="BF46" s="18">
        <f t="shared" si="44"/>
        <v>4.895</v>
      </c>
      <c r="BH46" s="4">
        <f t="shared" si="45"/>
        <v>0</v>
      </c>
      <c r="BI46" s="4">
        <f t="shared" si="46"/>
        <v>0</v>
      </c>
      <c r="BJ46" s="4">
        <f t="shared" si="47"/>
        <v>0</v>
      </c>
    </row>
    <row r="47" spans="1:62" ht="12.75">
      <c r="A47" s="1" t="s">
        <v>31</v>
      </c>
      <c r="B47" s="1"/>
      <c r="C47" s="1" t="s">
        <v>76</v>
      </c>
      <c r="D47" s="1" t="s">
        <v>131</v>
      </c>
      <c r="E47" s="1" t="s">
        <v>156</v>
      </c>
      <c r="F47" s="4">
        <f>'Rozpočet - vybrané sloupce'!AS64</f>
        <v>16.2</v>
      </c>
      <c r="G47" s="4">
        <f>'Rozpočet - vybrané sloupce'!AX64</f>
        <v>0</v>
      </c>
      <c r="H47" s="4">
        <f t="shared" si="24"/>
        <v>0</v>
      </c>
      <c r="I47" s="4">
        <f t="shared" si="25"/>
        <v>0</v>
      </c>
      <c r="J47" s="4">
        <f t="shared" si="26"/>
        <v>0</v>
      </c>
      <c r="K47" s="4">
        <v>0.00021</v>
      </c>
      <c r="L47" s="4">
        <f t="shared" si="27"/>
        <v>0.003402</v>
      </c>
      <c r="M47" s="69" t="s">
        <v>307</v>
      </c>
      <c r="Z47" s="18">
        <f t="shared" si="28"/>
        <v>0</v>
      </c>
      <c r="AB47" s="18">
        <f t="shared" si="29"/>
        <v>0</v>
      </c>
      <c r="AC47" s="18">
        <f t="shared" si="30"/>
        <v>0</v>
      </c>
      <c r="AD47" s="18">
        <f t="shared" si="31"/>
        <v>0</v>
      </c>
      <c r="AE47" s="18">
        <f t="shared" si="32"/>
        <v>0</v>
      </c>
      <c r="AF47" s="18">
        <f t="shared" si="33"/>
        <v>0</v>
      </c>
      <c r="AG47" s="18">
        <f t="shared" si="34"/>
        <v>0</v>
      </c>
      <c r="AH47" s="18">
        <f t="shared" si="35"/>
        <v>0</v>
      </c>
      <c r="AI47" s="65"/>
      <c r="AJ47" s="4">
        <f t="shared" si="36"/>
        <v>0</v>
      </c>
      <c r="AK47" s="4">
        <f t="shared" si="37"/>
        <v>0</v>
      </c>
      <c r="AL47" s="4">
        <f t="shared" si="38"/>
        <v>0</v>
      </c>
      <c r="AN47" s="18">
        <v>21</v>
      </c>
      <c r="AO47" s="18">
        <f>G47*0.464668094218415</f>
        <v>0</v>
      </c>
      <c r="AP47" s="18">
        <f>G47*(1-0.464668094218415)</f>
        <v>0</v>
      </c>
      <c r="AQ47" s="69" t="s">
        <v>13</v>
      </c>
      <c r="AV47" s="18">
        <f t="shared" si="39"/>
        <v>0</v>
      </c>
      <c r="AW47" s="18">
        <f t="shared" si="40"/>
        <v>0</v>
      </c>
      <c r="AX47" s="18">
        <f t="shared" si="41"/>
        <v>0</v>
      </c>
      <c r="AY47" s="72" t="s">
        <v>326</v>
      </c>
      <c r="AZ47" s="72" t="s">
        <v>337</v>
      </c>
      <c r="BA47" s="65" t="s">
        <v>339</v>
      </c>
      <c r="BC47" s="18">
        <f t="shared" si="42"/>
        <v>0</v>
      </c>
      <c r="BD47" s="18">
        <f t="shared" si="43"/>
        <v>0</v>
      </c>
      <c r="BE47" s="18">
        <v>0</v>
      </c>
      <c r="BF47" s="18">
        <f t="shared" si="44"/>
        <v>0.003402</v>
      </c>
      <c r="BH47" s="4">
        <f t="shared" si="45"/>
        <v>0</v>
      </c>
      <c r="BI47" s="4">
        <f t="shared" si="46"/>
        <v>0</v>
      </c>
      <c r="BJ47" s="4">
        <f t="shared" si="47"/>
        <v>0</v>
      </c>
    </row>
    <row r="48" spans="1:62" ht="12.75">
      <c r="A48" s="1" t="s">
        <v>32</v>
      </c>
      <c r="B48" s="1"/>
      <c r="C48" s="1" t="s">
        <v>77</v>
      </c>
      <c r="D48" s="1" t="s">
        <v>132</v>
      </c>
      <c r="E48" s="1" t="s">
        <v>156</v>
      </c>
      <c r="F48" s="4">
        <f>'Rozpočet - vybrané sloupce'!AS65</f>
        <v>16.2</v>
      </c>
      <c r="G48" s="4">
        <f>'Rozpočet - vybrané sloupce'!AX65</f>
        <v>0</v>
      </c>
      <c r="H48" s="4">
        <f t="shared" si="24"/>
        <v>0</v>
      </c>
      <c r="I48" s="4">
        <f t="shared" si="25"/>
        <v>0</v>
      </c>
      <c r="J48" s="4">
        <f t="shared" si="26"/>
        <v>0</v>
      </c>
      <c r="K48" s="4">
        <v>0</v>
      </c>
      <c r="L48" s="4">
        <f t="shared" si="27"/>
        <v>0</v>
      </c>
      <c r="M48" s="69" t="s">
        <v>307</v>
      </c>
      <c r="Z48" s="18">
        <f t="shared" si="28"/>
        <v>0</v>
      </c>
      <c r="AB48" s="18">
        <f t="shared" si="29"/>
        <v>0</v>
      </c>
      <c r="AC48" s="18">
        <f t="shared" si="30"/>
        <v>0</v>
      </c>
      <c r="AD48" s="18">
        <f t="shared" si="31"/>
        <v>0</v>
      </c>
      <c r="AE48" s="18">
        <f t="shared" si="32"/>
        <v>0</v>
      </c>
      <c r="AF48" s="18">
        <f t="shared" si="33"/>
        <v>0</v>
      </c>
      <c r="AG48" s="18">
        <f t="shared" si="34"/>
        <v>0</v>
      </c>
      <c r="AH48" s="18">
        <f t="shared" si="35"/>
        <v>0</v>
      </c>
      <c r="AI48" s="65"/>
      <c r="AJ48" s="4">
        <f t="shared" si="36"/>
        <v>0</v>
      </c>
      <c r="AK48" s="4">
        <f t="shared" si="37"/>
        <v>0</v>
      </c>
      <c r="AL48" s="4">
        <f t="shared" si="38"/>
        <v>0</v>
      </c>
      <c r="AN48" s="18">
        <v>21</v>
      </c>
      <c r="AO48" s="18">
        <f>G48*0</f>
        <v>0</v>
      </c>
      <c r="AP48" s="18">
        <f>G48*(1-0)</f>
        <v>0</v>
      </c>
      <c r="AQ48" s="69" t="s">
        <v>13</v>
      </c>
      <c r="AV48" s="18">
        <f t="shared" si="39"/>
        <v>0</v>
      </c>
      <c r="AW48" s="18">
        <f t="shared" si="40"/>
        <v>0</v>
      </c>
      <c r="AX48" s="18">
        <f t="shared" si="41"/>
        <v>0</v>
      </c>
      <c r="AY48" s="72" t="s">
        <v>326</v>
      </c>
      <c r="AZ48" s="72" t="s">
        <v>337</v>
      </c>
      <c r="BA48" s="65" t="s">
        <v>339</v>
      </c>
      <c r="BC48" s="18">
        <f t="shared" si="42"/>
        <v>0</v>
      </c>
      <c r="BD48" s="18">
        <f t="shared" si="43"/>
        <v>0</v>
      </c>
      <c r="BE48" s="18">
        <v>0</v>
      </c>
      <c r="BF48" s="18">
        <f t="shared" si="44"/>
        <v>0</v>
      </c>
      <c r="BH48" s="4">
        <f t="shared" si="45"/>
        <v>0</v>
      </c>
      <c r="BI48" s="4">
        <f t="shared" si="46"/>
        <v>0</v>
      </c>
      <c r="BJ48" s="4">
        <f t="shared" si="47"/>
        <v>0</v>
      </c>
    </row>
    <row r="49" spans="1:62" ht="12.75">
      <c r="A49" s="2" t="s">
        <v>33</v>
      </c>
      <c r="B49" s="2"/>
      <c r="C49" s="2" t="s">
        <v>78</v>
      </c>
      <c r="D49" s="2" t="s">
        <v>133</v>
      </c>
      <c r="E49" s="2" t="s">
        <v>156</v>
      </c>
      <c r="F49" s="5">
        <f>'Rozpočet - vybrané sloupce'!AS66</f>
        <v>17.82</v>
      </c>
      <c r="G49" s="5">
        <f>'Rozpočet - vybrané sloupce'!AX66</f>
        <v>0</v>
      </c>
      <c r="H49" s="5">
        <f t="shared" si="24"/>
        <v>0</v>
      </c>
      <c r="I49" s="5">
        <f t="shared" si="25"/>
        <v>0</v>
      </c>
      <c r="J49" s="5">
        <f t="shared" si="26"/>
        <v>0</v>
      </c>
      <c r="K49" s="5">
        <v>0.0105</v>
      </c>
      <c r="L49" s="5">
        <f t="shared" si="27"/>
        <v>0.18711000000000003</v>
      </c>
      <c r="M49" s="70" t="s">
        <v>307</v>
      </c>
      <c r="Z49" s="18">
        <f t="shared" si="28"/>
        <v>0</v>
      </c>
      <c r="AB49" s="18">
        <f t="shared" si="29"/>
        <v>0</v>
      </c>
      <c r="AC49" s="18">
        <f t="shared" si="30"/>
        <v>0</v>
      </c>
      <c r="AD49" s="18">
        <f t="shared" si="31"/>
        <v>0</v>
      </c>
      <c r="AE49" s="18">
        <f t="shared" si="32"/>
        <v>0</v>
      </c>
      <c r="AF49" s="18">
        <f t="shared" si="33"/>
        <v>0</v>
      </c>
      <c r="AG49" s="18">
        <f t="shared" si="34"/>
        <v>0</v>
      </c>
      <c r="AH49" s="18">
        <f t="shared" si="35"/>
        <v>0</v>
      </c>
      <c r="AI49" s="65"/>
      <c r="AJ49" s="5">
        <f t="shared" si="36"/>
        <v>0</v>
      </c>
      <c r="AK49" s="5">
        <f t="shared" si="37"/>
        <v>0</v>
      </c>
      <c r="AL49" s="5">
        <f t="shared" si="38"/>
        <v>0</v>
      </c>
      <c r="AN49" s="18">
        <v>21</v>
      </c>
      <c r="AO49" s="18">
        <f>G49*1</f>
        <v>0</v>
      </c>
      <c r="AP49" s="18">
        <f>G49*(1-1)</f>
        <v>0</v>
      </c>
      <c r="AQ49" s="70" t="s">
        <v>13</v>
      </c>
      <c r="AV49" s="18">
        <f t="shared" si="39"/>
        <v>0</v>
      </c>
      <c r="AW49" s="18">
        <f t="shared" si="40"/>
        <v>0</v>
      </c>
      <c r="AX49" s="18">
        <f t="shared" si="41"/>
        <v>0</v>
      </c>
      <c r="AY49" s="72" t="s">
        <v>326</v>
      </c>
      <c r="AZ49" s="72" t="s">
        <v>337</v>
      </c>
      <c r="BA49" s="65" t="s">
        <v>339</v>
      </c>
      <c r="BC49" s="18">
        <f t="shared" si="42"/>
        <v>0</v>
      </c>
      <c r="BD49" s="18">
        <f t="shared" si="43"/>
        <v>0</v>
      </c>
      <c r="BE49" s="18">
        <v>0</v>
      </c>
      <c r="BF49" s="18">
        <f t="shared" si="44"/>
        <v>0.18711000000000003</v>
      </c>
      <c r="BH49" s="5">
        <f t="shared" si="45"/>
        <v>0</v>
      </c>
      <c r="BI49" s="5">
        <f t="shared" si="46"/>
        <v>0</v>
      </c>
      <c r="BJ49" s="5">
        <f t="shared" si="47"/>
        <v>0</v>
      </c>
    </row>
    <row r="50" spans="1:62" ht="12.75">
      <c r="A50" s="2" t="s">
        <v>34</v>
      </c>
      <c r="B50" s="2"/>
      <c r="C50" s="2" t="s">
        <v>79</v>
      </c>
      <c r="D50" s="2" t="s">
        <v>134</v>
      </c>
      <c r="E50" s="2" t="s">
        <v>159</v>
      </c>
      <c r="F50" s="5">
        <f>'Rozpočet - vybrané sloupce'!AS67</f>
        <v>0</v>
      </c>
      <c r="G50" s="5">
        <f>'Rozpočet - vybrané sloupce'!AX67</f>
        <v>0</v>
      </c>
      <c r="H50" s="5">
        <f t="shared" si="24"/>
        <v>0</v>
      </c>
      <c r="I50" s="5">
        <f t="shared" si="25"/>
        <v>0</v>
      </c>
      <c r="J50" s="5">
        <f t="shared" si="26"/>
        <v>0</v>
      </c>
      <c r="K50" s="5">
        <v>0.001</v>
      </c>
      <c r="L50" s="5">
        <f t="shared" si="27"/>
        <v>0</v>
      </c>
      <c r="M50" s="70" t="s">
        <v>307</v>
      </c>
      <c r="Z50" s="18">
        <f t="shared" si="28"/>
        <v>0</v>
      </c>
      <c r="AB50" s="18">
        <f t="shared" si="29"/>
        <v>0</v>
      </c>
      <c r="AC50" s="18">
        <f t="shared" si="30"/>
        <v>0</v>
      </c>
      <c r="AD50" s="18">
        <f t="shared" si="31"/>
        <v>0</v>
      </c>
      <c r="AE50" s="18">
        <f t="shared" si="32"/>
        <v>0</v>
      </c>
      <c r="AF50" s="18">
        <f t="shared" si="33"/>
        <v>0</v>
      </c>
      <c r="AG50" s="18">
        <f t="shared" si="34"/>
        <v>0</v>
      </c>
      <c r="AH50" s="18">
        <f t="shared" si="35"/>
        <v>0</v>
      </c>
      <c r="AI50" s="65"/>
      <c r="AJ50" s="5">
        <f t="shared" si="36"/>
        <v>0</v>
      </c>
      <c r="AK50" s="5">
        <f t="shared" si="37"/>
        <v>0</v>
      </c>
      <c r="AL50" s="5">
        <f t="shared" si="38"/>
        <v>0</v>
      </c>
      <c r="AN50" s="18">
        <v>21</v>
      </c>
      <c r="AO50" s="18">
        <f>G50*1</f>
        <v>0</v>
      </c>
      <c r="AP50" s="18">
        <f>G50*(1-1)</f>
        <v>0</v>
      </c>
      <c r="AQ50" s="70" t="s">
        <v>13</v>
      </c>
      <c r="AV50" s="18">
        <f t="shared" si="39"/>
        <v>0</v>
      </c>
      <c r="AW50" s="18">
        <f t="shared" si="40"/>
        <v>0</v>
      </c>
      <c r="AX50" s="18">
        <f t="shared" si="41"/>
        <v>0</v>
      </c>
      <c r="AY50" s="72" t="s">
        <v>326</v>
      </c>
      <c r="AZ50" s="72" t="s">
        <v>337</v>
      </c>
      <c r="BA50" s="65" t="s">
        <v>339</v>
      </c>
      <c r="BC50" s="18">
        <f t="shared" si="42"/>
        <v>0</v>
      </c>
      <c r="BD50" s="18">
        <f t="shared" si="43"/>
        <v>0</v>
      </c>
      <c r="BE50" s="18">
        <v>0</v>
      </c>
      <c r="BF50" s="18">
        <f t="shared" si="44"/>
        <v>0</v>
      </c>
      <c r="BH50" s="5">
        <f t="shared" si="45"/>
        <v>0</v>
      </c>
      <c r="BI50" s="5">
        <f t="shared" si="46"/>
        <v>0</v>
      </c>
      <c r="BJ50" s="5">
        <f t="shared" si="47"/>
        <v>0</v>
      </c>
    </row>
    <row r="51" spans="1:47" ht="12.75">
      <c r="A51" s="54"/>
      <c r="B51" s="59"/>
      <c r="C51" s="59" t="s">
        <v>80</v>
      </c>
      <c r="D51" s="59" t="s">
        <v>135</v>
      </c>
      <c r="E51" s="54" t="s">
        <v>6</v>
      </c>
      <c r="F51" s="54" t="s">
        <v>6</v>
      </c>
      <c r="G51" s="54" t="s">
        <v>6</v>
      </c>
      <c r="H51" s="7">
        <f>SUM(H52:H53)</f>
        <v>0</v>
      </c>
      <c r="I51" s="7">
        <f>SUM(I52:I53)</f>
        <v>0</v>
      </c>
      <c r="J51" s="7">
        <f>SUM(J52:J53)</f>
        <v>0</v>
      </c>
      <c r="K51" s="65"/>
      <c r="L51" s="7">
        <f>SUM(L52:L53)</f>
        <v>0.017262</v>
      </c>
      <c r="M51" s="65"/>
      <c r="AI51" s="65"/>
      <c r="AS51" s="7">
        <f>SUM(AJ52:AJ53)</f>
        <v>0</v>
      </c>
      <c r="AT51" s="7">
        <f>SUM(AK52:AK53)</f>
        <v>0</v>
      </c>
      <c r="AU51" s="7">
        <f>SUM(AL52:AL53)</f>
        <v>0</v>
      </c>
    </row>
    <row r="52" spans="1:62" ht="12.75">
      <c r="A52" s="1" t="s">
        <v>35</v>
      </c>
      <c r="B52" s="1"/>
      <c r="C52" s="1" t="s">
        <v>81</v>
      </c>
      <c r="D52" s="1" t="s">
        <v>136</v>
      </c>
      <c r="E52" s="1" t="s">
        <v>156</v>
      </c>
      <c r="F52" s="4">
        <f>'Rozpočet - vybrané sloupce'!AS69</f>
        <v>41.1</v>
      </c>
      <c r="G52" s="4">
        <f>'Rozpočet - vybrané sloupce'!AX69</f>
        <v>0</v>
      </c>
      <c r="H52" s="4">
        <f>F52*AO52</f>
        <v>0</v>
      </c>
      <c r="I52" s="4">
        <f>F52*AP52</f>
        <v>0</v>
      </c>
      <c r="J52" s="4">
        <f>F52*G52</f>
        <v>0</v>
      </c>
      <c r="K52" s="4">
        <v>0.0002</v>
      </c>
      <c r="L52" s="4">
        <f>F52*K52</f>
        <v>0.00822</v>
      </c>
      <c r="M52" s="69" t="s">
        <v>307</v>
      </c>
      <c r="Z52" s="18">
        <f>IF(AQ52="5",BJ52,0)</f>
        <v>0</v>
      </c>
      <c r="AB52" s="18">
        <f>IF(AQ52="1",BH52,0)</f>
        <v>0</v>
      </c>
      <c r="AC52" s="18">
        <f>IF(AQ52="1",BI52,0)</f>
        <v>0</v>
      </c>
      <c r="AD52" s="18">
        <f>IF(AQ52="7",BH52,0)</f>
        <v>0</v>
      </c>
      <c r="AE52" s="18">
        <f>IF(AQ52="7",BI52,0)</f>
        <v>0</v>
      </c>
      <c r="AF52" s="18">
        <f>IF(AQ52="2",BH52,0)</f>
        <v>0</v>
      </c>
      <c r="AG52" s="18">
        <f>IF(AQ52="2",BI52,0)</f>
        <v>0</v>
      </c>
      <c r="AH52" s="18">
        <f>IF(AQ52="0",BJ52,0)</f>
        <v>0</v>
      </c>
      <c r="AI52" s="65"/>
      <c r="AJ52" s="4">
        <f>IF(AN52=0,J52,0)</f>
        <v>0</v>
      </c>
      <c r="AK52" s="4">
        <f>IF(AN52=15,J52,0)</f>
        <v>0</v>
      </c>
      <c r="AL52" s="4">
        <f>IF(AN52=21,J52,0)</f>
        <v>0</v>
      </c>
      <c r="AN52" s="18">
        <v>21</v>
      </c>
      <c r="AO52" s="18">
        <f>G52*0.413545816733068</f>
        <v>0</v>
      </c>
      <c r="AP52" s="18">
        <f>G52*(1-0.413545816733068)</f>
        <v>0</v>
      </c>
      <c r="AQ52" s="69" t="s">
        <v>13</v>
      </c>
      <c r="AV52" s="18">
        <f>AW52+AX52</f>
        <v>0</v>
      </c>
      <c r="AW52" s="18">
        <f>F52*AO52</f>
        <v>0</v>
      </c>
      <c r="AX52" s="18">
        <f>F52*AP52</f>
        <v>0</v>
      </c>
      <c r="AY52" s="72" t="s">
        <v>327</v>
      </c>
      <c r="AZ52" s="72" t="s">
        <v>337</v>
      </c>
      <c r="BA52" s="65" t="s">
        <v>339</v>
      </c>
      <c r="BC52" s="18">
        <f>AW52+AX52</f>
        <v>0</v>
      </c>
      <c r="BD52" s="18">
        <f>G52/(100-BE52)*100</f>
        <v>0</v>
      </c>
      <c r="BE52" s="18">
        <v>0</v>
      </c>
      <c r="BF52" s="18">
        <f>L52</f>
        <v>0.00822</v>
      </c>
      <c r="BH52" s="4">
        <f>F52*AO52</f>
        <v>0</v>
      </c>
      <c r="BI52" s="4">
        <f>F52*AP52</f>
        <v>0</v>
      </c>
      <c r="BJ52" s="4">
        <f>F52*G52</f>
        <v>0</v>
      </c>
    </row>
    <row r="53" spans="1:62" ht="12.75">
      <c r="A53" s="1" t="s">
        <v>36</v>
      </c>
      <c r="B53" s="1"/>
      <c r="C53" s="1" t="s">
        <v>82</v>
      </c>
      <c r="D53" s="1" t="s">
        <v>137</v>
      </c>
      <c r="E53" s="1" t="s">
        <v>156</v>
      </c>
      <c r="F53" s="4">
        <f>'Rozpočet - vybrané sloupce'!AS70</f>
        <v>41.1</v>
      </c>
      <c r="G53" s="4">
        <f>'Rozpočet - vybrané sloupce'!AX70</f>
        <v>0</v>
      </c>
      <c r="H53" s="4">
        <f>F53*AO53</f>
        <v>0</v>
      </c>
      <c r="I53" s="4">
        <f>F53*AP53</f>
        <v>0</v>
      </c>
      <c r="J53" s="4">
        <f>F53*G53</f>
        <v>0</v>
      </c>
      <c r="K53" s="4">
        <v>0.00022</v>
      </c>
      <c r="L53" s="4">
        <f>F53*K53</f>
        <v>0.009042000000000001</v>
      </c>
      <c r="M53" s="69" t="s">
        <v>307</v>
      </c>
      <c r="Z53" s="18">
        <f>IF(AQ53="5",BJ53,0)</f>
        <v>0</v>
      </c>
      <c r="AB53" s="18">
        <f>IF(AQ53="1",BH53,0)</f>
        <v>0</v>
      </c>
      <c r="AC53" s="18">
        <f>IF(AQ53="1",BI53,0)</f>
        <v>0</v>
      </c>
      <c r="AD53" s="18">
        <f>IF(AQ53="7",BH53,0)</f>
        <v>0</v>
      </c>
      <c r="AE53" s="18">
        <f>IF(AQ53="7",BI53,0)</f>
        <v>0</v>
      </c>
      <c r="AF53" s="18">
        <f>IF(AQ53="2",BH53,0)</f>
        <v>0</v>
      </c>
      <c r="AG53" s="18">
        <f>IF(AQ53="2",BI53,0)</f>
        <v>0</v>
      </c>
      <c r="AH53" s="18">
        <f>IF(AQ53="0",BJ53,0)</f>
        <v>0</v>
      </c>
      <c r="AI53" s="65"/>
      <c r="AJ53" s="4">
        <f>IF(AN53=0,J53,0)</f>
        <v>0</v>
      </c>
      <c r="AK53" s="4">
        <f>IF(AN53=15,J53,0)</f>
        <v>0</v>
      </c>
      <c r="AL53" s="4">
        <f>IF(AN53=21,J53,0)</f>
        <v>0</v>
      </c>
      <c r="AN53" s="18">
        <v>21</v>
      </c>
      <c r="AO53" s="18">
        <f>G53*0.158394160583942</f>
        <v>0</v>
      </c>
      <c r="AP53" s="18">
        <f>G53*(1-0.158394160583942)</f>
        <v>0</v>
      </c>
      <c r="AQ53" s="69" t="s">
        <v>13</v>
      </c>
      <c r="AV53" s="18">
        <f>AW53+AX53</f>
        <v>0</v>
      </c>
      <c r="AW53" s="18">
        <f>F53*AO53</f>
        <v>0</v>
      </c>
      <c r="AX53" s="18">
        <f>F53*AP53</f>
        <v>0</v>
      </c>
      <c r="AY53" s="72" t="s">
        <v>327</v>
      </c>
      <c r="AZ53" s="72" t="s">
        <v>337</v>
      </c>
      <c r="BA53" s="65" t="s">
        <v>339</v>
      </c>
      <c r="BC53" s="18">
        <f>AW53+AX53</f>
        <v>0</v>
      </c>
      <c r="BD53" s="18">
        <f>G53/(100-BE53)*100</f>
        <v>0</v>
      </c>
      <c r="BE53" s="18">
        <v>0</v>
      </c>
      <c r="BF53" s="18">
        <f>L53</f>
        <v>0.009042000000000001</v>
      </c>
      <c r="BH53" s="4">
        <f>F53*AO53</f>
        <v>0</v>
      </c>
      <c r="BI53" s="4">
        <f>F53*AP53</f>
        <v>0</v>
      </c>
      <c r="BJ53" s="4">
        <f>F53*G53</f>
        <v>0</v>
      </c>
    </row>
    <row r="54" spans="1:47" ht="12.75">
      <c r="A54" s="54"/>
      <c r="B54" s="59"/>
      <c r="C54" s="59" t="s">
        <v>83</v>
      </c>
      <c r="D54" s="59" t="s">
        <v>138</v>
      </c>
      <c r="E54" s="54" t="s">
        <v>6</v>
      </c>
      <c r="F54" s="54" t="s">
        <v>6</v>
      </c>
      <c r="G54" s="54" t="s">
        <v>6</v>
      </c>
      <c r="H54" s="7">
        <f>SUM(H55:H55)</f>
        <v>0</v>
      </c>
      <c r="I54" s="7">
        <f>SUM(I55:I55)</f>
        <v>0</v>
      </c>
      <c r="J54" s="7">
        <f>SUM(J55:J55)</f>
        <v>0</v>
      </c>
      <c r="K54" s="65"/>
      <c r="L54" s="7">
        <f>SUM(L55:L55)</f>
        <v>0.1027</v>
      </c>
      <c r="M54" s="65"/>
      <c r="AI54" s="65"/>
      <c r="AS54" s="7">
        <f>SUM(AJ55:AJ55)</f>
        <v>0</v>
      </c>
      <c r="AT54" s="7">
        <f>SUM(AK55:AK55)</f>
        <v>0</v>
      </c>
      <c r="AU54" s="7">
        <f>SUM(AL55:AL55)</f>
        <v>0</v>
      </c>
    </row>
    <row r="55" spans="1:62" ht="12.75">
      <c r="A55" s="1" t="s">
        <v>37</v>
      </c>
      <c r="B55" s="1"/>
      <c r="C55" s="1" t="s">
        <v>84</v>
      </c>
      <c r="D55" s="1" t="s">
        <v>139</v>
      </c>
      <c r="E55" s="1" t="s">
        <v>156</v>
      </c>
      <c r="F55" s="4">
        <f>'Rozpočet - vybrané sloupce'!AS72</f>
        <v>65</v>
      </c>
      <c r="G55" s="4">
        <f>'Rozpočet - vybrané sloupce'!AX72</f>
        <v>0</v>
      </c>
      <c r="H55" s="4">
        <f>F55*AO55</f>
        <v>0</v>
      </c>
      <c r="I55" s="4">
        <f>F55*AP55</f>
        <v>0</v>
      </c>
      <c r="J55" s="4">
        <f>F55*G55</f>
        <v>0</v>
      </c>
      <c r="K55" s="4">
        <v>0.00158</v>
      </c>
      <c r="L55" s="4">
        <f>F55*K55</f>
        <v>0.1027</v>
      </c>
      <c r="M55" s="69" t="s">
        <v>307</v>
      </c>
      <c r="Z55" s="18">
        <f>IF(AQ55="5",BJ55,0)</f>
        <v>0</v>
      </c>
      <c r="AB55" s="18">
        <f>IF(AQ55="1",BH55,0)</f>
        <v>0</v>
      </c>
      <c r="AC55" s="18">
        <f>IF(AQ55="1",BI55,0)</f>
        <v>0</v>
      </c>
      <c r="AD55" s="18">
        <f>IF(AQ55="7",BH55,0)</f>
        <v>0</v>
      </c>
      <c r="AE55" s="18">
        <f>IF(AQ55="7",BI55,0)</f>
        <v>0</v>
      </c>
      <c r="AF55" s="18">
        <f>IF(AQ55="2",BH55,0)</f>
        <v>0</v>
      </c>
      <c r="AG55" s="18">
        <f>IF(AQ55="2",BI55,0)</f>
        <v>0</v>
      </c>
      <c r="AH55" s="18">
        <f>IF(AQ55="0",BJ55,0)</f>
        <v>0</v>
      </c>
      <c r="AI55" s="65"/>
      <c r="AJ55" s="4">
        <f>IF(AN55=0,J55,0)</f>
        <v>0</v>
      </c>
      <c r="AK55" s="4">
        <f>IF(AN55=15,J55,0)</f>
        <v>0</v>
      </c>
      <c r="AL55" s="4">
        <f>IF(AN55=21,J55,0)</f>
        <v>0</v>
      </c>
      <c r="AN55" s="18">
        <v>21</v>
      </c>
      <c r="AO55" s="18">
        <f>G55*0.365426356589147</f>
        <v>0</v>
      </c>
      <c r="AP55" s="18">
        <f>G55*(1-0.365426356589147)</f>
        <v>0</v>
      </c>
      <c r="AQ55" s="69" t="s">
        <v>7</v>
      </c>
      <c r="AV55" s="18">
        <f>AW55+AX55</f>
        <v>0</v>
      </c>
      <c r="AW55" s="18">
        <f>F55*AO55</f>
        <v>0</v>
      </c>
      <c r="AX55" s="18">
        <f>F55*AP55</f>
        <v>0</v>
      </c>
      <c r="AY55" s="72" t="s">
        <v>328</v>
      </c>
      <c r="AZ55" s="72" t="s">
        <v>338</v>
      </c>
      <c r="BA55" s="65" t="s">
        <v>339</v>
      </c>
      <c r="BC55" s="18">
        <f>AW55+AX55</f>
        <v>0</v>
      </c>
      <c r="BD55" s="18">
        <f>G55/(100-BE55)*100</f>
        <v>0</v>
      </c>
      <c r="BE55" s="18">
        <v>0</v>
      </c>
      <c r="BF55" s="18">
        <f>L55</f>
        <v>0.1027</v>
      </c>
      <c r="BH55" s="4">
        <f>F55*AO55</f>
        <v>0</v>
      </c>
      <c r="BI55" s="4">
        <f>F55*AP55</f>
        <v>0</v>
      </c>
      <c r="BJ55" s="4">
        <f>F55*G55</f>
        <v>0</v>
      </c>
    </row>
    <row r="56" spans="1:47" ht="12.75">
      <c r="A56" s="54"/>
      <c r="B56" s="59"/>
      <c r="C56" s="59" t="s">
        <v>85</v>
      </c>
      <c r="D56" s="59" t="s">
        <v>140</v>
      </c>
      <c r="E56" s="54" t="s">
        <v>6</v>
      </c>
      <c r="F56" s="54" t="s">
        <v>6</v>
      </c>
      <c r="G56" s="54" t="s">
        <v>6</v>
      </c>
      <c r="H56" s="7">
        <f>SUM(H57:H57)</f>
        <v>0</v>
      </c>
      <c r="I56" s="7">
        <f>SUM(I57:I57)</f>
        <v>0</v>
      </c>
      <c r="J56" s="7">
        <f>SUM(J57:J57)</f>
        <v>0</v>
      </c>
      <c r="K56" s="65"/>
      <c r="L56" s="7">
        <f>SUM(L57:L57)</f>
        <v>0.0061600000000000005</v>
      </c>
      <c r="M56" s="65"/>
      <c r="AI56" s="65"/>
      <c r="AS56" s="7">
        <f>SUM(AJ57:AJ57)</f>
        <v>0</v>
      </c>
      <c r="AT56" s="7">
        <f>SUM(AK57:AK57)</f>
        <v>0</v>
      </c>
      <c r="AU56" s="7">
        <f>SUM(AL57:AL57)</f>
        <v>0</v>
      </c>
    </row>
    <row r="57" spans="1:62" ht="12.75">
      <c r="A57" s="1" t="s">
        <v>38</v>
      </c>
      <c r="B57" s="1"/>
      <c r="C57" s="1" t="s">
        <v>86</v>
      </c>
      <c r="D57" s="1" t="s">
        <v>141</v>
      </c>
      <c r="E57" s="1" t="s">
        <v>156</v>
      </c>
      <c r="F57" s="4">
        <f>'Rozpočet - vybrané sloupce'!AS75</f>
        <v>154</v>
      </c>
      <c r="G57" s="4">
        <f>'Rozpočet - vybrané sloupce'!AX75</f>
        <v>0</v>
      </c>
      <c r="H57" s="4">
        <f>F57*AO57</f>
        <v>0</v>
      </c>
      <c r="I57" s="4">
        <f>F57*AP57</f>
        <v>0</v>
      </c>
      <c r="J57" s="4">
        <f>F57*G57</f>
        <v>0</v>
      </c>
      <c r="K57" s="4">
        <v>4E-05</v>
      </c>
      <c r="L57" s="4">
        <f>F57*K57</f>
        <v>0.0061600000000000005</v>
      </c>
      <c r="M57" s="69" t="s">
        <v>307</v>
      </c>
      <c r="Z57" s="18">
        <f>IF(AQ57="5",BJ57,0)</f>
        <v>0</v>
      </c>
      <c r="AB57" s="18">
        <f>IF(AQ57="1",BH57,0)</f>
        <v>0</v>
      </c>
      <c r="AC57" s="18">
        <f>IF(AQ57="1",BI57,0)</f>
        <v>0</v>
      </c>
      <c r="AD57" s="18">
        <f>IF(AQ57="7",BH57,0)</f>
        <v>0</v>
      </c>
      <c r="AE57" s="18">
        <f>IF(AQ57="7",BI57,0)</f>
        <v>0</v>
      </c>
      <c r="AF57" s="18">
        <f>IF(AQ57="2",BH57,0)</f>
        <v>0</v>
      </c>
      <c r="AG57" s="18">
        <f>IF(AQ57="2",BI57,0)</f>
        <v>0</v>
      </c>
      <c r="AH57" s="18">
        <f>IF(AQ57="0",BJ57,0)</f>
        <v>0</v>
      </c>
      <c r="AI57" s="65"/>
      <c r="AJ57" s="4">
        <f>IF(AN57=0,J57,0)</f>
        <v>0</v>
      </c>
      <c r="AK57" s="4">
        <f>IF(AN57=15,J57,0)</f>
        <v>0</v>
      </c>
      <c r="AL57" s="4">
        <f>IF(AN57=21,J57,0)</f>
        <v>0</v>
      </c>
      <c r="AN57" s="18">
        <v>21</v>
      </c>
      <c r="AO57" s="18">
        <f>G57*0.013</f>
        <v>0</v>
      </c>
      <c r="AP57" s="18">
        <f>G57*(1-0.013)</f>
        <v>0</v>
      </c>
      <c r="AQ57" s="69" t="s">
        <v>7</v>
      </c>
      <c r="AV57" s="18">
        <f>AW57+AX57</f>
        <v>0</v>
      </c>
      <c r="AW57" s="18">
        <f>F57*AO57</f>
        <v>0</v>
      </c>
      <c r="AX57" s="18">
        <f>F57*AP57</f>
        <v>0</v>
      </c>
      <c r="AY57" s="72" t="s">
        <v>329</v>
      </c>
      <c r="AZ57" s="72" t="s">
        <v>338</v>
      </c>
      <c r="BA57" s="65" t="s">
        <v>339</v>
      </c>
      <c r="BC57" s="18">
        <f>AW57+AX57</f>
        <v>0</v>
      </c>
      <c r="BD57" s="18">
        <f>G57/(100-BE57)*100</f>
        <v>0</v>
      </c>
      <c r="BE57" s="18">
        <v>0</v>
      </c>
      <c r="BF57" s="18">
        <f>L57</f>
        <v>0.0061600000000000005</v>
      </c>
      <c r="BH57" s="4">
        <f>F57*AO57</f>
        <v>0</v>
      </c>
      <c r="BI57" s="4">
        <f>F57*AP57</f>
        <v>0</v>
      </c>
      <c r="BJ57" s="4">
        <f>F57*G57</f>
        <v>0</v>
      </c>
    </row>
    <row r="58" spans="1:47" ht="12.75">
      <c r="A58" s="54"/>
      <c r="B58" s="59"/>
      <c r="C58" s="59" t="s">
        <v>87</v>
      </c>
      <c r="D58" s="59" t="s">
        <v>142</v>
      </c>
      <c r="E58" s="54" t="s">
        <v>6</v>
      </c>
      <c r="F58" s="54" t="s">
        <v>6</v>
      </c>
      <c r="G58" s="54" t="s">
        <v>6</v>
      </c>
      <c r="H58" s="7">
        <f>SUM(H59:H60)</f>
        <v>0</v>
      </c>
      <c r="I58" s="7">
        <f>SUM(I59:I60)</f>
        <v>0</v>
      </c>
      <c r="J58" s="7">
        <f>SUM(J59:J60)</f>
        <v>0</v>
      </c>
      <c r="K58" s="65"/>
      <c r="L58" s="7">
        <f>SUM(L59:L60)</f>
        <v>5.880799999999999</v>
      </c>
      <c r="M58" s="65"/>
      <c r="AI58" s="65"/>
      <c r="AS58" s="7">
        <f>SUM(AJ59:AJ60)</f>
        <v>0</v>
      </c>
      <c r="AT58" s="7">
        <f>SUM(AK59:AK60)</f>
        <v>0</v>
      </c>
      <c r="AU58" s="7">
        <f>SUM(AL59:AL60)</f>
        <v>0</v>
      </c>
    </row>
    <row r="59" spans="1:62" ht="12.75">
      <c r="A59" s="1" t="s">
        <v>39</v>
      </c>
      <c r="B59" s="1"/>
      <c r="C59" s="1" t="s">
        <v>88</v>
      </c>
      <c r="D59" s="1" t="s">
        <v>143</v>
      </c>
      <c r="E59" s="1" t="s">
        <v>156</v>
      </c>
      <c r="F59" s="4">
        <f>'Rozpočet - vybrané sloupce'!AS77</f>
        <v>57.3</v>
      </c>
      <c r="G59" s="4">
        <f>'Rozpočet - vybrané sloupce'!AX77</f>
        <v>0</v>
      </c>
      <c r="H59" s="4">
        <f>F59*AO59</f>
        <v>0</v>
      </c>
      <c r="I59" s="4">
        <f>F59*AP59</f>
        <v>0</v>
      </c>
      <c r="J59" s="4">
        <f>F59*G59</f>
        <v>0</v>
      </c>
      <c r="K59" s="4">
        <v>0.046</v>
      </c>
      <c r="L59" s="4">
        <f>F59*K59</f>
        <v>2.6357999999999997</v>
      </c>
      <c r="M59" s="69" t="s">
        <v>307</v>
      </c>
      <c r="Z59" s="18">
        <f>IF(AQ59="5",BJ59,0)</f>
        <v>0</v>
      </c>
      <c r="AB59" s="18">
        <f>IF(AQ59="1",BH59,0)</f>
        <v>0</v>
      </c>
      <c r="AC59" s="18">
        <f>IF(AQ59="1",BI59,0)</f>
        <v>0</v>
      </c>
      <c r="AD59" s="18">
        <f>IF(AQ59="7",BH59,0)</f>
        <v>0</v>
      </c>
      <c r="AE59" s="18">
        <f>IF(AQ59="7",BI59,0)</f>
        <v>0</v>
      </c>
      <c r="AF59" s="18">
        <f>IF(AQ59="2",BH59,0)</f>
        <v>0</v>
      </c>
      <c r="AG59" s="18">
        <f>IF(AQ59="2",BI59,0)</f>
        <v>0</v>
      </c>
      <c r="AH59" s="18">
        <f>IF(AQ59="0",BJ59,0)</f>
        <v>0</v>
      </c>
      <c r="AI59" s="65"/>
      <c r="AJ59" s="4">
        <f>IF(AN59=0,J59,0)</f>
        <v>0</v>
      </c>
      <c r="AK59" s="4">
        <f>IF(AN59=15,J59,0)</f>
        <v>0</v>
      </c>
      <c r="AL59" s="4">
        <f>IF(AN59=21,J59,0)</f>
        <v>0</v>
      </c>
      <c r="AN59" s="18">
        <v>21</v>
      </c>
      <c r="AO59" s="18">
        <f>G59*0</f>
        <v>0</v>
      </c>
      <c r="AP59" s="18">
        <f>G59*(1-0)</f>
        <v>0</v>
      </c>
      <c r="AQ59" s="69" t="s">
        <v>7</v>
      </c>
      <c r="AV59" s="18">
        <f>AW59+AX59</f>
        <v>0</v>
      </c>
      <c r="AW59" s="18">
        <f>F59*AO59</f>
        <v>0</v>
      </c>
      <c r="AX59" s="18">
        <f>F59*AP59</f>
        <v>0</v>
      </c>
      <c r="AY59" s="72" t="s">
        <v>330</v>
      </c>
      <c r="AZ59" s="72" t="s">
        <v>338</v>
      </c>
      <c r="BA59" s="65" t="s">
        <v>339</v>
      </c>
      <c r="BC59" s="18">
        <f>AW59+AX59</f>
        <v>0</v>
      </c>
      <c r="BD59" s="18">
        <f>G59/(100-BE59)*100</f>
        <v>0</v>
      </c>
      <c r="BE59" s="18">
        <v>0</v>
      </c>
      <c r="BF59" s="18">
        <f>L59</f>
        <v>2.6357999999999997</v>
      </c>
      <c r="BH59" s="4">
        <f>F59*AO59</f>
        <v>0</v>
      </c>
      <c r="BI59" s="4">
        <f>F59*AP59</f>
        <v>0</v>
      </c>
      <c r="BJ59" s="4">
        <f>F59*G59</f>
        <v>0</v>
      </c>
    </row>
    <row r="60" spans="1:62" ht="12.75">
      <c r="A60" s="1" t="s">
        <v>40</v>
      </c>
      <c r="B60" s="1"/>
      <c r="C60" s="1" t="s">
        <v>89</v>
      </c>
      <c r="D60" s="1" t="s">
        <v>144</v>
      </c>
      <c r="E60" s="1" t="s">
        <v>156</v>
      </c>
      <c r="F60" s="4">
        <f>'Rozpočet - vybrané sloupce'!AS85</f>
        <v>55</v>
      </c>
      <c r="G60" s="4">
        <f>'Rozpočet - vybrané sloupce'!AX85</f>
        <v>0</v>
      </c>
      <c r="H60" s="4">
        <f>F60*AO60</f>
        <v>0</v>
      </c>
      <c r="I60" s="4">
        <f>F60*AP60</f>
        <v>0</v>
      </c>
      <c r="J60" s="4">
        <f>F60*G60</f>
        <v>0</v>
      </c>
      <c r="K60" s="4">
        <v>0.059</v>
      </c>
      <c r="L60" s="4">
        <f>F60*K60</f>
        <v>3.2449999999999997</v>
      </c>
      <c r="M60" s="69" t="s">
        <v>307</v>
      </c>
      <c r="Z60" s="18">
        <f>IF(AQ60="5",BJ60,0)</f>
        <v>0</v>
      </c>
      <c r="AB60" s="18">
        <f>IF(AQ60="1",BH60,0)</f>
        <v>0</v>
      </c>
      <c r="AC60" s="18">
        <f>IF(AQ60="1",BI60,0)</f>
        <v>0</v>
      </c>
      <c r="AD60" s="18">
        <f>IF(AQ60="7",BH60,0)</f>
        <v>0</v>
      </c>
      <c r="AE60" s="18">
        <f>IF(AQ60="7",BI60,0)</f>
        <v>0</v>
      </c>
      <c r="AF60" s="18">
        <f>IF(AQ60="2",BH60,0)</f>
        <v>0</v>
      </c>
      <c r="AG60" s="18">
        <f>IF(AQ60="2",BI60,0)</f>
        <v>0</v>
      </c>
      <c r="AH60" s="18">
        <f>IF(AQ60="0",BJ60,0)</f>
        <v>0</v>
      </c>
      <c r="AI60" s="65"/>
      <c r="AJ60" s="4">
        <f>IF(AN60=0,J60,0)</f>
        <v>0</v>
      </c>
      <c r="AK60" s="4">
        <f>IF(AN60=15,J60,0)</f>
        <v>0</v>
      </c>
      <c r="AL60" s="4">
        <f>IF(AN60=21,J60,0)</f>
        <v>0</v>
      </c>
      <c r="AN60" s="18">
        <v>21</v>
      </c>
      <c r="AO60" s="18">
        <f>G60*0</f>
        <v>0</v>
      </c>
      <c r="AP60" s="18">
        <f>G60*(1-0)</f>
        <v>0</v>
      </c>
      <c r="AQ60" s="69" t="s">
        <v>7</v>
      </c>
      <c r="AV60" s="18">
        <f>AW60+AX60</f>
        <v>0</v>
      </c>
      <c r="AW60" s="18">
        <f>F60*AO60</f>
        <v>0</v>
      </c>
      <c r="AX60" s="18">
        <f>F60*AP60</f>
        <v>0</v>
      </c>
      <c r="AY60" s="72" t="s">
        <v>330</v>
      </c>
      <c r="AZ60" s="72" t="s">
        <v>338</v>
      </c>
      <c r="BA60" s="65" t="s">
        <v>339</v>
      </c>
      <c r="BC60" s="18">
        <f>AW60+AX60</f>
        <v>0</v>
      </c>
      <c r="BD60" s="18">
        <f>G60/(100-BE60)*100</f>
        <v>0</v>
      </c>
      <c r="BE60" s="18">
        <v>0</v>
      </c>
      <c r="BF60" s="18">
        <f>L60</f>
        <v>3.2449999999999997</v>
      </c>
      <c r="BH60" s="4">
        <f>F60*AO60</f>
        <v>0</v>
      </c>
      <c r="BI60" s="4">
        <f>F60*AP60</f>
        <v>0</v>
      </c>
      <c r="BJ60" s="4">
        <f>F60*G60</f>
        <v>0</v>
      </c>
    </row>
    <row r="61" spans="1:47" ht="12.75">
      <c r="A61" s="54"/>
      <c r="B61" s="59"/>
      <c r="C61" s="59" t="s">
        <v>90</v>
      </c>
      <c r="D61" s="59" t="s">
        <v>145</v>
      </c>
      <c r="E61" s="54" t="s">
        <v>6</v>
      </c>
      <c r="F61" s="54" t="s">
        <v>6</v>
      </c>
      <c r="G61" s="54" t="s">
        <v>6</v>
      </c>
      <c r="H61" s="7">
        <f>SUM(H62:H66)</f>
        <v>0</v>
      </c>
      <c r="I61" s="7">
        <f>SUM(I62:I66)</f>
        <v>0</v>
      </c>
      <c r="J61" s="7">
        <f>SUM(J62:J66)</f>
        <v>0</v>
      </c>
      <c r="K61" s="65"/>
      <c r="L61" s="7">
        <f>SUM(L62:L66)</f>
        <v>0</v>
      </c>
      <c r="M61" s="65"/>
      <c r="AI61" s="65"/>
      <c r="AS61" s="7">
        <f>SUM(AJ62:AJ66)</f>
        <v>0</v>
      </c>
      <c r="AT61" s="7">
        <f>SUM(AK62:AK66)</f>
        <v>0</v>
      </c>
      <c r="AU61" s="7">
        <f>SUM(AL62:AL66)</f>
        <v>0</v>
      </c>
    </row>
    <row r="62" spans="1:62" ht="12.75">
      <c r="A62" s="1" t="s">
        <v>41</v>
      </c>
      <c r="B62" s="1"/>
      <c r="C62" s="1" t="s">
        <v>91</v>
      </c>
      <c r="D62" s="1" t="s">
        <v>146</v>
      </c>
      <c r="E62" s="1" t="s">
        <v>153</v>
      </c>
      <c r="F62" s="4">
        <f>'Rozpočet - vybrané sloupce'!AS87</f>
        <v>11.875</v>
      </c>
      <c r="G62" s="4">
        <f>'Rozpočet - vybrané sloupce'!AX87</f>
        <v>0</v>
      </c>
      <c r="H62" s="4">
        <f>F62*AO62</f>
        <v>0</v>
      </c>
      <c r="I62" s="4">
        <f>F62*AP62</f>
        <v>0</v>
      </c>
      <c r="J62" s="4">
        <f>F62*G62</f>
        <v>0</v>
      </c>
      <c r="K62" s="4">
        <v>0</v>
      </c>
      <c r="L62" s="4">
        <f>F62*K62</f>
        <v>0</v>
      </c>
      <c r="M62" s="69" t="s">
        <v>307</v>
      </c>
      <c r="Z62" s="18">
        <f>IF(AQ62="5",BJ62,0)</f>
        <v>0</v>
      </c>
      <c r="AB62" s="18">
        <f>IF(AQ62="1",BH62,0)</f>
        <v>0</v>
      </c>
      <c r="AC62" s="18">
        <f>IF(AQ62="1",BI62,0)</f>
        <v>0</v>
      </c>
      <c r="AD62" s="18">
        <f>IF(AQ62="7",BH62,0)</f>
        <v>0</v>
      </c>
      <c r="AE62" s="18">
        <f>IF(AQ62="7",BI62,0)</f>
        <v>0</v>
      </c>
      <c r="AF62" s="18">
        <f>IF(AQ62="2",BH62,0)</f>
        <v>0</v>
      </c>
      <c r="AG62" s="18">
        <f>IF(AQ62="2",BI62,0)</f>
        <v>0</v>
      </c>
      <c r="AH62" s="18">
        <f>IF(AQ62="0",BJ62,0)</f>
        <v>0</v>
      </c>
      <c r="AI62" s="65"/>
      <c r="AJ62" s="4">
        <f>IF(AN62=0,J62,0)</f>
        <v>0</v>
      </c>
      <c r="AK62" s="4">
        <f>IF(AN62=15,J62,0)</f>
        <v>0</v>
      </c>
      <c r="AL62" s="4">
        <f>IF(AN62=21,J62,0)</f>
        <v>0</v>
      </c>
      <c r="AN62" s="18">
        <v>21</v>
      </c>
      <c r="AO62" s="18">
        <f>G62*0</f>
        <v>0</v>
      </c>
      <c r="AP62" s="18">
        <f>G62*(1-0)</f>
        <v>0</v>
      </c>
      <c r="AQ62" s="69" t="s">
        <v>11</v>
      </c>
      <c r="AV62" s="18">
        <f>AW62+AX62</f>
        <v>0</v>
      </c>
      <c r="AW62" s="18">
        <f>F62*AO62</f>
        <v>0</v>
      </c>
      <c r="AX62" s="18">
        <f>F62*AP62</f>
        <v>0</v>
      </c>
      <c r="AY62" s="72" t="s">
        <v>331</v>
      </c>
      <c r="AZ62" s="72" t="s">
        <v>338</v>
      </c>
      <c r="BA62" s="65" t="s">
        <v>339</v>
      </c>
      <c r="BC62" s="18">
        <f>AW62+AX62</f>
        <v>0</v>
      </c>
      <c r="BD62" s="18">
        <f>G62/(100-BE62)*100</f>
        <v>0</v>
      </c>
      <c r="BE62" s="18">
        <v>0</v>
      </c>
      <c r="BF62" s="18">
        <f>L62</f>
        <v>0</v>
      </c>
      <c r="BH62" s="4">
        <f>F62*AO62</f>
        <v>0</v>
      </c>
      <c r="BI62" s="4">
        <f>F62*AP62</f>
        <v>0</v>
      </c>
      <c r="BJ62" s="4">
        <f>F62*G62</f>
        <v>0</v>
      </c>
    </row>
    <row r="63" spans="1:62" ht="12.75">
      <c r="A63" s="1" t="s">
        <v>42</v>
      </c>
      <c r="B63" s="1"/>
      <c r="C63" s="1" t="s">
        <v>92</v>
      </c>
      <c r="D63" s="1" t="s">
        <v>147</v>
      </c>
      <c r="E63" s="1" t="s">
        <v>153</v>
      </c>
      <c r="F63" s="4">
        <f>'Rozpočet - vybrané sloupce'!AS88</f>
        <v>106.875</v>
      </c>
      <c r="G63" s="4">
        <f>'Rozpočet - vybrané sloupce'!AX88</f>
        <v>0</v>
      </c>
      <c r="H63" s="4">
        <f>F63*AO63</f>
        <v>0</v>
      </c>
      <c r="I63" s="4">
        <f>F63*AP63</f>
        <v>0</v>
      </c>
      <c r="J63" s="4">
        <f>F63*G63</f>
        <v>0</v>
      </c>
      <c r="K63" s="4">
        <v>0</v>
      </c>
      <c r="L63" s="4">
        <f>F63*K63</f>
        <v>0</v>
      </c>
      <c r="M63" s="69" t="s">
        <v>307</v>
      </c>
      <c r="Z63" s="18">
        <f>IF(AQ63="5",BJ63,0)</f>
        <v>0</v>
      </c>
      <c r="AB63" s="18">
        <f>IF(AQ63="1",BH63,0)</f>
        <v>0</v>
      </c>
      <c r="AC63" s="18">
        <f>IF(AQ63="1",BI63,0)</f>
        <v>0</v>
      </c>
      <c r="AD63" s="18">
        <f>IF(AQ63="7",BH63,0)</f>
        <v>0</v>
      </c>
      <c r="AE63" s="18">
        <f>IF(AQ63="7",BI63,0)</f>
        <v>0</v>
      </c>
      <c r="AF63" s="18">
        <f>IF(AQ63="2",BH63,0)</f>
        <v>0</v>
      </c>
      <c r="AG63" s="18">
        <f>IF(AQ63="2",BI63,0)</f>
        <v>0</v>
      </c>
      <c r="AH63" s="18">
        <f>IF(AQ63="0",BJ63,0)</f>
        <v>0</v>
      </c>
      <c r="AI63" s="65"/>
      <c r="AJ63" s="4">
        <f>IF(AN63=0,J63,0)</f>
        <v>0</v>
      </c>
      <c r="AK63" s="4">
        <f>IF(AN63=15,J63,0)</f>
        <v>0</v>
      </c>
      <c r="AL63" s="4">
        <f>IF(AN63=21,J63,0)</f>
        <v>0</v>
      </c>
      <c r="AN63" s="18">
        <v>21</v>
      </c>
      <c r="AO63" s="18">
        <f>G63*0</f>
        <v>0</v>
      </c>
      <c r="AP63" s="18">
        <f>G63*(1-0)</f>
        <v>0</v>
      </c>
      <c r="AQ63" s="69" t="s">
        <v>11</v>
      </c>
      <c r="AV63" s="18">
        <f>AW63+AX63</f>
        <v>0</v>
      </c>
      <c r="AW63" s="18">
        <f>F63*AO63</f>
        <v>0</v>
      </c>
      <c r="AX63" s="18">
        <f>F63*AP63</f>
        <v>0</v>
      </c>
      <c r="AY63" s="72" t="s">
        <v>331</v>
      </c>
      <c r="AZ63" s="72" t="s">
        <v>338</v>
      </c>
      <c r="BA63" s="65" t="s">
        <v>339</v>
      </c>
      <c r="BC63" s="18">
        <f>AW63+AX63</f>
        <v>0</v>
      </c>
      <c r="BD63" s="18">
        <f>G63/(100-BE63)*100</f>
        <v>0</v>
      </c>
      <c r="BE63" s="18">
        <v>0</v>
      </c>
      <c r="BF63" s="18">
        <f>L63</f>
        <v>0</v>
      </c>
      <c r="BH63" s="4">
        <f>F63*AO63</f>
        <v>0</v>
      </c>
      <c r="BI63" s="4">
        <f>F63*AP63</f>
        <v>0</v>
      </c>
      <c r="BJ63" s="4">
        <f>F63*G63</f>
        <v>0</v>
      </c>
    </row>
    <row r="64" spans="1:62" ht="12.75">
      <c r="A64" s="1" t="s">
        <v>43</v>
      </c>
      <c r="B64" s="1"/>
      <c r="C64" s="1" t="s">
        <v>93</v>
      </c>
      <c r="D64" s="1" t="s">
        <v>148</v>
      </c>
      <c r="E64" s="1" t="s">
        <v>153</v>
      </c>
      <c r="F64" s="4">
        <f>'Rozpočet - vybrané sloupce'!AS89</f>
        <v>11.875</v>
      </c>
      <c r="G64" s="4">
        <f>'Rozpočet - vybrané sloupce'!AX89</f>
        <v>0</v>
      </c>
      <c r="H64" s="4">
        <f>F64*AO64</f>
        <v>0</v>
      </c>
      <c r="I64" s="4">
        <f>F64*AP64</f>
        <v>0</v>
      </c>
      <c r="J64" s="4">
        <f>F64*G64</f>
        <v>0</v>
      </c>
      <c r="K64" s="4">
        <v>0</v>
      </c>
      <c r="L64" s="4">
        <f>F64*K64</f>
        <v>0</v>
      </c>
      <c r="M64" s="69" t="s">
        <v>307</v>
      </c>
      <c r="Z64" s="18">
        <f>IF(AQ64="5",BJ64,0)</f>
        <v>0</v>
      </c>
      <c r="AB64" s="18">
        <f>IF(AQ64="1",BH64,0)</f>
        <v>0</v>
      </c>
      <c r="AC64" s="18">
        <f>IF(AQ64="1",BI64,0)</f>
        <v>0</v>
      </c>
      <c r="AD64" s="18">
        <f>IF(AQ64="7",BH64,0)</f>
        <v>0</v>
      </c>
      <c r="AE64" s="18">
        <f>IF(AQ64="7",BI64,0)</f>
        <v>0</v>
      </c>
      <c r="AF64" s="18">
        <f>IF(AQ64="2",BH64,0)</f>
        <v>0</v>
      </c>
      <c r="AG64" s="18">
        <f>IF(AQ64="2",BI64,0)</f>
        <v>0</v>
      </c>
      <c r="AH64" s="18">
        <f>IF(AQ64="0",BJ64,0)</f>
        <v>0</v>
      </c>
      <c r="AI64" s="65"/>
      <c r="AJ64" s="4">
        <f>IF(AN64=0,J64,0)</f>
        <v>0</v>
      </c>
      <c r="AK64" s="4">
        <f>IF(AN64=15,J64,0)</f>
        <v>0</v>
      </c>
      <c r="AL64" s="4">
        <f>IF(AN64=21,J64,0)</f>
        <v>0</v>
      </c>
      <c r="AN64" s="18">
        <v>21</v>
      </c>
      <c r="AO64" s="18">
        <f>G64*0</f>
        <v>0</v>
      </c>
      <c r="AP64" s="18">
        <f>G64*(1-0)</f>
        <v>0</v>
      </c>
      <c r="AQ64" s="69" t="s">
        <v>11</v>
      </c>
      <c r="AV64" s="18">
        <f>AW64+AX64</f>
        <v>0</v>
      </c>
      <c r="AW64" s="18">
        <f>F64*AO64</f>
        <v>0</v>
      </c>
      <c r="AX64" s="18">
        <f>F64*AP64</f>
        <v>0</v>
      </c>
      <c r="AY64" s="72" t="s">
        <v>331</v>
      </c>
      <c r="AZ64" s="72" t="s">
        <v>338</v>
      </c>
      <c r="BA64" s="65" t="s">
        <v>339</v>
      </c>
      <c r="BC64" s="18">
        <f>AW64+AX64</f>
        <v>0</v>
      </c>
      <c r="BD64" s="18">
        <f>G64/(100-BE64)*100</f>
        <v>0</v>
      </c>
      <c r="BE64" s="18">
        <v>0</v>
      </c>
      <c r="BF64" s="18">
        <f>L64</f>
        <v>0</v>
      </c>
      <c r="BH64" s="4">
        <f>F64*AO64</f>
        <v>0</v>
      </c>
      <c r="BI64" s="4">
        <f>F64*AP64</f>
        <v>0</v>
      </c>
      <c r="BJ64" s="4">
        <f>F64*G64</f>
        <v>0</v>
      </c>
    </row>
    <row r="65" spans="1:62" ht="12.75">
      <c r="A65" s="1" t="s">
        <v>44</v>
      </c>
      <c r="B65" s="1"/>
      <c r="C65" s="1" t="s">
        <v>94</v>
      </c>
      <c r="D65" s="1" t="s">
        <v>149</v>
      </c>
      <c r="E65" s="1" t="s">
        <v>153</v>
      </c>
      <c r="F65" s="4">
        <f>'Rozpočet - vybrané sloupce'!AS90</f>
        <v>11.875</v>
      </c>
      <c r="G65" s="4">
        <f>'Rozpočet - vybrané sloupce'!AX90</f>
        <v>0</v>
      </c>
      <c r="H65" s="4">
        <f>F65*AO65</f>
        <v>0</v>
      </c>
      <c r="I65" s="4">
        <f>F65*AP65</f>
        <v>0</v>
      </c>
      <c r="J65" s="4">
        <f>F65*G65</f>
        <v>0</v>
      </c>
      <c r="K65" s="4">
        <v>0</v>
      </c>
      <c r="L65" s="4">
        <f>F65*K65</f>
        <v>0</v>
      </c>
      <c r="M65" s="69" t="s">
        <v>307</v>
      </c>
      <c r="Z65" s="18">
        <f>IF(AQ65="5",BJ65,0)</f>
        <v>0</v>
      </c>
      <c r="AB65" s="18">
        <f>IF(AQ65="1",BH65,0)</f>
        <v>0</v>
      </c>
      <c r="AC65" s="18">
        <f>IF(AQ65="1",BI65,0)</f>
        <v>0</v>
      </c>
      <c r="AD65" s="18">
        <f>IF(AQ65="7",BH65,0)</f>
        <v>0</v>
      </c>
      <c r="AE65" s="18">
        <f>IF(AQ65="7",BI65,0)</f>
        <v>0</v>
      </c>
      <c r="AF65" s="18">
        <f>IF(AQ65="2",BH65,0)</f>
        <v>0</v>
      </c>
      <c r="AG65" s="18">
        <f>IF(AQ65="2",BI65,0)</f>
        <v>0</v>
      </c>
      <c r="AH65" s="18">
        <f>IF(AQ65="0",BJ65,0)</f>
        <v>0</v>
      </c>
      <c r="AI65" s="65"/>
      <c r="AJ65" s="4">
        <f>IF(AN65=0,J65,0)</f>
        <v>0</v>
      </c>
      <c r="AK65" s="4">
        <f>IF(AN65=15,J65,0)</f>
        <v>0</v>
      </c>
      <c r="AL65" s="4">
        <f>IF(AN65=21,J65,0)</f>
        <v>0</v>
      </c>
      <c r="AN65" s="18">
        <v>21</v>
      </c>
      <c r="AO65" s="18">
        <f>G65*0</f>
        <v>0</v>
      </c>
      <c r="AP65" s="18">
        <f>G65*(1-0)</f>
        <v>0</v>
      </c>
      <c r="AQ65" s="69" t="s">
        <v>11</v>
      </c>
      <c r="AV65" s="18">
        <f>AW65+AX65</f>
        <v>0</v>
      </c>
      <c r="AW65" s="18">
        <f>F65*AO65</f>
        <v>0</v>
      </c>
      <c r="AX65" s="18">
        <f>F65*AP65</f>
        <v>0</v>
      </c>
      <c r="AY65" s="72" t="s">
        <v>331</v>
      </c>
      <c r="AZ65" s="72" t="s">
        <v>338</v>
      </c>
      <c r="BA65" s="65" t="s">
        <v>339</v>
      </c>
      <c r="BC65" s="18">
        <f>AW65+AX65</f>
        <v>0</v>
      </c>
      <c r="BD65" s="18">
        <f>G65/(100-BE65)*100</f>
        <v>0</v>
      </c>
      <c r="BE65" s="18">
        <v>0</v>
      </c>
      <c r="BF65" s="18">
        <f>L65</f>
        <v>0</v>
      </c>
      <c r="BH65" s="4">
        <f>F65*AO65</f>
        <v>0</v>
      </c>
      <c r="BI65" s="4">
        <f>F65*AP65</f>
        <v>0</v>
      </c>
      <c r="BJ65" s="4">
        <f>F65*G65</f>
        <v>0</v>
      </c>
    </row>
    <row r="66" spans="1:62" ht="12.75">
      <c r="A66" s="55" t="s">
        <v>45</v>
      </c>
      <c r="B66" s="55"/>
      <c r="C66" s="55" t="s">
        <v>95</v>
      </c>
      <c r="D66" s="55" t="s">
        <v>150</v>
      </c>
      <c r="E66" s="55" t="s">
        <v>153</v>
      </c>
      <c r="F66" s="66">
        <f>'Rozpočet - vybrané sloupce'!AS91</f>
        <v>11.875</v>
      </c>
      <c r="G66" s="66">
        <f>'Rozpočet - vybrané sloupce'!AX91</f>
        <v>0</v>
      </c>
      <c r="H66" s="66">
        <f>F66*AO66</f>
        <v>0</v>
      </c>
      <c r="I66" s="66">
        <f>F66*AP66</f>
        <v>0</v>
      </c>
      <c r="J66" s="66">
        <f>F66*G66</f>
        <v>0</v>
      </c>
      <c r="K66" s="66">
        <v>0</v>
      </c>
      <c r="L66" s="66">
        <f>F66*K66</f>
        <v>0</v>
      </c>
      <c r="M66" s="71" t="s">
        <v>307</v>
      </c>
      <c r="Z66" s="18">
        <f>IF(AQ66="5",BJ66,0)</f>
        <v>0</v>
      </c>
      <c r="AB66" s="18">
        <f>IF(AQ66="1",BH66,0)</f>
        <v>0</v>
      </c>
      <c r="AC66" s="18">
        <f>IF(AQ66="1",BI66,0)</f>
        <v>0</v>
      </c>
      <c r="AD66" s="18">
        <f>IF(AQ66="7",BH66,0)</f>
        <v>0</v>
      </c>
      <c r="AE66" s="18">
        <f>IF(AQ66="7",BI66,0)</f>
        <v>0</v>
      </c>
      <c r="AF66" s="18">
        <f>IF(AQ66="2",BH66,0)</f>
        <v>0</v>
      </c>
      <c r="AG66" s="18">
        <f>IF(AQ66="2",BI66,0)</f>
        <v>0</v>
      </c>
      <c r="AH66" s="18">
        <f>IF(AQ66="0",BJ66,0)</f>
        <v>0</v>
      </c>
      <c r="AI66" s="65"/>
      <c r="AJ66" s="4">
        <f>IF(AN66=0,J66,0)</f>
        <v>0</v>
      </c>
      <c r="AK66" s="4">
        <f>IF(AN66=15,J66,0)</f>
        <v>0</v>
      </c>
      <c r="AL66" s="4">
        <f>IF(AN66=21,J66,0)</f>
        <v>0</v>
      </c>
      <c r="AN66" s="18">
        <v>21</v>
      </c>
      <c r="AO66" s="18">
        <f>G66*0</f>
        <v>0</v>
      </c>
      <c r="AP66" s="18">
        <f>G66*(1-0)</f>
        <v>0</v>
      </c>
      <c r="AQ66" s="69" t="s">
        <v>11</v>
      </c>
      <c r="AV66" s="18">
        <f>AW66+AX66</f>
        <v>0</v>
      </c>
      <c r="AW66" s="18">
        <f>F66*AO66</f>
        <v>0</v>
      </c>
      <c r="AX66" s="18">
        <f>F66*AP66</f>
        <v>0</v>
      </c>
      <c r="AY66" s="72" t="s">
        <v>331</v>
      </c>
      <c r="AZ66" s="72" t="s">
        <v>338</v>
      </c>
      <c r="BA66" s="65" t="s">
        <v>339</v>
      </c>
      <c r="BC66" s="18">
        <f>AW66+AX66</f>
        <v>0</v>
      </c>
      <c r="BD66" s="18">
        <f>G66/(100-BE66)*100</f>
        <v>0</v>
      </c>
      <c r="BE66" s="18">
        <v>0</v>
      </c>
      <c r="BF66" s="18">
        <f>L66</f>
        <v>0</v>
      </c>
      <c r="BH66" s="4">
        <f>F66*AO66</f>
        <v>0</v>
      </c>
      <c r="BI66" s="4">
        <f>F66*AP66</f>
        <v>0</v>
      </c>
      <c r="BJ66" s="4">
        <f>F66*G66</f>
        <v>0</v>
      </c>
    </row>
    <row r="67" spans="1:13" ht="12.75">
      <c r="A67" s="14"/>
      <c r="B67" s="14"/>
      <c r="C67" s="14"/>
      <c r="D67" s="14"/>
      <c r="E67" s="14"/>
      <c r="F67" s="14"/>
      <c r="G67" s="14"/>
      <c r="H67" s="122" t="s">
        <v>221</v>
      </c>
      <c r="I67" s="117"/>
      <c r="J67" s="24">
        <f>J12+J19+J24+J28+J30+J32+J34+J37+J40+J42+J51+J54+J56+J58+J61</f>
        <v>0</v>
      </c>
      <c r="K67" s="14"/>
      <c r="L67" s="14"/>
      <c r="M67" s="14"/>
    </row>
    <row r="68" ht="11.25" customHeight="1">
      <c r="A68" s="15" t="s">
        <v>227</v>
      </c>
    </row>
    <row r="69" spans="1:13" ht="12.75">
      <c r="A69" s="107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</sheetData>
  <sheetProtection/>
  <mergeCells count="30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I8:M9"/>
    <mergeCell ref="A6:C7"/>
    <mergeCell ref="D6:D7"/>
    <mergeCell ref="E6:F7"/>
    <mergeCell ref="G6:G7"/>
    <mergeCell ref="H6:H7"/>
    <mergeCell ref="I6:M7"/>
    <mergeCell ref="H10:J10"/>
    <mergeCell ref="K10:L10"/>
    <mergeCell ref="D21:M21"/>
    <mergeCell ref="H67:I67"/>
    <mergeCell ref="A69:M69"/>
    <mergeCell ref="A8:C9"/>
    <mergeCell ref="D8:D9"/>
    <mergeCell ref="E8:F9"/>
    <mergeCell ref="G8:G9"/>
    <mergeCell ref="H8:H9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Morský</dc:creator>
  <cp:keywords/>
  <dc:description/>
  <cp:lastModifiedBy>Miroslava Morska</cp:lastModifiedBy>
  <dcterms:created xsi:type="dcterms:W3CDTF">2019-04-14T17:08:36Z</dcterms:created>
  <dcterms:modified xsi:type="dcterms:W3CDTF">2019-04-15T05:18:40Z</dcterms:modified>
  <cp:category/>
  <cp:version/>
  <cp:contentType/>
  <cp:contentStatus/>
</cp:coreProperties>
</file>